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99" firstSheet="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比较法-办公" sheetId="34" r:id="rId22"/>
    <sheet name="收益法" sheetId="15" r:id="rId23"/>
    <sheet name="收益法 (元)" sheetId="67" state="hidden" r:id="rId24"/>
    <sheet name="收益法（汇总）" sheetId="70" state="hidden" r:id="rId25"/>
    <sheet name="比较法-住宅" sheetId="21" state="hidden" r:id="rId26"/>
    <sheet name="比较法-商业" sheetId="33" state="hidden" r:id="rId27"/>
    <sheet name="比较法-工业" sheetId="37" state="hidden" r:id="rId28"/>
    <sheet name="比较法-车位" sheetId="35" state="hidden" r:id="rId29"/>
    <sheet name="比较法-仓储" sheetId="36" state="hidden" r:id="rId30"/>
    <sheet name="土地比较法-住宅、综合" sheetId="39" state="hidden" r:id="rId31"/>
    <sheet name="收益法-酒店模型" sheetId="77" state="hidden" r:id="rId32"/>
    <sheet name="土地比较法-工业" sheetId="40" state="hidden" r:id="rId33"/>
    <sheet name="典型户型修正" sheetId="31" state="hidden" r:id="rId34"/>
    <sheet name="基准地价（汇总）" sheetId="76" state="hidden" r:id="rId35"/>
    <sheet name="基准地价修正" sheetId="43" state="hidden" r:id="rId36"/>
    <sheet name="比较法-办公租金" sheetId="81" r:id="rId37"/>
    <sheet name="Sheet1" sheetId="80"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9"/>
  </externalReferences>
  <definedNames>
    <definedName name="_xlnm._FilterDatabase" localSheetId="21"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_FilterDatabase" localSheetId="36" hidden="1">'比较法-办公租金'!$A$1:$L$50</definedName>
    <definedName name="_xlnm.Print_Area" localSheetId="36">'比较法-办公租金'!$A$1:$K$55,'比较法-办公租金'!$A$58:$M$132</definedName>
    <definedName name="办公层高" localSheetId="36">'比较法-办公租金'!$B$119:$M$119</definedName>
    <definedName name="办公朝向" localSheetId="36">'比较法-办公租金'!$B$91:$M$91</definedName>
    <definedName name="办公道路级别" localSheetId="36">'比较法-办公租金'!$B$87:$M$87</definedName>
    <definedName name="办公公共部分装修" localSheetId="36">'比较法-办公租金'!$B$108:$M$108</definedName>
    <definedName name="办公基础设施水平" localSheetId="36">'比较法-办公租金'!$B$117:$M$117</definedName>
    <definedName name="办公建筑结构" localSheetId="36">'比较法-办公租金'!$B$106:$M$106</definedName>
    <definedName name="办公建筑类型" localSheetId="36">'比较法-办公租金'!$B$101:$M$101</definedName>
    <definedName name="办公交易情况" localSheetId="36">'比较法-办公租金'!$A$62:$M$62</definedName>
    <definedName name="办公楼层" localSheetId="36">'比较法-办公租金'!$B$89:$M$89</definedName>
    <definedName name="办公内部装修" localSheetId="36">'比较法-办公租金'!$B$123:$M$123</definedName>
    <definedName name="办公物业管理" localSheetId="36">'比较法-办公租金'!$B$115:$M$115</definedName>
    <definedName name="办公用途" localSheetId="36">'比较法-办公租金'!$B$64:$M$64</definedName>
    <definedName name="写字楼等级" localSheetId="36">'比较法-办公租金'!$B$113:$M$113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<sst xmlns="http://schemas.openxmlformats.org/spreadsheetml/2006/main" count="8189" uniqueCount="2778">
  <si>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</si>
  <si>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</si>
  <si>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</si>
  <si>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</si>
  <si>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</si>
  <si>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</si>
  <si>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</si>
  <si>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</si>
  <si>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</si>
  <si>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</si>
  <si>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</si>
  <si>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</si>
  <si>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</si>
  <si>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</si>
  <si>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</si>
  <si>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</si>
  <si>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</si>
  <si>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</si>
  <si>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</si>
  <si>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</si>
  <si>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</si>
  <si>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</si>
  <si>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</si>
  <si>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</si>
  <si>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</si>
  <si>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</si>
  <si>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</si>
  <si>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</si>
  <si>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</si>
  <si>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</si>
  <si>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</si>
  <si>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</si>
  <si>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</si>
  <si>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</si>
  <si>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</si>
  <si>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</si>
  <si>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</si>
  <si>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</si>
  <si>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</si>
  <si>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</si>
  <si>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</si>
  <si>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</si>
  <si>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</si>
  <si>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</si>
  <si>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</si>
  <si>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</si>
  <si>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</si>
  <si>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</si>
  <si>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</si>
  <si>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</si>
  <si>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</si>
  <si>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</si>
  <si>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</si>
  <si>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</si>
  <si>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</si>
  <si>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</si>
  <si>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</si>
  <si>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</si>
  <si>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</si>
  <si>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</si>
  <si>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</si>
  <si>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</si>
  <si>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</si>
  <si>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</si>
  <si>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</si>
  <si>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</si>
  <si>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</si>
  <si>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</si>
  <si>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</si>
  <si>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</si>
  <si>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</si>
  <si>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</si>
  <si>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</si>
  <si>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</si>
  <si>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</si>
  <si>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</si>
  <si>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</si>
  <si>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</si>
  <si>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</si>
  <si>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</si>
  <si>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</si>
  <si>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</si>
  <si>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</si>
  <si>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</si>
  <si>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</si>
  <si>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</si>
  <si>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</si>
  <si>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</si>
  <si>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</si>
  <si>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</si>
  <si>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</si>
  <si>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</si>
  <si>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</si>
  <si>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</si>
  <si>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</si>
  <si>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</si>
  <si>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</si>
  <si>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</si>
  <si>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</si>
  <si>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</si>
  <si>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</si>
  <si>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</si>
  <si>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</si>
  <si>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</si>
  <si>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</si>
  <si>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</si>
  <si>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</si>
  <si>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</si>
  <si>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</si>
  <si>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</si>
  <si>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</si>
  <si>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</si>
  <si>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</si>
  <si>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</si>
  <si>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</si>
  <si>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</si>
  <si>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</si>
  <si>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</si>
  <si>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</si>
  <si>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</si>
  <si>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</si>
  <si>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</si>
  <si>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</si>
  <si>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</si>
  <si>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</si>
  <si>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</si>
  <si>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</si>
  <si>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</si>
  <si>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</si>
  <si>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</si>
  <si>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</si>
  <si>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</si>
  <si>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</si>
  <si>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</si>
  <si>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</si>
  <si>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</si>
  <si>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</si>
  <si>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</si>
  <si>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</si>
  <si>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</si>
  <si>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</si>
  <si>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</si>
  <si>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</si>
  <si>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</si>
  <si>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</si>
  <si>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</si>
  <si>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</si>
  <si>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</si>
  <si>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</si>
  <si>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</si>
  <si>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</si>
  <si>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</si>
  <si>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</si>
  <si>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</si>
  <si>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</si>
  <si>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</si>
  <si>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</si>
  <si>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</si>
  <si>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</si>
  <si>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</si>
  <si>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</si>
  <si>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</si>
  <si>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</si>
  <si>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</si>
  <si>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</si>
  <si>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</si>
  <si>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</si>
  <si>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</si>
  <si>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</si>
  <si>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</si>
  <si>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</si>
  <si>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</si>
  <si>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</si>
  <si>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</si>
  <si>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</si>
  <si>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</si>
  <si>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</si>
  <si>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</si>
  <si>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</si>
  <si>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</si>
  <si>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</si>
  <si>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</si>
  <si>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</si>
  <si>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</si>
  <si>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</si>
  <si>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</si>
  <si>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</si>
  <si>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</si>
  <si>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</si>
  <si>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</si>
  <si>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</si>
  <si>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</si>
  <si>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</si>
  <si>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</si>
  <si>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</si>
  <si>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</si>
  <si>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</si>
  <si>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</si>
  <si>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</si>
  <si>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</si>
  <si>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</si>
  <si>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</si>
  <si>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</si>
  <si>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</si>
  <si>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</si>
  <si>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</si>
  <si>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</si>
  <si>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</si>
  <si>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</si>
  <si>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</si>
  <si>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</si>
  <si>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</si>
  <si>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</si>
  <si>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</si>
  <si>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</si>
  <si>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</si>
  <si>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</si>
  <si>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</si>
  <si>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</si>
  <si>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</si>
  <si>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</si>
  <si>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</si>
  <si>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</si>
  <si>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</si>
  <si>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</si>
  <si>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</si>
  <si>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</si>
  <si>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</si>
  <si>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</si>
  <si>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</si>
  <si>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</si>
  <si>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</si>
  <si>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</si>
  <si>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</si>
  <si>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</si>
  <si>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</si>
  <si>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</si>
  <si>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</si>
  <si>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</si>
  <si>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</si>
  <si>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</si>
  <si>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</si>
  <si>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</si>
  <si>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</si>
  <si>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</si>
  <si>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</si>
  <si>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</si>
  <si>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</si>
  <si>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</si>
  <si>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</si>
  <si>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</si>
  <si>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</si>
  <si>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</si>
  <si>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</si>
  <si>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</si>
  <si>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</si>
  <si>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</si>
  <si>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</si>
  <si>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</si>
  <si>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</si>
  <si>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</si>
  <si>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</si>
  <si>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</si>
  <si>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</si>
  <si>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</si>
  <si>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</si>
  <si>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</si>
  <si>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</si>
  <si>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</si>
  <si>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</si>
  <si>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</si>
  <si>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</si>
  <si>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</si>
  <si>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</si>
  <si>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</si>
  <si>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</si>
  <si>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</si>
  <si>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</si>
  <si>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</si>
  <si>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</si>
  <si>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</si>
  <si>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</si>
  <si>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</si>
  <si>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</si>
  <si>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</si>
  <si>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</si>
  <si>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</si>
  <si>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</si>
  <si>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</si>
  <si>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</si>
  <si>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</si>
  <si>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</si>
  <si>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</si>
  <si>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</si>
  <si>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</si>
  <si>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</si>
  <si>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</si>
  <si>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</si>
  <si>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</si>
  <si>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</si>
  <si>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</si>
  <si>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</si>
  <si>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</si>
  <si>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</si>
  <si>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</si>
  <si>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</si>
  <si>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</si>
  <si>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</si>
  <si>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</si>
  <si>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</si>
  <si>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</si>
  <si>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</si>
  <si>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</si>
  <si>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</si>
  <si>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</si>
  <si>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</si>
  <si>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</si>
  <si>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</si>
  <si>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</si>
  <si>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</si>
  <si>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</si>
  <si>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</si>
  <si>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</si>
  <si>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</si>
  <si>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</si>
  <si>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</si>
  <si>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</si>
  <si>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</si>
  <si>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</si>
  <si>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</si>
  <si>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</si>
  <si>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</si>
  <si>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</si>
  <si>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</si>
  <si>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</si>
  <si>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</si>
  <si>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</si>
  <si>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</si>
  <si>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</si>
  <si>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</si>
  <si>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</si>
  <si>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</si>
  <si>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</si>
  <si>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</si>
  <si>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</si>
  <si>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</si>
  <si>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</si>
  <si>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</si>
  <si>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</si>
  <si>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</si>
  <si>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</si>
  <si>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</si>
  <si>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</si>
  <si>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</si>
  <si>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</si>
  <si>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</si>
  <si>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</si>
  <si>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</si>
  <si>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</si>
  <si>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</si>
  <si>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</si>
  <si>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</si>
  <si>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</si>
  <si>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</si>
  <si>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</si>
  <si>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</si>
  <si>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</si>
  <si>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</si>
  <si>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</si>
  <si>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</si>
  <si>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</si>
  <si>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</si>
  <si>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</si>
  <si>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</si>
  <si>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</si>
  <si>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</si>
  <si>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</si>
  <si>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</si>
  <si>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</si>
  <si>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</si>
  <si>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</si>
  <si>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</si>
  <si>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</si>
  <si>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</si>
  <si>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</si>
  <si>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</si>
  <si>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</si>
  <si>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</si>
  <si>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</si>
  <si>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</si>
  <si>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</si>
  <si>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</si>
  <si>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</si>
  <si>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</si>
  <si>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</si>
  <si>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</si>
  <si>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</si>
  <si>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</si>
  <si>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</si>
  <si>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</si>
  <si>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</si>
  <si>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</si>
  <si>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</si>
  <si>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</si>
  <si>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</si>
  <si>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</si>
  <si>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</si>
  <si>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</si>
  <si>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</si>
  <si>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</si>
  <si>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</si>
  <si>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</si>
  <si>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</si>
  <si>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</si>
  <si>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</si>
  <si>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</si>
  <si>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</si>
  <si>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</si>
  <si>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</si>
  <si>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</si>
  <si>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</si>
  <si>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</si>
  <si>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</si>
  <si>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</si>
  <si>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</si>
  <si>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</si>
  <si>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</si>
  <si>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</si>
  <si>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</si>
  <si>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</si>
  <si>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</si>
  <si>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</si>
  <si>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</si>
  <si>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</si>
  <si>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</si>
  <si>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</si>
  <si>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</si>
  <si>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其他：</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</si>
  <si>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</si>
  <si>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</si>
  <si>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</si>
  <si>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</si>
  <si>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</si>
  <si>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</si>
  <si>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</si>
  <si>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</si>
  <si>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</si>
  <si>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</si>
  <si>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</si>
  <si>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</si>
  <si>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</si>
  <si>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</si>
  <si>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</si>
  <si>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</si>
  <si>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</si>
  <si>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</si>
  <si>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</si>
  <si>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</si>
  <si>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</si>
  <si>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</si>
  <si>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</si>
  <si>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</si>
  <si>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</si>
  <si>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</si>
  <si>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</si>
  <si>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</si>
  <si>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</si>
  <si>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</si>
  <si>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</si>
  <si>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</si>
  <si>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</si>
  <si>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</si>
  <si>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</si>
  <si>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</si>
  <si>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</si>
  <si>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</si>
  <si>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</si>
  <si>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</si>
  <si>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</si>
  <si>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</si>
  <si>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</si>
  <si>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</si>
  <si>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商业项目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</si>
  <si>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</si>
  <si>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</si>
  <si>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</si>
  <si>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</si>
  <si>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</si>
  <si>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</si>
  <si>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</si>
  <si>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</si>
  <si>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</si>
  <si>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</si>
  <si>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</si>
  <si>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</si>
  <si>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</si>
  <si>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</si>
  <si>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</si>
  <si>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</si>
  <si>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</si>
  <si>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Ⅳ-电子城东</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</si>
  <si>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</si>
  <si>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</si>
  <si>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</si>
  <si>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</si>
  <si>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</si>
  <si>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</si>
  <si>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</si>
  <si>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</si>
  <si>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</si>
  <si>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</si>
  <si>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</si>
  <si>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</si>
  <si>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</si>
  <si>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</si>
  <si>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</si>
  <si>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</si>
  <si>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</si>
  <si>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</si>
  <si>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</si>
  <si>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</si>
  <si>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</si>
  <si>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</si>
  <si>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</si>
  <si>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</si>
  <si>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</si>
  <si>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</si>
  <si>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</si>
  <si>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</si>
  <si>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</si>
  <si>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</si>
  <si>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</si>
  <si>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</si>
  <si>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</si>
  <si>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</si>
  <si>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</si>
  <si>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</si>
  <si>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</si>
  <si>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</si>
  <si>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</si>
  <si>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</si>
  <si>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</si>
  <si>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</si>
  <si>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</si>
  <si>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</si>
  <si>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</si>
  <si>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</si>
  <si>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</si>
  <si>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</si>
  <si>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</si>
  <si>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</si>
  <si>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</si>
  <si>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</si>
  <si>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办公楼</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</si>
  <si>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</si>
  <si>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</si>
  <si>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</si>
  <si>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</si>
  <si>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</si>
  <si>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</si>
  <si>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</si>
  <si>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</si>
  <si>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</si>
  <si>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</si>
  <si>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</si>
  <si>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</si>
  <si>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</si>
  <si>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</si>
  <si>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</si>
  <si>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</si>
  <si>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</si>
  <si>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</si>
  <si>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</si>
  <si>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</si>
  <si>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</si>
  <si>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</si>
  <si>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</si>
  <si>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</si>
  <si>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</si>
  <si>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</si>
  <si>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</si>
  <si>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</si>
  <si>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</si>
  <si>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</si>
  <si>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</si>
  <si>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</si>
  <si>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</si>
  <si>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</si>
  <si>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</si>
  <si>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</si>
  <si>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</si>
  <si>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</si>
  <si>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</si>
  <si>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</si>
  <si>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</si>
  <si>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</si>
  <si>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</si>
  <si>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</si>
  <si>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</si>
  <si>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</si>
  <si>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</si>
  <si>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</si>
  <si>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</si>
  <si>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</si>
  <si>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</si>
  <si>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</si>
  <si>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</si>
  <si>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</si>
  <si>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</si>
  <si>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</si>
  <si>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</si>
  <si>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</si>
  <si>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</si>
  <si>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</si>
  <si>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</si>
  <si>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</si>
  <si>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</si>
  <si>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</si>
  <si>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</si>
  <si>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</si>
  <si>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</si>
  <si>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</si>
  <si>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</si>
  <si>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</si>
  <si>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</si>
  <si>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</si>
  <si>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</si>
  <si>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</si>
  <si>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</si>
  <si>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</si>
  <si>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</si>
  <si>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</si>
  <si>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</si>
  <si>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</si>
  <si>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</si>
  <si>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</si>
  <si>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</si>
  <si>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</si>
  <si>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</si>
  <si>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</si>
  <si>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</si>
  <si>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</si>
  <si>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</si>
  <si>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</si>
  <si>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</si>
  <si>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</si>
  <si>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</si>
  <si>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</si>
  <si>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</si>
  <si>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</si>
  <si>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</si>
  <si>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</si>
  <si>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</si>
  <si>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</si>
  <si>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</si>
  <si>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</si>
  <si>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</si>
  <si>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</si>
  <si>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</si>
  <si>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</si>
  <si>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</si>
  <si>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</si>
  <si>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</si>
  <si>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</si>
  <si>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</si>
  <si>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</si>
  <si>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</si>
  <si>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</si>
  <si>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</si>
  <si>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</si>
  <si>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</si>
  <si>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</si>
  <si>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</si>
  <si>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</si>
  <si>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</si>
  <si>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</si>
  <si>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</si>
  <si>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</si>
  <si>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</si>
  <si>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</si>
  <si>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</si>
  <si>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范围：</t>
    </r>
    <r>
      <rPr>
        <sz val="10"/>
        <color rgb="FFFF0000"/>
        <rFont val="Arial"/>
        <charset val="134"/>
      </rPr>
      <t>1.5%-3%</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</si>
  <si>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</si>
  <si>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</si>
  <si>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</si>
  <si>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</si>
  <si>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</si>
  <si>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</si>
  <si>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</si>
  <si>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</si>
  <si>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</si>
  <si>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</si>
  <si>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</si>
  <si>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</si>
  <si>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</si>
  <si>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</si>
  <si>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</si>
  <si>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</si>
  <si>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</si>
  <si>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</si>
  <si>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</si>
  <si>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</si>
  <si>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</si>
  <si>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</si>
  <si>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</si>
  <si>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</si>
  <si>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</si>
  <si>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</si>
  <si>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</si>
  <si>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</si>
  <si>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</si>
  <si>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</si>
  <si>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</si>
  <si>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</si>
  <si>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</si>
  <si>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</si>
  <si>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</si>
  <si>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</si>
  <si>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</si>
  <si>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</si>
  <si>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</si>
  <si>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</si>
  <si>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</si>
  <si>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</si>
  <si>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</si>
  <si>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</si>
  <si>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</si>
  <si>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</si>
  <si>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</si>
  <si>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</si>
  <si>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</si>
  <si>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</si>
  <si>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</si>
  <si>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</si>
  <si>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</si>
  <si>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</si>
  <si>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</si>
  <si>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</si>
  <si>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</si>
  <si>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</si>
  <si>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</si>
  <si>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</si>
  <si>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</si>
  <si>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</si>
  <si>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</si>
  <si>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</si>
  <si>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</si>
  <si>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</si>
  <si>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</si>
  <si>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</si>
  <si>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</si>
  <si>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</si>
  <si>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</si>
  <si>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</si>
  <si>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</si>
  <si>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</si>
  <si>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</si>
  <si>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</si>
  <si>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</si>
  <si>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</si>
  <si>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</si>
  <si>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</si>
  <si>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</si>
  <si>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</si>
  <si>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</si>
  <si>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</si>
  <si>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</si>
  <si>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</si>
  <si>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</si>
  <si>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</si>
  <si>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</si>
  <si>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</si>
  <si>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</si>
  <si>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</si>
  <si>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</si>
  <si>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</si>
  <si>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</si>
  <si>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</si>
  <si>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</si>
  <si>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</si>
  <si>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</si>
  <si>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</si>
  <si>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</si>
  <si>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</si>
  <si>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</si>
  <si>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</si>
  <si>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</si>
  <si>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</si>
  <si>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</si>
  <si>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</si>
  <si>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</si>
  <si>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</si>
  <si>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</si>
  <si>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</si>
  <si>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</si>
  <si>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</si>
  <si>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</si>
  <si>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</si>
  <si>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</si>
  <si>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</si>
  <si>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</si>
  <si>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</si>
  <si>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</si>
  <si>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</si>
  <si>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</si>
  <si>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</si>
  <si>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</si>
  <si>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</si>
  <si>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</si>
  <si>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</si>
  <si>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</si>
  <si>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</si>
  <si>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</si>
  <si>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</si>
  <si>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</si>
  <si>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</si>
  <si>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</si>
  <si>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</si>
  <si>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</si>
  <si>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</si>
  <si>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</si>
  <si>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</si>
  <si>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</si>
  <si>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</si>
  <si>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</si>
  <si>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</si>
  <si>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</si>
  <si>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</si>
  <si>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</si>
  <si>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</si>
  <si>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</si>
  <si>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</si>
  <si>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</si>
  <si>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</si>
  <si>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</si>
  <si>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</si>
  <si>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</si>
  <si>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</si>
  <si>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</si>
  <si>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</si>
  <si>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</si>
  <si>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</si>
  <si>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</si>
  <si>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</si>
  <si>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</si>
  <si>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</si>
  <si>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</si>
  <si>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</si>
  <si>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</si>
  <si>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</si>
  <si>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</si>
  <si>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</si>
  <si>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</si>
  <si>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</si>
  <si>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</si>
  <si>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</si>
  <si>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</si>
  <si>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</si>
  <si>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</si>
  <si>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</si>
  <si>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</si>
  <si>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</si>
  <si>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</si>
  <si>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</si>
  <si>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</si>
  <si>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</si>
  <si>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</si>
  <si>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</si>
  <si>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</si>
  <si>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</si>
  <si>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</si>
  <si>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</si>
  <si>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</si>
  <si>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</si>
  <si>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</si>
  <si>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</si>
  <si>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</si>
  <si>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</si>
  <si>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</si>
  <si>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</si>
  <si>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</si>
  <si>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</si>
  <si>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</si>
  <si>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</si>
  <si>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</si>
  <si>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</si>
  <si>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</si>
  <si>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</si>
  <si>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</si>
  <si>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</si>
  <si>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</si>
  <si>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</si>
  <si>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</si>
  <si>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</si>
  <si>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</si>
  <si>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</si>
  <si>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</si>
  <si>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</si>
  <si>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</si>
  <si>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</si>
  <si>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</si>
  <si>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</si>
  <si>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</si>
  <si>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</si>
  <si>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</si>
  <si>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</si>
  <si>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</si>
  <si>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</si>
  <si>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</si>
  <si>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</si>
  <si>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</si>
  <si>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</si>
  <si>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</si>
  <si>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</si>
  <si>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</si>
  <si>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</si>
  <si>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</si>
  <si>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</si>
  <si>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</si>
  <si>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</si>
  <si>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</si>
  <si>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</si>
  <si>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</si>
  <si>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</si>
  <si>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</si>
  <si>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</si>
  <si>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</si>
  <si>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</si>
  <si>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</si>
  <si>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买卖合同</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</si>
  <si>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</si>
  <si>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</si>
  <si>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</si>
  <si>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</si>
  <si>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</si>
  <si>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</si>
  <si>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</si>
  <si>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2016年5月1日前购买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</si>
  <si>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</si>
  <si>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</si>
  <si>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</si>
  <si>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</si>
  <si>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</si>
  <si>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</si>
  <si>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</si>
  <si>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</si>
  <si>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</si>
  <si>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</si>
  <si>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</si>
  <si>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</si>
  <si>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</si>
  <si>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</si>
  <si>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</si>
  <si>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</si>
  <si>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</si>
  <si>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</si>
  <si>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</si>
  <si>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</si>
  <si>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</si>
  <si>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</si>
  <si>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</si>
  <si>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</si>
  <si>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</si>
  <si>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</si>
  <si>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</si>
  <si>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</si>
  <si>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</si>
  <si>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</si>
  <si>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</si>
  <si>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</si>
  <si>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</si>
  <si>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</si>
  <si>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</si>
  <si>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</si>
  <si>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</si>
  <si>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</si>
  <si>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</si>
  <si>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</si>
  <si>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</si>
  <si>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</si>
  <si>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</si>
  <si>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</si>
  <si>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</si>
  <si>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</si>
  <si>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</si>
  <si>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</si>
  <si>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</si>
  <si>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</si>
  <si>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</si>
  <si>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</si>
  <si>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</si>
  <si>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</si>
  <si>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</si>
  <si>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</si>
  <si>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</si>
  <si>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</si>
  <si>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</si>
  <si>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</si>
  <si>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</si>
  <si>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</si>
  <si>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</si>
  <si>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</si>
  <si>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</si>
  <si>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</si>
  <si>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</si>
  <si>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</si>
  <si>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</si>
  <si>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</si>
  <si>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</si>
  <si>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</si>
  <si>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</si>
  <si>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</si>
  <si>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</si>
  <si>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</si>
  <si>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</si>
  <si>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</si>
  <si>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</si>
  <si>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</si>
  <si>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</si>
  <si>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</si>
  <si>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</si>
  <si>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</si>
  <si>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</si>
  <si>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</si>
  <si>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</si>
  <si>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</si>
  <si>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</si>
  <si>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</si>
  <si>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</si>
  <si>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</si>
  <si>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</si>
  <si>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</si>
  <si>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</si>
  <si>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</si>
  <si>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</si>
  <si>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</si>
  <si>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</si>
  <si>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</si>
  <si>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</si>
  <si>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</si>
  <si>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</si>
  <si>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</si>
  <si>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</si>
  <si>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</si>
  <si>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</si>
  <si>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</si>
  <si>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</si>
  <si>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</si>
  <si>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</si>
  <si>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</si>
  <si>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</si>
  <si>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</si>
  <si>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</si>
  <si>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</si>
  <si>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</si>
  <si>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</si>
  <si>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</si>
  <si>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</si>
  <si>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</si>
  <si>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</si>
  <si>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</si>
  <si>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</si>
  <si>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</si>
  <si>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</si>
  <si>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</si>
  <si>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</si>
  <si>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</si>
  <si>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</si>
  <si>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</si>
  <si>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</si>
  <si>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</si>
  <si>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</si>
  <si>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</si>
  <si>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</si>
  <si>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</si>
  <si>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</si>
  <si>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</si>
  <si>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</si>
  <si>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</si>
  <si>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</si>
  <si>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</si>
  <si>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</si>
  <si>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</si>
  <si>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</si>
  <si>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</si>
  <si>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</si>
  <si>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</si>
  <si>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</si>
  <si>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</si>
  <si>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</si>
  <si>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</si>
  <si>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</si>
  <si>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</si>
  <si>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</si>
  <si>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</si>
  <si>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</si>
  <si>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</si>
  <si>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</si>
  <si>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</si>
  <si>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</si>
  <si>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</si>
  <si>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</si>
  <si>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</si>
  <si>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</si>
  <si>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</si>
  <si>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</si>
  <si>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</si>
  <si>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</si>
  <si>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</si>
  <si>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</si>
  <si>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</si>
  <si>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</si>
  <si>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</si>
  <si>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</si>
  <si>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</si>
  <si>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</si>
  <si>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</si>
  <si>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</si>
  <si>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</si>
  <si>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</si>
  <si>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</si>
  <si>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</si>
  <si>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</si>
  <si>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</si>
  <si>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</si>
  <si>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</si>
  <si>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</si>
  <si>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</si>
  <si>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</si>
  <si>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</si>
  <si>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</si>
  <si>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</si>
  <si>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</si>
  <si>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</si>
  <si>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</si>
  <si>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</si>
  <si>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</si>
  <si>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</si>
  <si>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</si>
  <si>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</si>
  <si>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</si>
  <si>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</si>
  <si>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</si>
  <si>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</si>
  <si>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</si>
  <si>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</si>
  <si>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</si>
  <si>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</si>
  <si>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</si>
  <si>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</si>
  <si>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</si>
  <si>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</si>
  <si>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</si>
  <si>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</si>
  <si>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</si>
  <si>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</si>
  <si>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</si>
  <si>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</si>
  <si>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</si>
  <si>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</si>
  <si>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</si>
  <si>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</si>
  <si>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</si>
  <si>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</si>
  <si>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</si>
  <si>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</si>
  <si>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</si>
  <si>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电子城IT产业园</t>
  </si>
  <si>
    <t>兆维工业园</t>
  </si>
  <si>
    <t>星城国际大厦</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</si>
  <si>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</si>
  <si>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</si>
  <si>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</si>
  <si>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</si>
  <si>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</si>
  <si>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</si>
  <si>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</si>
  <si>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</si>
  <si>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</si>
  <si>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</si>
  <si>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t>工业立项办公</t>
  </si>
  <si>
    <t>办公</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</si>
  <si>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</si>
  <si>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</si>
  <si>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</si>
  <si>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</si>
  <si>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</si>
  <si>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办公集聚程度</t>
    </r>
  </si>
  <si>
    <t>产业集聚程度</t>
  </si>
  <si>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</si>
  <si>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</si>
  <si>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</si>
  <si>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</si>
  <si>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</si>
  <si>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</si>
  <si>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</si>
  <si>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</si>
  <si>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r>
      <rPr>
        <sz val="11"/>
        <color indexed="8"/>
        <rFont val="宋体"/>
        <charset val="134"/>
      </rPr>
      <t>朝向</t>
    </r>
  </si>
  <si>
    <r>
      <rPr>
        <b/>
        <sz val="11"/>
        <rFont val="宋体"/>
        <charset val="134"/>
      </rPr>
      <t>实物状况</t>
    </r>
  </si>
  <si>
    <r>
      <rPr>
        <sz val="11"/>
        <color indexed="8"/>
        <rFont val="宋体"/>
        <charset val="134"/>
      </rPr>
      <t>建筑类型</t>
    </r>
  </si>
  <si>
    <t>产业园区</t>
  </si>
  <si>
    <t>标准写字楼</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</si>
  <si>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</si>
  <si>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</si>
  <si>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</si>
  <si>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</si>
  <si>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</si>
  <si>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</si>
  <si>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</si>
  <si>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</si>
  <si>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</si>
  <si>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</si>
  <si>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</si>
  <si>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</si>
  <si>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</si>
  <si>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</si>
  <si>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</si>
  <si>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</si>
  <si>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</si>
  <si>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</si>
  <si>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</si>
  <si>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</si>
  <si>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</si>
  <si>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</si>
  <si>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</si>
  <si>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</si>
  <si>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</si>
  <si>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</si>
  <si>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</si>
  <si>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</si>
  <si>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</si>
  <si>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</si>
  <si>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</si>
  <si>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</si>
  <si>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</si>
  <si>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</si>
  <si>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r>
      <rPr>
        <sz val="11"/>
        <color indexed="8"/>
        <rFont val="宋体"/>
        <charset val="134"/>
      </rPr>
      <t>单套建筑面积</t>
    </r>
  </si>
  <si>
    <t>精装</t>
  </si>
  <si>
    <t>简装</t>
  </si>
  <si>
    <t>毛坯</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</si>
  <si>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</si>
  <si>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</si>
  <si>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</si>
  <si>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</si>
  <si>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</si>
  <si>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</si>
  <si>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</si>
  <si>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</si>
  <si>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</si>
  <si>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</si>
  <si>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</si>
  <si>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</si>
  <si>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</si>
  <si>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</si>
  <si>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</si>
  <si>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</si>
  <si>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</si>
  <si>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</si>
  <si>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</si>
  <si>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</si>
  <si>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</si>
  <si>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</si>
  <si>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</si>
  <si>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</si>
  <si>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</si>
  <si>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</si>
  <si>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</si>
  <si>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</si>
  <si>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</si>
  <si>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</si>
  <si>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</si>
  <si>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</si>
  <si>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</si>
  <si>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</si>
  <si>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</si>
  <si>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</si>
  <si>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</si>
  <si>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</si>
  <si>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</si>
  <si>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</si>
  <si>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</si>
  <si>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</si>
  <si>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</si>
  <si>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</si>
  <si>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</si>
  <si>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</si>
  <si>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</si>
  <si>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</si>
  <si>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</si>
  <si>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</si>
  <si>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</si>
  <si>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</si>
  <si>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</si>
  <si>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</si>
  <si>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</si>
  <si>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</si>
  <si>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</si>
  <si>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</si>
  <si>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</si>
  <si>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</si>
  <si>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</si>
  <si>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</si>
  <si>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</si>
  <si>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</si>
  <si>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</si>
  <si>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</si>
  <si>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</si>
  <si>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</si>
  <si>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</si>
  <si>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</si>
  <si>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</si>
  <si>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</si>
  <si>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</si>
  <si>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</si>
  <si>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</si>
  <si>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</si>
  <si>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</si>
  <si>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</si>
  <si>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</si>
  <si>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</si>
  <si>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</si>
  <si>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</si>
  <si>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</si>
  <si>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</si>
  <si>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</si>
  <si>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</si>
  <si>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</si>
  <si>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</si>
  <si>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</si>
  <si>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</si>
  <si>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</si>
  <si>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</si>
  <si>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</si>
  <si>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</si>
  <si>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</si>
  <si>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</si>
  <si>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</si>
  <si>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</si>
  <si>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</si>
  <si>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</si>
  <si>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</si>
  <si>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</si>
  <si>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</si>
  <si>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</si>
  <si>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</si>
  <si>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</si>
  <si>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</si>
  <si>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</si>
  <si>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</si>
  <si>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</si>
  <si>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</si>
  <si>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</si>
  <si>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</si>
  <si>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</si>
  <si>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</si>
  <si>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</si>
  <si>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</si>
  <si>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</si>
  <si>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</si>
  <si>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</si>
  <si>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</si>
  <si>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</si>
  <si>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</si>
  <si>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</si>
  <si>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</si>
  <si>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</si>
  <si>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</si>
  <si>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</si>
  <si>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</si>
  <si>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</si>
  <si>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</si>
  <si>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</si>
  <si>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</si>
  <si>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</si>
  <si>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</si>
  <si>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</si>
  <si>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</si>
  <si>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</si>
  <si>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</si>
  <si>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</si>
  <si>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</si>
  <si>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</si>
  <si>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</si>
  <si>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</si>
  <si>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</si>
  <si>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</si>
  <si>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</si>
  <si>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</si>
  <si>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</si>
  <si>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</si>
  <si>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</si>
  <si>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</si>
  <si>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</si>
  <si>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</si>
  <si>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</si>
  <si>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</si>
  <si>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</si>
  <si>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</si>
  <si>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</si>
  <si>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</si>
  <si>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</si>
  <si>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</si>
  <si>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</si>
  <si>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</si>
  <si>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</si>
  <si>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</si>
  <si>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</si>
  <si>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</si>
  <si>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</si>
  <si>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</si>
  <si>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</si>
  <si>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</si>
  <si>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</si>
  <si>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</si>
  <si>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</si>
  <si>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</si>
  <si>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</si>
  <si>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</si>
  <si>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</si>
  <si>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</si>
  <si>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</si>
  <si>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</si>
  <si>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</si>
  <si>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</si>
  <si>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</si>
  <si>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</si>
  <si>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</si>
  <si>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</si>
  <si>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</si>
  <si>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</si>
  <si>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</si>
  <si>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</si>
  <si>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</si>
  <si>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</si>
  <si>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</si>
  <si>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</si>
  <si>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</si>
  <si>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</si>
  <si>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</si>
  <si>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</si>
  <si>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</si>
  <si>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</si>
  <si>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</si>
  <si>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</si>
  <si>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</si>
  <si>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</si>
  <si>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</si>
  <si>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</si>
  <si>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</si>
  <si>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</si>
  <si>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</si>
  <si>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</si>
  <si>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</si>
  <si>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</si>
  <si>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</si>
  <si>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</si>
  <si>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</si>
  <si>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</si>
  <si>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</si>
  <si>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</si>
  <si>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</si>
  <si>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</si>
  <si>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</si>
  <si>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</si>
  <si>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</si>
  <si>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</si>
  <si>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</si>
  <si>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</si>
  <si>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</si>
  <si>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</si>
  <si>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</si>
  <si>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</si>
  <si>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</si>
  <si>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</si>
  <si>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</si>
  <si>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</si>
  <si>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</si>
  <si>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</si>
  <si>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</si>
  <si>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</si>
  <si>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</si>
  <si>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</si>
  <si>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</si>
  <si>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</si>
  <si>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</si>
  <si>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</si>
  <si>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</si>
  <si>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</si>
  <si>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</si>
  <si>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</si>
  <si>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</si>
  <si>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</si>
  <si>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</si>
  <si>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</si>
  <si>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</si>
  <si>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</si>
  <si>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</si>
  <si>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</si>
  <si>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</si>
  <si>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</si>
  <si>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</si>
  <si>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</si>
  <si>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</si>
  <si>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</si>
  <si>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</si>
  <si>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</si>
  <si>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</si>
  <si>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</si>
  <si>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</si>
  <si>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</si>
  <si>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</si>
  <si>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</si>
  <si>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</si>
  <si>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</si>
  <si>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</si>
  <si>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</si>
  <si>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t>溢价</t>
  </si>
  <si>
    <r>
      <rPr>
        <sz val="11"/>
        <rFont val="Arial"/>
        <charset val="134"/>
      </rPr>
      <t>66%</t>
    </r>
    <r>
      <rPr>
        <sz val="11"/>
        <rFont val="宋体"/>
        <charset val="134"/>
      </rPr>
      <t>溢价成交</t>
    </r>
  </si>
  <si>
    <t>一般</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</si>
  <si>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</si>
  <si>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</si>
  <si>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</si>
  <si>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</si>
  <si>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</si>
  <si>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t>较规则</t>
  </si>
  <si>
    <t>较不规则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</si>
  <si>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</si>
  <si>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</si>
  <si>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</si>
  <si>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</si>
  <si>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</si>
  <si>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Arial"/>
        <charset val="134"/>
      </rPr>
      <t>54%</t>
    </r>
    <r>
      <rPr>
        <sz val="11"/>
        <rFont val="宋体"/>
        <charset val="134"/>
      </rPr>
      <t>住宅</t>
    </r>
  </si>
  <si>
    <r>
      <rPr>
        <sz val="11"/>
        <rFont val="Arial"/>
        <charset val="134"/>
      </rPr>
      <t>40</t>
    </r>
    <r>
      <rPr>
        <sz val="11"/>
        <rFont val="宋体"/>
        <charset val="134"/>
      </rPr>
      <t>%商业</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</si>
  <si>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</si>
  <si>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</si>
  <si>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</si>
  <si>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</si>
  <si>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</si>
  <si>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</si>
  <si>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</si>
  <si>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</si>
  <si>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</si>
  <si>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</si>
  <si>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</si>
  <si>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</si>
  <si>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</si>
  <si>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</si>
  <si>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</si>
  <si>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</si>
  <si>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</si>
  <si>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</si>
  <si>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</si>
  <si>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</si>
  <si>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</si>
  <si>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</si>
  <si>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</si>
  <si>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</si>
  <si>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</si>
  <si>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</si>
  <si>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</si>
  <si>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</si>
  <si>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</si>
  <si>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</si>
  <si>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</si>
  <si>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</si>
  <si>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</si>
  <si>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</si>
  <si>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</si>
  <si>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</si>
  <si>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</si>
  <si>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</si>
  <si>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</si>
  <si>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</si>
  <si>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</si>
  <si>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</si>
  <si>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</si>
  <si>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</si>
  <si>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</si>
  <si>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</si>
  <si>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</si>
  <si>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</si>
  <si>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</si>
  <si>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</si>
  <si>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</si>
  <si>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</si>
  <si>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</si>
  <si>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</si>
  <si>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</si>
  <si>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</si>
  <si>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</si>
  <si>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</si>
  <si>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</si>
  <si>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</si>
  <si>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</si>
  <si>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</si>
  <si>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</si>
  <si>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</si>
  <si>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</si>
  <si>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</si>
  <si>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</si>
  <si>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</si>
  <si>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</si>
  <si>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</si>
  <si>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</si>
  <si>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</si>
  <si>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</si>
  <si>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</si>
  <si>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</si>
  <si>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</si>
  <si>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</si>
  <si>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</si>
  <si>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</si>
  <si>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</si>
  <si>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</si>
  <si>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</si>
  <si>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</si>
  <si>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</si>
  <si>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</si>
  <si>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</si>
  <si>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</si>
  <si>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</si>
  <si>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</si>
  <si>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</si>
  <si>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</si>
  <si>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</si>
  <si>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</si>
  <si>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</si>
  <si>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</si>
  <si>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</si>
  <si>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</si>
  <si>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</si>
  <si>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</si>
  <si>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</si>
  <si>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</si>
  <si>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</si>
  <si>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</si>
  <si>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</si>
  <si>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</si>
  <si>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</si>
  <si>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</si>
  <si>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</si>
  <si>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</si>
  <si>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</si>
  <si>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</si>
  <si>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</si>
  <si>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</si>
  <si>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</si>
  <si>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</si>
  <si>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</si>
  <si>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</si>
  <si>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</si>
  <si>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</si>
  <si>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</si>
  <si>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</si>
  <si>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</si>
  <si>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</si>
  <si>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</si>
  <si>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</si>
  <si>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</si>
  <si>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</si>
  <si>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</si>
  <si>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</si>
  <si>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</si>
  <si>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</si>
  <si>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</si>
  <si>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</si>
  <si>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</si>
  <si>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</si>
  <si>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</si>
  <si>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</si>
  <si>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</si>
  <si>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</si>
  <si>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</si>
  <si>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</si>
  <si>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</si>
  <si>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</si>
  <si>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</si>
  <si>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</si>
  <si>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</si>
  <si>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</si>
  <si>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</si>
  <si>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</si>
  <si>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</si>
  <si>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</si>
  <si>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</si>
  <si>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</si>
  <si>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</si>
  <si>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</si>
  <si>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</si>
  <si>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</si>
  <si>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</si>
  <si>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</si>
  <si>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t>B1</t>
  </si>
  <si>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</si>
  <si>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</si>
  <si>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</si>
  <si>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</si>
  <si>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</si>
  <si>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</si>
  <si>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</si>
  <si>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1F</t>
  </si>
  <si>
    <t>2F</t>
  </si>
  <si>
    <t>3F</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</si>
  <si>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</si>
  <si>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</si>
  <si>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</si>
  <si>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</si>
  <si>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</si>
  <si>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</si>
  <si>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</si>
  <si>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</si>
  <si>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</si>
  <si>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</si>
  <si>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</si>
  <si>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</si>
  <si>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</si>
  <si>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</si>
  <si>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</si>
  <si>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</si>
  <si>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</si>
  <si>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</si>
  <si>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</si>
  <si>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</si>
  <si>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</si>
  <si>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</si>
  <si>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</si>
  <si>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</si>
  <si>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</si>
  <si>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</si>
  <si>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</si>
  <si>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</si>
  <si>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</si>
  <si>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</si>
  <si>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</si>
  <si>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</si>
  <si>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</si>
  <si>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</si>
  <si>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</si>
  <si>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</si>
  <si>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</si>
  <si>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</si>
  <si>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</si>
  <si>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</si>
  <si>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</si>
  <si>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</si>
  <si>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</si>
  <si>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</si>
  <si>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</si>
  <si>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</si>
  <si>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</si>
  <si>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</si>
  <si>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</si>
  <si>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</si>
  <si>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</si>
  <si>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</si>
  <si>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</si>
  <si>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</si>
  <si>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</si>
  <si>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</si>
  <si>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</si>
  <si>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</si>
  <si>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</si>
  <si>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</si>
  <si>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</si>
  <si>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</si>
  <si>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</si>
  <si>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</si>
  <si>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</si>
  <si>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</si>
  <si>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</si>
  <si>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</si>
  <si>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</si>
  <si>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</si>
  <si>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</si>
  <si>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</si>
  <si>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</si>
  <si>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</si>
  <si>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</si>
  <si>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</si>
  <si>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</si>
  <si>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</si>
  <si>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</si>
  <si>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</si>
  <si>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</si>
  <si>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</si>
  <si>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</si>
  <si>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</si>
  <si>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</si>
  <si>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</si>
  <si>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</si>
  <si>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</si>
  <si>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</si>
  <si>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</si>
  <si>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</si>
  <si>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</si>
  <si>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</si>
  <si>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</si>
  <si>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</si>
  <si>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</si>
  <si>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</si>
  <si>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</si>
  <si>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</si>
  <si>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</si>
  <si>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</si>
  <si>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</si>
  <si>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</si>
  <si>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</si>
  <si>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</si>
  <si>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</si>
  <si>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</si>
  <si>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</si>
  <si>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</si>
  <si>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</si>
  <si>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</si>
  <si>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</si>
  <si>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</si>
  <si>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</si>
  <si>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</si>
  <si>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</si>
  <si>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</si>
  <si>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</si>
  <si>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</si>
  <si>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</si>
  <si>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</si>
  <si>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</si>
  <si>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</si>
  <si>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</si>
  <si>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</si>
  <si>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</si>
  <si>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</si>
  <si>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</si>
  <si>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</si>
  <si>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</si>
  <si>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</si>
  <si>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</si>
  <si>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</si>
  <si>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</si>
  <si>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</si>
  <si>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</si>
  <si>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</si>
  <si>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</si>
  <si>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</si>
  <si>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</si>
  <si>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</si>
  <si>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</si>
  <si>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</si>
  <si>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</si>
  <si>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</si>
  <si>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</si>
  <si>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</si>
  <si>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</si>
  <si>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</si>
  <si>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</si>
  <si>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</si>
  <si>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</si>
  <si>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</si>
  <si>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</si>
  <si>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</si>
  <si>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</si>
  <si>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</si>
  <si>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</si>
  <si>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</si>
  <si>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</si>
  <si>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</si>
  <si>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</si>
  <si>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</si>
  <si>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</si>
  <si>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</si>
  <si>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</si>
  <si>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</si>
  <si>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</si>
  <si>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</si>
  <si>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</si>
  <si>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</si>
  <si>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</si>
  <si>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</si>
  <si>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</si>
  <si>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</si>
  <si>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</si>
  <si>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</si>
  <si>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</si>
  <si>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</si>
  <si>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</si>
  <si>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</si>
  <si>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</si>
  <si>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</si>
  <si>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</si>
  <si>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</si>
  <si>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</si>
  <si>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</si>
  <si>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</si>
  <si>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</si>
  <si>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</si>
  <si>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</si>
  <si>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</si>
  <si>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</si>
  <si>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</si>
  <si>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</si>
  <si>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</si>
  <si>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</si>
  <si>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</si>
  <si>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</si>
  <si>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</si>
  <si>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</si>
  <si>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</si>
  <si>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</si>
  <si>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</si>
  <si>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</si>
  <si>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</si>
  <si>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</si>
  <si>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</si>
  <si>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</si>
  <si>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</si>
  <si>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</si>
  <si>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</si>
  <si>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电子城创新产业园</t>
  </si>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</sst>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yyyy&quot;年&quot;m&quot;月&quot;;@"/>
    <numFmt numFmtId="189" formatCode="0.000_);[Red]\(0.000\)"/>
    <numFmt numFmtId="190" formatCode="0.0000_ "/>
    <numFmt numFmtId="191" formatCode="0.000%"/>
    <numFmt numFmtId="192" formatCode="0_ ;[Red]\-0\ "/>
    <numFmt numFmtId="193" formatCode="[$-F800]dddd\,\ mmmm\ dd\,\ yyyy"/>
    <numFmt numFmtId="194" formatCode="0;_쐀"/>
    <numFmt numFmtId="195"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sz val="11"/>
      <color theme="9" tint="-0.249977111117893"/>
      <name val="宋体"/>
      <charset val="134"/>
    </font>
    <font>
      <b/>
      <sz val="11"/>
      <color indexed="8"/>
      <name val="Arial"/>
      <charset val="134"/>
    </font>
    <font>
      <sz val="11"/>
      <color rgb="FF000000"/>
      <name val="宋体"/>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1"/>
      <name val="宋体"/>
      <charset val="134"/>
    </font>
    <font>
      <sz val="11"/>
      <color indexed="53"/>
      <name val="宋体"/>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b/>
      <sz val="12"/>
      <color indexed="10"/>
      <name val="Arial"/>
      <charset val="134"/>
    </font>
    <font>
      <i/>
      <sz val="10"/>
      <color indexed="8"/>
      <name val="Arial"/>
      <charset val="134"/>
    </font>
    <font>
      <sz val="10"/>
      <color rgb="FF000000"/>
      <name val="Arial"/>
      <charset val="134"/>
    </font>
    <font>
      <sz val="11"/>
      <color theme="9" tint="-0.249977111117893"/>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0"/>
      <color indexed="8"/>
      <name val="宋体"/>
      <charset val="134"/>
    </font>
    <font>
      <sz val="11"/>
      <color theme="1"/>
      <name val="宋体"/>
      <charset val="134"/>
    </font>
    <font>
      <sz val="10"/>
      <color rgb="FF000000"/>
      <name val="宋体"/>
      <charset val="134"/>
    </font>
    <font>
      <sz val="12"/>
      <color indexed="8"/>
      <name val="宋体"/>
      <charset val="134"/>
    </font>
    <font>
      <sz val="10"/>
      <color indexed="10"/>
      <name val="宋体"/>
      <charset val="134"/>
    </font>
    <font>
      <b/>
      <sz val="11"/>
      <color indexed="8"/>
      <name val="宋体"/>
      <charset val="134"/>
    </font>
    <font>
      <b/>
      <vertAlign val="superscript"/>
      <sz val="8"/>
      <color rgb="FF666666"/>
      <name val="微软雅黑"/>
      <charset val="134"/>
    </font>
    <font>
      <b/>
      <sz val="11"/>
      <color rgb="FF666666"/>
      <name val="微软雅黑"/>
      <charset val="134"/>
    </font>
    <font>
      <b/>
      <sz val="11"/>
      <name val="宋体"/>
      <charset val="134"/>
    </font>
    <font>
      <sz val="10"/>
      <color theme="9" tint="-0.249977111117893"/>
      <name val="宋体"/>
      <charset val="134"/>
    </font>
    <font>
      <b/>
      <sz val="14"/>
      <color rgb="FF000000"/>
      <name val="宋体"/>
      <charset val="134"/>
    </font>
    <font>
      <i/>
      <sz val="14"/>
      <color theme="3" tint="0.399945066682943"/>
      <name val="宋体"/>
      <charset val="134"/>
    </font>
    <font>
      <b/>
      <sz val="12"/>
      <color indexed="8"/>
      <name val="宋体"/>
      <charset val="134"/>
    </font>
    <font>
      <b/>
      <sz val="10"/>
      <color indexed="10"/>
      <name val="楷体_GB2312"/>
      <charset val="134"/>
    </font>
    <font>
      <b/>
      <sz val="11"/>
      <color indexed="10"/>
      <name val="宋体"/>
      <charset val="134"/>
    </font>
    <font>
      <sz val="9"/>
      <color indexed="8"/>
      <name val="仿宋_GB2312"/>
      <charset val="134"/>
    </font>
    <font>
      <b/>
      <sz val="10"/>
      <color indexed="53"/>
      <name val="宋体"/>
      <charset val="134"/>
    </font>
    <font>
      <vertAlign val="subscript"/>
      <sz val="10"/>
      <color theme="1"/>
      <name val="Arial"/>
      <charset val="134"/>
    </font>
    <font>
      <vertAlign val="superscript"/>
      <sz val="10"/>
      <color theme="1"/>
      <name val="Arial"/>
      <charset val="134"/>
    </font>
    <font>
      <b/>
      <sz val="11"/>
      <color rgb="FFFF0000"/>
      <name val="宋体"/>
      <charset val="134"/>
    </font>
    <font>
      <b/>
      <sz val="10"/>
      <color indexed="10"/>
      <name val="宋体"/>
      <charset val="134"/>
    </font>
    <font>
      <sz val="12"/>
      <color theme="9" tint="-0.249977111117893"/>
      <name val="宋体"/>
      <charset val="134"/>
    </font>
    <font>
      <sz val="14"/>
      <color theme="9" tint="-0.249977111117893"/>
      <name val="宋体"/>
      <charset val="134"/>
    </font>
    <font>
      <i/>
      <sz val="10"/>
      <name val="宋体"/>
      <charset val="134"/>
    </font>
    <font>
      <b/>
      <sz val="16"/>
      <color indexed="10"/>
      <name val="宋体"/>
      <charset val="134"/>
    </font>
    <font>
      <b/>
      <sz val="11"/>
      <color theme="1"/>
      <name val="宋体"/>
      <charset val="134"/>
    </font>
    <font>
      <sz val="12"/>
      <color theme="1"/>
      <name val="宋体"/>
      <charset val="134"/>
    </font>
    <font>
      <b/>
      <sz val="18"/>
      <color indexed="10"/>
      <name val="΢ȭхڬˎ̥"/>
      <charset val="134"/>
    </font>
    <font>
      <sz val="9"/>
      <color indexed="8"/>
      <name val="宋体"/>
      <charset val="134"/>
    </font>
    <font>
      <b/>
      <sz val="11"/>
      <color theme="9" tint="-0.249977111117893"/>
      <name val="Arial"/>
      <charset val="134"/>
    </font>
    <font>
      <b/>
      <sz val="11"/>
      <color theme="9" tint="-0.249977111117893"/>
      <name val="宋体"/>
      <charset val="134"/>
    </font>
    <font>
      <sz val="10"/>
      <color rgb="FF707070"/>
      <name val="宋体"/>
      <charset val="134"/>
    </font>
    <font>
      <i/>
      <sz val="10"/>
      <name val="楷体_GB2312"/>
      <charset val="134"/>
    </font>
    <font>
      <sz val="14"/>
      <color rgb="FF000000"/>
      <name val="宋体"/>
      <charset val="134"/>
    </font>
    <font>
      <b/>
      <sz val="14"/>
      <color rgb="FFFF0000"/>
      <name val="宋体"/>
      <charset val="134"/>
    </font>
    <font>
      <b/>
      <vertAlign val="subscript"/>
      <sz val="10"/>
      <name val="宋体"/>
      <charset val="134"/>
    </font>
    <font>
      <sz val="14"/>
      <color theme="1"/>
      <name val="宋体"/>
      <charset val="134"/>
    </font>
    <font>
      <sz val="8"/>
      <color indexed="8"/>
      <name val="宋体"/>
      <charset val="134"/>
    </font>
    <font>
      <b/>
      <i/>
      <sz val="14"/>
      <color theme="3" tint="0.399945066682943"/>
      <name val="宋体"/>
      <charset val="134"/>
    </font>
    <font>
      <vertAlign val="superscript"/>
      <sz val="10"/>
      <color theme="1"/>
      <name val="宋体"/>
      <charset val="134"/>
    </font>
    <font>
      <sz val="10"/>
      <color indexed="8"/>
      <name val="楷体_GB2312"/>
      <charset val="134"/>
    </font>
    <font>
      <b/>
      <sz val="14"/>
      <color theme="1"/>
      <name val="宋体"/>
      <charset val="134"/>
    </font>
    <font>
      <b/>
      <vertAlign val="subscript"/>
      <sz val="10"/>
      <name val="Arial"/>
      <charset val="134"/>
    </font>
    <font>
      <b/>
      <vertAlign val="subscript"/>
      <sz val="10"/>
      <name val="楷体_GB2312"/>
      <charset val="134"/>
    </font>
    <font>
      <sz val="10"/>
      <color indexed="53"/>
      <name val="宋体"/>
      <charset val="134"/>
    </font>
    <font>
      <b/>
      <sz val="14"/>
      <color indexed="10"/>
      <name val="宋体"/>
      <charset val="134"/>
      <scheme val="minor"/>
    </font>
    <font>
      <i/>
      <sz val="10"/>
      <color indexed="8"/>
      <name val="宋体"/>
      <charset val="134"/>
    </font>
    <font>
      <b/>
      <i/>
      <sz val="10"/>
      <color rgb="FFFF0000"/>
      <name val="宋体"/>
      <charset val="134"/>
    </font>
    <font>
      <sz val="8"/>
      <color indexed="8"/>
      <name val="仿宋_GB2312"/>
      <charset val="134"/>
    </font>
    <font>
      <sz val="11"/>
      <color indexed="10"/>
      <name val="宋体"/>
      <charset val="134"/>
    </font>
    <font>
      <vertAlign val="superscript"/>
      <sz val="10"/>
      <color indexed="8"/>
      <name val="Arial"/>
      <charset val="134"/>
    </font>
    <font>
      <b/>
      <sz val="18"/>
      <color theme="1"/>
      <name val="宋体"/>
      <charset val="134"/>
    </font>
    <font>
      <b/>
      <sz val="16"/>
      <color indexed="10"/>
      <name val="楷体_GB2312"/>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vertAlign val="subscript"/>
      <sz val="10"/>
      <color indexed="8"/>
      <name val="宋体"/>
      <charset val="134"/>
    </font>
    <font>
      <sz val="12"/>
      <color rgb="FF000000"/>
      <name val="宋体"/>
      <charset val="134"/>
    </font>
    <font>
      <b/>
      <i/>
      <sz val="11"/>
      <color theme="3" tint="0.399945066682943"/>
      <name val="宋体"/>
      <charset val="134"/>
    </font>
    <font>
      <i/>
      <sz val="11"/>
      <color theme="3" tint="0.399945066682943"/>
      <name val="宋体"/>
      <charset val="134"/>
    </font>
    <font>
      <b/>
      <sz val="12"/>
      <color rgb="FF000000"/>
      <name val="宋体"/>
      <charset val="134"/>
    </font>
    <font>
      <sz val="16"/>
      <name val="宋体"/>
      <charset val="134"/>
    </font>
    <font>
      <sz val="9"/>
      <name val="宋体"/>
      <charset val="134"/>
    </font>
    <font>
      <sz val="11"/>
      <name val="宋体"/>
      <charset val="134"/>
    </font>
    <font>
      <sz val="12"/>
      <name val="宋体"/>
      <charset val="0"/>
      <scheme val="minor"/>
    </font>
    <font>
      <sz val="12"/>
      <name val="仿宋_GB2312"/>
      <charset val="134"/>
    </font>
    <font>
      <b/>
      <sz val="8"/>
      <name val="宋体"/>
      <charset val="134"/>
    </font>
    <font>
      <b/>
      <sz val="11"/>
      <name val="宋体"/>
      <charset val="134"/>
    </font>
    <font>
      <sz val="14"/>
      <name val="楷体_GB2312"/>
      <charset val="134"/>
    </font>
    <font>
      <sz val="12"/>
      <name val="楷体_GB2312"/>
      <charset val="134"/>
    </font>
    <font>
      <sz val="12"/>
      <name val="宋体"/>
      <charset val="134"/>
    </font>
    <font>
      <sz val="11"/>
      <name val="楷体_GB2312"/>
      <charset val="134"/>
    </font>
    <font>
      <sz val="10"/>
      <name val="宋体"/>
      <charset val="134"/>
    </font>
    <font>
      <b/>
      <sz val="9"/>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indexed="13"/>
        <bgColor indexed="64"/>
      </patternFill>
    </fill>
    <fill>
      <patternFill patternType="solid">
        <fgColor rgb="FF57EF57"/>
        <bgColor indexed="64"/>
      </patternFill>
    </fill>
    <fill>
      <patternFill patternType="solid">
        <fgColor theme="0"/>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right style="thin">
        <color auto="1"/>
      </right>
      <top/>
      <bottom style="medium">
        <color auto="1"/>
      </bottom>
      <diagonal/>
    </border>
    <border>
      <left style="medium">
        <color auto="1"/>
      </left>
      <right/>
      <top/>
      <bottom style="thin">
        <color auto="1"/>
      </bottom>
      <diagonal/>
    </border>
    <border>
      <left style="thin">
        <color auto="1"/>
      </left>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7"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0" fillId="22" borderId="176" applyNumberFormat="0" applyFont="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177" applyNumberFormat="0" applyFill="0" applyAlignment="0" applyProtection="0">
      <alignment vertical="center"/>
    </xf>
    <xf numFmtId="0" fontId="158" fillId="0" borderId="177" applyNumberFormat="0" applyFill="0" applyAlignment="0" applyProtection="0">
      <alignment vertical="center"/>
    </xf>
    <xf numFmtId="0" fontId="159" fillId="0" borderId="178" applyNumberFormat="0" applyFill="0" applyAlignment="0" applyProtection="0">
      <alignment vertical="center"/>
    </xf>
    <xf numFmtId="0" fontId="159" fillId="0" borderId="0" applyNumberFormat="0" applyFill="0" applyBorder="0" applyAlignment="0" applyProtection="0">
      <alignment vertical="center"/>
    </xf>
    <xf numFmtId="0" fontId="160" fillId="23" borderId="179" applyNumberFormat="0" applyAlignment="0" applyProtection="0">
      <alignment vertical="center"/>
    </xf>
    <xf numFmtId="0" fontId="161" fillId="24" borderId="180" applyNumberFormat="0" applyAlignment="0" applyProtection="0">
      <alignment vertical="center"/>
    </xf>
    <xf numFmtId="0" fontId="162" fillId="24" borderId="179" applyNumberFormat="0" applyAlignment="0" applyProtection="0">
      <alignment vertical="center"/>
    </xf>
    <xf numFmtId="0" fontId="163" fillId="25" borderId="181" applyNumberFormat="0" applyAlignment="0" applyProtection="0">
      <alignment vertical="center"/>
    </xf>
    <xf numFmtId="0" fontId="164" fillId="0" borderId="182" applyNumberFormat="0" applyFill="0" applyAlignment="0" applyProtection="0">
      <alignment vertical="center"/>
    </xf>
    <xf numFmtId="0" fontId="165" fillId="0" borderId="183" applyNumberFormat="0" applyFill="0" applyAlignment="0" applyProtection="0">
      <alignment vertical="center"/>
    </xf>
    <xf numFmtId="0" fontId="166" fillId="26" borderId="0" applyNumberFormat="0" applyBorder="0" applyAlignment="0" applyProtection="0">
      <alignment vertical="center"/>
    </xf>
    <xf numFmtId="0" fontId="167" fillId="27" borderId="0" applyNumberFormat="0" applyBorder="0" applyAlignment="0" applyProtection="0">
      <alignment vertical="center"/>
    </xf>
    <xf numFmtId="0" fontId="168" fillId="28" borderId="0" applyNumberFormat="0" applyBorder="0" applyAlignment="0" applyProtection="0">
      <alignment vertical="center"/>
    </xf>
    <xf numFmtId="0" fontId="169" fillId="29" borderId="0" applyNumberFormat="0" applyBorder="0" applyAlignment="0" applyProtection="0">
      <alignment vertical="center"/>
    </xf>
    <xf numFmtId="0" fontId="170" fillId="30" borderId="0" applyNumberFormat="0" applyBorder="0" applyAlignment="0" applyProtection="0">
      <alignment vertical="center"/>
    </xf>
    <xf numFmtId="0" fontId="170" fillId="31" borderId="0" applyNumberFormat="0" applyBorder="0" applyAlignment="0" applyProtection="0">
      <alignment vertical="center"/>
    </xf>
    <xf numFmtId="0" fontId="169" fillId="32" borderId="0" applyNumberFormat="0" applyBorder="0" applyAlignment="0" applyProtection="0">
      <alignment vertical="center"/>
    </xf>
    <xf numFmtId="0" fontId="169" fillId="33" borderId="0" applyNumberFormat="0" applyBorder="0" applyAlignment="0" applyProtection="0">
      <alignment vertical="center"/>
    </xf>
    <xf numFmtId="0" fontId="170" fillId="34" borderId="0" applyNumberFormat="0" applyBorder="0" applyAlignment="0" applyProtection="0">
      <alignment vertical="center"/>
    </xf>
    <xf numFmtId="0" fontId="170" fillId="35" borderId="0" applyNumberFormat="0" applyBorder="0" applyAlignment="0" applyProtection="0">
      <alignment vertical="center"/>
    </xf>
    <xf numFmtId="0" fontId="169" fillId="36" borderId="0" applyNumberFormat="0" applyBorder="0" applyAlignment="0" applyProtection="0">
      <alignment vertical="center"/>
    </xf>
    <xf numFmtId="0" fontId="169" fillId="37" borderId="0" applyNumberFormat="0" applyBorder="0" applyAlignment="0" applyProtection="0">
      <alignment vertical="center"/>
    </xf>
    <xf numFmtId="0" fontId="170" fillId="38" borderId="0" applyNumberFormat="0" applyBorder="0" applyAlignment="0" applyProtection="0">
      <alignment vertical="center"/>
    </xf>
    <xf numFmtId="0" fontId="170" fillId="39" borderId="0" applyNumberFormat="0" applyBorder="0" applyAlignment="0" applyProtection="0">
      <alignment vertical="center"/>
    </xf>
    <xf numFmtId="0" fontId="169" fillId="40" borderId="0" applyNumberFormat="0" applyBorder="0" applyAlignment="0" applyProtection="0">
      <alignment vertical="center"/>
    </xf>
    <xf numFmtId="0" fontId="169" fillId="41" borderId="0" applyNumberFormat="0" applyBorder="0" applyAlignment="0" applyProtection="0">
      <alignment vertical="center"/>
    </xf>
    <xf numFmtId="0" fontId="170" fillId="42" borderId="0" applyNumberFormat="0" applyBorder="0" applyAlignment="0" applyProtection="0">
      <alignment vertical="center"/>
    </xf>
    <xf numFmtId="0" fontId="170" fillId="43" borderId="0" applyNumberFormat="0" applyBorder="0" applyAlignment="0" applyProtection="0">
      <alignment vertical="center"/>
    </xf>
    <xf numFmtId="0" fontId="169" fillId="44" borderId="0" applyNumberFormat="0" applyBorder="0" applyAlignment="0" applyProtection="0">
      <alignment vertical="center"/>
    </xf>
    <xf numFmtId="0" fontId="169" fillId="45" borderId="0" applyNumberFormat="0" applyBorder="0" applyAlignment="0" applyProtection="0">
      <alignment vertical="center"/>
    </xf>
    <xf numFmtId="0" fontId="170" fillId="46" borderId="0" applyNumberFormat="0" applyBorder="0" applyAlignment="0" applyProtection="0">
      <alignment vertical="center"/>
    </xf>
    <xf numFmtId="0" fontId="170" fillId="47" borderId="0" applyNumberFormat="0" applyBorder="0" applyAlignment="0" applyProtection="0">
      <alignment vertical="center"/>
    </xf>
    <xf numFmtId="0" fontId="169" fillId="48" borderId="0" applyNumberFormat="0" applyBorder="0" applyAlignment="0" applyProtection="0">
      <alignment vertical="center"/>
    </xf>
    <xf numFmtId="0" fontId="169" fillId="49" borderId="0" applyNumberFormat="0" applyBorder="0" applyAlignment="0" applyProtection="0">
      <alignment vertical="center"/>
    </xf>
    <xf numFmtId="0" fontId="170" fillId="50" borderId="0" applyNumberFormat="0" applyBorder="0" applyAlignment="0" applyProtection="0">
      <alignment vertical="center"/>
    </xf>
    <xf numFmtId="0" fontId="170" fillId="51" borderId="0" applyNumberFormat="0" applyBorder="0" applyAlignment="0" applyProtection="0">
      <alignment vertical="center"/>
    </xf>
    <xf numFmtId="0" fontId="169" fillId="52" borderId="0" applyNumberFormat="0" applyBorder="0" applyAlignment="0" applyProtection="0">
      <alignment vertical="center"/>
    </xf>
    <xf numFmtId="0" fontId="25" fillId="0" borderId="0"/>
    <xf numFmtId="9" fontId="99" fillId="0" borderId="0" applyFont="0" applyFill="0" applyBorder="0" applyAlignment="0" applyProtection="0">
      <alignment vertical="center"/>
    </xf>
    <xf numFmtId="176" fontId="117" fillId="0" borderId="0">
      <alignment vertical="center"/>
    </xf>
    <xf numFmtId="0" fontId="117" fillId="0" borderId="0">
      <alignment vertical="center"/>
    </xf>
    <xf numFmtId="0" fontId="117" fillId="0" borderId="0">
      <alignment vertical="center"/>
    </xf>
    <xf numFmtId="0" fontId="117" fillId="0" borderId="0">
      <alignment vertical="center"/>
    </xf>
    <xf numFmtId="0" fontId="117" fillId="0" borderId="0">
      <alignment vertical="center"/>
    </xf>
    <xf numFmtId="0" fontId="117" fillId="0" borderId="0"/>
    <xf numFmtId="0" fontId="117" fillId="0" borderId="0">
      <alignment vertical="center"/>
    </xf>
    <xf numFmtId="0" fontId="99" fillId="0" borderId="0"/>
    <xf numFmtId="0" fontId="117" fillId="0" borderId="0">
      <alignment vertical="center"/>
    </xf>
    <xf numFmtId="0" fontId="117" fillId="0" borderId="0"/>
    <xf numFmtId="0" fontId="171" fillId="0" borderId="0">
      <alignment vertical="center"/>
    </xf>
    <xf numFmtId="0" fontId="171" fillId="0" borderId="0">
      <alignment vertical="center"/>
    </xf>
    <xf numFmtId="0" fontId="171" fillId="0" borderId="0">
      <alignment vertical="center"/>
    </xf>
    <xf numFmtId="0" fontId="117" fillId="0" borderId="0">
      <alignment vertical="center"/>
    </xf>
    <xf numFmtId="0" fontId="171" fillId="0" borderId="0">
      <alignment vertical="center"/>
    </xf>
    <xf numFmtId="0" fontId="117" fillId="0" borderId="0"/>
  </cellStyleXfs>
  <cellXfs count="3710">
    <xf numFmtId="0" fontId="0" fillId="0" borderId="0" xfId="0">
      <alignment vertical="center"/>
    </xf>
    <xf numFmtId="0" fontId="1" fillId="0" borderId="0" xfId="0" applyFont="1" applyAlignment="1"/>
    <xf numFmtId="0" fontId="0" fillId="0" borderId="0" xfId="0" applyFont="1" applyAlignment="1"/>
    <xf numFmtId="0" fontId="2" fillId="2" borderId="0" xfId="56" applyFont="1" applyFill="1"/>
    <xf numFmtId="0" fontId="2" fillId="0" borderId="0" xfId="56" applyFont="1"/>
    <xf numFmtId="0" fontId="0" fillId="0" borderId="0" xfId="0" applyAlignment="1"/>
    <xf numFmtId="0" fontId="3" fillId="2" borderId="1" xfId="56" applyFont="1" applyFill="1" applyBorder="1"/>
    <xf numFmtId="0" fontId="4" fillId="2" borderId="2" xfId="56" applyFont="1" applyFill="1" applyBorder="1" applyAlignment="1">
      <alignment horizontal="center"/>
    </xf>
    <xf numFmtId="14" fontId="3" fillId="2" borderId="2" xfId="56" applyNumberFormat="1" applyFont="1" applyFill="1" applyBorder="1" applyAlignment="1" applyProtection="1">
      <alignment horizontal="center"/>
    </xf>
    <xf numFmtId="0" fontId="3" fillId="2" borderId="2" xfId="56" applyFont="1" applyFill="1" applyBorder="1" applyAlignment="1" applyProtection="1">
      <alignment horizontal="center"/>
    </xf>
    <xf numFmtId="10" fontId="3" fillId="2" borderId="2" xfId="56" applyNumberFormat="1" applyFont="1" applyFill="1" applyBorder="1" applyAlignment="1">
      <alignment horizontal="center"/>
    </xf>
    <xf numFmtId="0" fontId="5" fillId="2" borderId="0" xfId="0" applyFont="1" applyFill="1" applyAlignment="1"/>
    <xf numFmtId="0" fontId="6" fillId="2" borderId="0" xfId="56" applyFont="1" applyFill="1"/>
    <xf numFmtId="0" fontId="2" fillId="2" borderId="3" xfId="56" applyFont="1" applyFill="1" applyBorder="1"/>
    <xf numFmtId="0" fontId="7" fillId="2" borderId="4" xfId="56" applyFont="1" applyFill="1" applyBorder="1" applyAlignment="1">
      <alignment horizontal="center" vertical="center" wrapText="1"/>
    </xf>
    <xf numFmtId="0" fontId="2" fillId="2" borderId="5" xfId="56" applyFont="1" applyFill="1" applyBorder="1" applyAlignment="1">
      <alignment horizontal="center"/>
    </xf>
    <xf numFmtId="0" fontId="7" fillId="2" borderId="3" xfId="56" applyFont="1" applyFill="1" applyBorder="1" applyAlignment="1">
      <alignment horizontal="center" vertical="center" wrapText="1"/>
    </xf>
    <xf numFmtId="0" fontId="2" fillId="2" borderId="4" xfId="56" applyNumberFormat="1" applyFont="1" applyFill="1" applyBorder="1" applyAlignment="1">
      <alignment horizontal="center"/>
    </xf>
    <xf numFmtId="0" fontId="2" fillId="2" borderId="6" xfId="56" applyFont="1" applyFill="1" applyBorder="1"/>
    <xf numFmtId="0" fontId="7" fillId="2" borderId="7" xfId="56" applyFont="1" applyFill="1" applyBorder="1" applyAlignment="1">
      <alignment horizontal="center" vertical="center" wrapText="1"/>
    </xf>
    <xf numFmtId="0" fontId="2" fillId="2" borderId="8" xfId="56" applyFont="1" applyFill="1" applyBorder="1" applyAlignment="1">
      <alignment horizontal="center"/>
    </xf>
    <xf numFmtId="0" fontId="7" fillId="2" borderId="6" xfId="56" applyFont="1" applyFill="1" applyBorder="1" applyAlignment="1">
      <alignment horizontal="center" vertical="center" wrapText="1"/>
    </xf>
    <xf numFmtId="0" fontId="2" fillId="2" borderId="7" xfId="56" applyNumberFormat="1" applyFont="1" applyFill="1" applyBorder="1" applyAlignment="1">
      <alignment horizontal="center"/>
    </xf>
    <xf numFmtId="0" fontId="2" fillId="2" borderId="9" xfId="56" applyFont="1" applyFill="1" applyBorder="1"/>
    <xf numFmtId="0" fontId="7" fillId="2" borderId="10" xfId="56" applyFont="1" applyFill="1" applyBorder="1" applyAlignment="1">
      <alignment horizontal="center" vertical="center" wrapText="1"/>
    </xf>
    <xf numFmtId="0" fontId="2" fillId="2" borderId="11" xfId="56" applyFont="1" applyFill="1" applyBorder="1" applyAlignment="1">
      <alignment horizontal="center"/>
    </xf>
    <xf numFmtId="0" fontId="7" fillId="2" borderId="9" xfId="56" applyFont="1" applyFill="1" applyBorder="1" applyAlignment="1">
      <alignment horizontal="center" vertical="center" wrapText="1"/>
    </xf>
    <xf numFmtId="0" fontId="2" fillId="2" borderId="10" xfId="56" applyNumberFormat="1" applyFont="1" applyFill="1" applyBorder="1" applyAlignment="1">
      <alignment horizontal="center"/>
    </xf>
    <xf numFmtId="0" fontId="2" fillId="2" borderId="0" xfId="56" applyNumberFormat="1" applyFont="1" applyFill="1" applyAlignment="1">
      <alignment horizontal="center"/>
    </xf>
    <xf numFmtId="0" fontId="2" fillId="2" borderId="0" xfId="56" applyFont="1" applyFill="1" applyAlignment="1">
      <alignment horizontal="right"/>
    </xf>
    <xf numFmtId="14" fontId="2" fillId="2" borderId="0" xfId="56" applyNumberFormat="1" applyFont="1" applyFill="1" applyAlignment="1">
      <alignment horizontal="center"/>
    </xf>
    <xf numFmtId="0" fontId="8" fillId="2" borderId="0" xfId="56" applyNumberFormat="1" applyFont="1" applyFill="1" applyAlignment="1">
      <alignment horizontal="center"/>
    </xf>
    <xf numFmtId="0" fontId="9" fillId="2" borderId="0" xfId="56" applyFont="1" applyFill="1" applyAlignment="1">
      <alignment horizontal="left"/>
    </xf>
    <xf numFmtId="14" fontId="8" fillId="2" borderId="0" xfId="56" applyNumberFormat="1" applyFont="1" applyFill="1" applyAlignment="1">
      <alignment horizontal="center"/>
    </xf>
    <xf numFmtId="0" fontId="8" fillId="2" borderId="0" xfId="56" applyFont="1" applyFill="1"/>
    <xf numFmtId="0" fontId="10" fillId="2" borderId="0" xfId="56" applyFont="1" applyFill="1"/>
    <xf numFmtId="0" fontId="11" fillId="2" borderId="0" xfId="56" applyFont="1" applyFill="1"/>
    <xf numFmtId="0" fontId="7" fillId="2" borderId="0" xfId="56" applyFont="1" applyFill="1" applyAlignment="1"/>
    <xf numFmtId="0" fontId="4" fillId="2" borderId="12" xfId="56" applyFont="1" applyFill="1" applyBorder="1" applyAlignment="1">
      <alignment horizontal="center" vertical="center"/>
    </xf>
    <xf numFmtId="0" fontId="4" fillId="2" borderId="12" xfId="56" applyFont="1" applyFill="1" applyBorder="1" applyAlignment="1">
      <alignment vertical="center"/>
    </xf>
    <xf numFmtId="0" fontId="4" fillId="2" borderId="13" xfId="56" applyFont="1" applyFill="1" applyBorder="1" applyAlignment="1">
      <alignment vertical="center"/>
    </xf>
    <xf numFmtId="0" fontId="4" fillId="2" borderId="14" xfId="56" applyFont="1" applyFill="1" applyBorder="1" applyAlignment="1">
      <alignment vertical="center"/>
    </xf>
    <xf numFmtId="0" fontId="4" fillId="2" borderId="15" xfId="56" applyFont="1" applyFill="1" applyBorder="1" applyAlignment="1">
      <alignment vertical="center"/>
    </xf>
    <xf numFmtId="0" fontId="7" fillId="2" borderId="0" xfId="56" applyFont="1" applyFill="1"/>
    <xf numFmtId="0" fontId="4" fillId="2" borderId="16" xfId="56" applyFont="1" applyFill="1" applyBorder="1" applyAlignment="1">
      <alignment horizontal="center" vertical="center" wrapText="1"/>
    </xf>
    <xf numFmtId="0" fontId="4" fillId="2" borderId="16" xfId="56" applyFont="1" applyFill="1" applyBorder="1" applyAlignment="1">
      <alignment vertical="center" wrapText="1"/>
    </xf>
    <xf numFmtId="0" fontId="2" fillId="2" borderId="7" xfId="56" applyFont="1" applyFill="1" applyBorder="1"/>
    <xf numFmtId="0" fontId="12" fillId="2" borderId="0" xfId="56" applyFont="1" applyFill="1" applyAlignment="1">
      <alignment vertical="center"/>
    </xf>
    <xf numFmtId="0" fontId="12" fillId="2" borderId="7" xfId="56" applyFont="1" applyFill="1" applyBorder="1" applyAlignment="1">
      <alignment horizontal="left" vertical="center" wrapText="1"/>
    </xf>
    <xf numFmtId="177" fontId="12" fillId="2" borderId="7" xfId="56" applyNumberFormat="1" applyFont="1" applyFill="1" applyBorder="1" applyAlignment="1">
      <alignment horizontal="center" vertical="center" wrapText="1"/>
    </xf>
    <xf numFmtId="0" fontId="12" fillId="2" borderId="7" xfId="56" applyFont="1" applyFill="1" applyBorder="1" applyAlignment="1">
      <alignment horizontal="center" vertical="center" wrapText="1"/>
    </xf>
    <xf numFmtId="14" fontId="2" fillId="2" borderId="7" xfId="56" applyNumberFormat="1" applyFont="1" applyFill="1" applyBorder="1" applyAlignment="1">
      <alignment horizontal="center" wrapText="1"/>
    </xf>
    <xf numFmtId="0" fontId="2" fillId="2" borderId="7" xfId="56" applyFont="1" applyFill="1" applyBorder="1" applyAlignment="1">
      <alignment horizontal="center" wrapText="1"/>
    </xf>
    <xf numFmtId="0" fontId="13" fillId="2" borderId="0" xfId="56" applyFont="1" applyFill="1" applyAlignment="1">
      <alignment vertical="center"/>
    </xf>
    <xf numFmtId="14" fontId="14" fillId="2" borderId="7" xfId="56" applyNumberFormat="1" applyFont="1" applyFill="1" applyBorder="1" applyAlignment="1">
      <alignment horizontal="center" wrapText="1"/>
    </xf>
    <xf numFmtId="0" fontId="14" fillId="2" borderId="7" xfId="56" applyFont="1" applyFill="1" applyBorder="1" applyAlignment="1">
      <alignment horizontal="center" wrapText="1"/>
    </xf>
    <xf numFmtId="0" fontId="13" fillId="2" borderId="7" xfId="56" applyFont="1" applyFill="1" applyBorder="1" applyAlignment="1">
      <alignment horizontal="left" vertical="center" wrapText="1"/>
    </xf>
    <xf numFmtId="14" fontId="7" fillId="2" borderId="7" xfId="56" applyNumberFormat="1" applyFont="1" applyFill="1" applyBorder="1" applyAlignment="1">
      <alignment horizontal="center" wrapText="1"/>
    </xf>
    <xf numFmtId="0" fontId="7" fillId="2" borderId="7" xfId="56" applyFont="1" applyFill="1" applyBorder="1" applyAlignment="1">
      <alignment horizontal="center" wrapText="1"/>
    </xf>
    <xf numFmtId="178" fontId="4" fillId="2" borderId="1" xfId="56" applyNumberFormat="1" applyFont="1" applyFill="1" applyBorder="1" applyAlignment="1">
      <alignment horizontal="center"/>
    </xf>
    <xf numFmtId="0" fontId="4" fillId="2" borderId="7" xfId="56" applyFont="1" applyFill="1" applyBorder="1" applyAlignment="1">
      <alignment horizontal="center" vertical="center" wrapText="1"/>
    </xf>
    <xf numFmtId="14" fontId="12" fillId="2" borderId="7" xfId="56" applyNumberFormat="1" applyFont="1" applyFill="1" applyBorder="1" applyAlignment="1">
      <alignment horizontal="center" vertical="center" wrapText="1"/>
    </xf>
    <xf numFmtId="179" fontId="15" fillId="2" borderId="7" xfId="56" applyNumberFormat="1" applyFont="1" applyFill="1" applyBorder="1" applyAlignment="1">
      <alignment horizontal="center"/>
    </xf>
    <xf numFmtId="0" fontId="3" fillId="0" borderId="1" xfId="56" applyFont="1" applyBorder="1"/>
    <xf numFmtId="0" fontId="8" fillId="0" borderId="0" xfId="56" applyFont="1"/>
    <xf numFmtId="0" fontId="10" fillId="0" borderId="0" xfId="56" applyFont="1"/>
    <xf numFmtId="0" fontId="7" fillId="0" borderId="0" xfId="56" applyFont="1" applyAlignment="1"/>
    <xf numFmtId="0" fontId="7" fillId="0" borderId="0" xfId="56" applyFont="1"/>
    <xf numFmtId="0" fontId="12" fillId="3" borderId="0" xfId="56"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6" applyFont="1" applyFill="1" applyBorder="1" applyAlignment="1">
      <alignment horizontal="center" wrapText="1"/>
    </xf>
    <xf numFmtId="14" fontId="2" fillId="2" borderId="0" xfId="56" applyNumberFormat="1" applyFont="1" applyFill="1" applyBorder="1" applyAlignment="1">
      <alignment horizontal="center" wrapText="1"/>
    </xf>
    <xf numFmtId="0" fontId="17" fillId="0" borderId="0" xfId="61" applyFont="1" applyAlignment="1">
      <alignment horizontal="left" vertical="center"/>
    </xf>
    <xf numFmtId="0" fontId="17" fillId="0" borderId="17" xfId="61" applyFont="1" applyBorder="1" applyAlignment="1">
      <alignment horizontal="left" vertical="center"/>
    </xf>
    <xf numFmtId="0" fontId="17" fillId="4" borderId="0" xfId="61" applyFont="1" applyFill="1" applyAlignment="1">
      <alignment horizontal="left" vertical="center"/>
    </xf>
    <xf numFmtId="0" fontId="17" fillId="0" borderId="0" xfId="61" applyFont="1" applyFill="1" applyAlignment="1">
      <alignment horizontal="left" vertical="center"/>
    </xf>
    <xf numFmtId="0" fontId="18" fillId="5" borderId="0" xfId="61" applyFont="1" applyFill="1" applyAlignment="1">
      <alignment horizontal="left" vertical="center"/>
    </xf>
    <xf numFmtId="0" fontId="17" fillId="5" borderId="0" xfId="61" applyFont="1" applyFill="1" applyAlignment="1">
      <alignment horizontal="left" vertical="center"/>
    </xf>
    <xf numFmtId="0" fontId="19" fillId="3" borderId="0" xfId="61" applyFont="1" applyFill="1" applyAlignment="1">
      <alignment horizontal="left" vertical="center"/>
    </xf>
    <xf numFmtId="0" fontId="19" fillId="0" borderId="18" xfId="61" applyFont="1" applyBorder="1" applyAlignment="1">
      <alignment horizontal="left" vertical="center"/>
    </xf>
    <xf numFmtId="0" fontId="20" fillId="0" borderId="0" xfId="61" applyFont="1" applyAlignment="1">
      <alignment horizontal="left" vertical="center"/>
    </xf>
    <xf numFmtId="0" fontId="19" fillId="0" borderId="0" xfId="61" applyFont="1" applyAlignment="1">
      <alignment horizontal="left" vertical="center"/>
    </xf>
    <xf numFmtId="0" fontId="19" fillId="0" borderId="19" xfId="61" applyFont="1" applyBorder="1" applyAlignment="1">
      <alignment horizontal="left" vertical="center"/>
    </xf>
    <xf numFmtId="0" fontId="21" fillId="0" borderId="0" xfId="61" applyFont="1" applyAlignment="1">
      <alignment horizontal="left" vertical="center"/>
    </xf>
    <xf numFmtId="0" fontId="22" fillId="2" borderId="17" xfId="52" applyFont="1" applyFill="1" applyBorder="1" applyAlignment="1" applyProtection="1">
      <alignment horizontal="left" vertical="center"/>
    </xf>
    <xf numFmtId="0" fontId="23" fillId="2" borderId="17" xfId="52" applyFont="1" applyFill="1" applyBorder="1" applyAlignment="1" applyProtection="1">
      <alignment horizontal="left" vertical="center"/>
    </xf>
    <xf numFmtId="0" fontId="17" fillId="0" borderId="20" xfId="61" applyFont="1" applyBorder="1" applyAlignment="1">
      <alignment horizontal="left" vertical="center"/>
    </xf>
    <xf numFmtId="0" fontId="3" fillId="4" borderId="0" xfId="61" applyFont="1" applyFill="1" applyAlignment="1">
      <alignment horizontal="left" vertical="center"/>
    </xf>
    <xf numFmtId="0" fontId="24" fillId="4" borderId="0" xfId="52" applyFont="1" applyFill="1" applyAlignment="1" applyProtection="1">
      <alignment horizontal="left" vertical="center"/>
    </xf>
    <xf numFmtId="0" fontId="23" fillId="4" borderId="0" xfId="52" applyFont="1" applyFill="1" applyAlignment="1" applyProtection="1">
      <alignment horizontal="left" vertical="center"/>
    </xf>
    <xf numFmtId="0" fontId="17" fillId="4" borderId="19" xfId="61" applyFont="1" applyFill="1" applyBorder="1" applyAlignment="1">
      <alignment horizontal="left" vertical="center"/>
    </xf>
    <xf numFmtId="0" fontId="17" fillId="4" borderId="0" xfId="61" applyFont="1" applyFill="1" applyBorder="1" applyAlignment="1">
      <alignment horizontal="left" vertical="center"/>
    </xf>
    <xf numFmtId="0" fontId="24" fillId="0" borderId="0" xfId="52" applyFont="1" applyFill="1" applyAlignment="1" applyProtection="1">
      <alignment horizontal="left" vertical="center"/>
    </xf>
    <xf numFmtId="0" fontId="23" fillId="0" borderId="0" xfId="52" applyFont="1" applyFill="1" applyAlignment="1" applyProtection="1">
      <alignment horizontal="left" vertical="center"/>
    </xf>
    <xf numFmtId="0" fontId="17" fillId="0" borderId="19" xfId="61" applyFont="1" applyFill="1" applyBorder="1" applyAlignment="1">
      <alignment horizontal="left" vertical="center"/>
    </xf>
    <xf numFmtId="0" fontId="17" fillId="0" borderId="0" xfId="61" applyFont="1" applyFill="1" applyBorder="1" applyAlignment="1">
      <alignment horizontal="left" vertical="center"/>
    </xf>
    <xf numFmtId="49" fontId="25" fillId="2" borderId="7" xfId="61" applyNumberFormat="1" applyFont="1" applyFill="1" applyBorder="1" applyAlignment="1" applyProtection="1">
      <alignment horizontal="left" vertical="center" wrapText="1"/>
    </xf>
    <xf numFmtId="180" fontId="19" fillId="0" borderId="0" xfId="61" applyNumberFormat="1" applyFont="1" applyAlignment="1">
      <alignment horizontal="left" vertical="center"/>
    </xf>
    <xf numFmtId="0" fontId="26" fillId="6" borderId="21" xfId="61" applyFont="1" applyFill="1" applyBorder="1" applyAlignment="1" applyProtection="1">
      <alignment horizontal="left" vertical="center" wrapText="1"/>
    </xf>
    <xf numFmtId="0" fontId="26" fillId="7" borderId="22" xfId="61" applyFont="1" applyFill="1" applyBorder="1" applyAlignment="1" applyProtection="1">
      <alignment horizontal="left" vertical="center" wrapText="1"/>
    </xf>
    <xf numFmtId="49" fontId="25" fillId="5" borderId="7" xfId="61" applyNumberFormat="1" applyFont="1" applyFill="1" applyBorder="1" applyAlignment="1" applyProtection="1">
      <alignment horizontal="left" vertical="center" wrapText="1"/>
    </xf>
    <xf numFmtId="180" fontId="18" fillId="5" borderId="0" xfId="61" applyNumberFormat="1" applyFont="1" applyFill="1" applyAlignment="1">
      <alignment horizontal="left" vertical="center"/>
    </xf>
    <xf numFmtId="0" fontId="26" fillId="5" borderId="22" xfId="61" applyFont="1" applyFill="1" applyBorder="1" applyAlignment="1" applyProtection="1">
      <alignment horizontal="left" vertical="center" wrapText="1"/>
    </xf>
    <xf numFmtId="0" fontId="26" fillId="6" borderId="23" xfId="61" applyFont="1" applyFill="1" applyBorder="1" applyAlignment="1" applyProtection="1">
      <alignment horizontal="left" vertical="center" wrapText="1"/>
    </xf>
    <xf numFmtId="180" fontId="17" fillId="6" borderId="23" xfId="61" applyNumberFormat="1" applyFont="1" applyFill="1" applyBorder="1" applyAlignment="1" applyProtection="1">
      <alignment horizontal="left" vertical="center" wrapText="1"/>
    </xf>
    <xf numFmtId="180" fontId="17" fillId="6" borderId="24" xfId="61" applyNumberFormat="1" applyFont="1" applyFill="1" applyBorder="1" applyAlignment="1" applyProtection="1">
      <alignment horizontal="left" vertical="center" wrapText="1"/>
    </xf>
    <xf numFmtId="0" fontId="26" fillId="6" borderId="22" xfId="61" applyFont="1" applyFill="1" applyBorder="1" applyAlignment="1" applyProtection="1">
      <alignment horizontal="left" vertical="center" wrapText="1"/>
    </xf>
    <xf numFmtId="0" fontId="26" fillId="6" borderId="25" xfId="61" applyFont="1" applyFill="1" applyBorder="1" applyAlignment="1" applyProtection="1">
      <alignment horizontal="left" vertical="center" wrapText="1"/>
    </xf>
    <xf numFmtId="180" fontId="17" fillId="6" borderId="23" xfId="61" applyNumberFormat="1" applyFont="1" applyFill="1" applyBorder="1" applyAlignment="1">
      <alignment horizontal="left" vertical="center" wrapText="1"/>
    </xf>
    <xf numFmtId="180" fontId="17" fillId="6" borderId="24" xfId="61" applyNumberFormat="1" applyFont="1" applyFill="1" applyBorder="1" applyAlignment="1">
      <alignment horizontal="left" vertical="center" wrapText="1"/>
    </xf>
    <xf numFmtId="0" fontId="26" fillId="6" borderId="26" xfId="61" applyFont="1" applyFill="1" applyBorder="1" applyAlignment="1" applyProtection="1">
      <alignment horizontal="left" vertical="center" wrapText="1"/>
    </xf>
    <xf numFmtId="0" fontId="26" fillId="6" borderId="27" xfId="61" applyFont="1" applyFill="1" applyBorder="1" applyAlignment="1" applyProtection="1">
      <alignment horizontal="left" vertical="center" wrapText="1"/>
    </xf>
    <xf numFmtId="0" fontId="26" fillId="6" borderId="28" xfId="61" applyFont="1" applyFill="1" applyBorder="1" applyAlignment="1" applyProtection="1">
      <alignment horizontal="left" vertical="center" wrapText="1"/>
    </xf>
    <xf numFmtId="0" fontId="26" fillId="6" borderId="29" xfId="61" applyFont="1" applyFill="1" applyBorder="1" applyAlignment="1" applyProtection="1">
      <alignment horizontal="left" vertical="center" wrapText="1"/>
    </xf>
    <xf numFmtId="0" fontId="26" fillId="7" borderId="23" xfId="61" applyFont="1" applyFill="1" applyBorder="1" applyAlignment="1" applyProtection="1">
      <alignment horizontal="left" vertical="center" wrapText="1"/>
    </xf>
    <xf numFmtId="180" fontId="17" fillId="6" borderId="22" xfId="61" applyNumberFormat="1" applyFont="1" applyFill="1" applyBorder="1" applyAlignment="1">
      <alignment horizontal="left" vertical="center" wrapText="1"/>
    </xf>
    <xf numFmtId="180" fontId="17" fillId="6" borderId="30" xfId="61" applyNumberFormat="1" applyFont="1" applyFill="1" applyBorder="1" applyAlignment="1">
      <alignment horizontal="left" vertical="center" wrapText="1"/>
    </xf>
    <xf numFmtId="0" fontId="19" fillId="7" borderId="23" xfId="61" applyFont="1" applyFill="1" applyBorder="1" applyAlignment="1" applyProtection="1">
      <alignment horizontal="left" vertical="center" wrapText="1"/>
    </xf>
    <xf numFmtId="49" fontId="25" fillId="3" borderId="7" xfId="61" applyNumberFormat="1" applyFont="1" applyFill="1" applyBorder="1" applyAlignment="1" applyProtection="1">
      <alignment horizontal="left" vertical="center" wrapText="1"/>
    </xf>
    <xf numFmtId="180" fontId="19" fillId="3" borderId="0" xfId="61" applyNumberFormat="1" applyFont="1" applyFill="1" applyAlignment="1">
      <alignment horizontal="left" vertical="center"/>
    </xf>
    <xf numFmtId="0" fontId="19" fillId="3" borderId="22" xfId="61" applyFont="1" applyFill="1" applyBorder="1" applyAlignment="1" applyProtection="1">
      <alignment horizontal="left" vertical="center" wrapText="1"/>
    </xf>
    <xf numFmtId="0" fontId="19" fillId="6" borderId="28" xfId="61" applyFont="1" applyFill="1" applyBorder="1" applyAlignment="1" applyProtection="1">
      <alignment horizontal="left" vertical="center" wrapText="1"/>
    </xf>
    <xf numFmtId="0" fontId="19" fillId="6" borderId="29" xfId="61" applyFont="1" applyFill="1" applyBorder="1" applyAlignment="1" applyProtection="1">
      <alignment horizontal="left" vertical="center" wrapText="1"/>
    </xf>
    <xf numFmtId="0" fontId="19" fillId="6" borderId="21" xfId="61" applyFont="1" applyFill="1" applyBorder="1" applyAlignment="1" applyProtection="1">
      <alignment horizontal="left" vertical="center" wrapText="1"/>
    </xf>
    <xf numFmtId="0" fontId="19" fillId="6" borderId="27" xfId="61" applyFont="1" applyFill="1" applyBorder="1" applyAlignment="1" applyProtection="1">
      <alignment horizontal="left" vertical="center" wrapText="1"/>
    </xf>
    <xf numFmtId="180" fontId="17" fillId="6" borderId="29" xfId="61" applyNumberFormat="1" applyFont="1" applyFill="1" applyBorder="1" applyAlignment="1">
      <alignment horizontal="left" vertical="center" wrapText="1"/>
    </xf>
    <xf numFmtId="180" fontId="17" fillId="6" borderId="31" xfId="61" applyNumberFormat="1" applyFont="1" applyFill="1" applyBorder="1" applyAlignment="1">
      <alignment horizontal="left" vertical="center" wrapText="1"/>
    </xf>
    <xf numFmtId="180" fontId="19" fillId="5" borderId="0" xfId="61" applyNumberFormat="1" applyFont="1" applyFill="1" applyAlignment="1">
      <alignment horizontal="left" vertical="center"/>
    </xf>
    <xf numFmtId="180" fontId="19" fillId="0" borderId="18" xfId="61" applyNumberFormat="1" applyFont="1" applyBorder="1" applyAlignment="1">
      <alignment horizontal="left" vertical="center"/>
    </xf>
    <xf numFmtId="0" fontId="26" fillId="7" borderId="32" xfId="61" applyFont="1" applyFill="1" applyBorder="1" applyAlignment="1" applyProtection="1">
      <alignment horizontal="left" vertical="center" wrapText="1"/>
    </xf>
    <xf numFmtId="0" fontId="18" fillId="4" borderId="0" xfId="61" applyFont="1" applyFill="1" applyBorder="1" applyAlignment="1" applyProtection="1">
      <alignment horizontal="left" vertical="center"/>
      <protection locked="0"/>
    </xf>
    <xf numFmtId="0" fontId="17" fillId="0" borderId="0" xfId="61" applyFont="1" applyFill="1" applyBorder="1" applyAlignment="1" applyProtection="1">
      <alignment horizontal="left" vertical="center"/>
      <protection locked="0"/>
    </xf>
    <xf numFmtId="0" fontId="26" fillId="7" borderId="22" xfId="62" applyFont="1" applyFill="1" applyBorder="1" applyAlignment="1" applyProtection="1">
      <alignment horizontal="left" vertical="center" wrapText="1"/>
    </xf>
    <xf numFmtId="0" fontId="26" fillId="7" borderId="33" xfId="62" applyFont="1" applyFill="1" applyBorder="1" applyAlignment="1" applyProtection="1">
      <alignment horizontal="left" vertical="center" wrapText="1"/>
    </xf>
    <xf numFmtId="10" fontId="19" fillId="0" borderId="19" xfId="61" applyNumberFormat="1" applyFont="1" applyBorder="1" applyAlignment="1">
      <alignment horizontal="left" vertical="center"/>
    </xf>
    <xf numFmtId="10" fontId="19" fillId="0" borderId="0" xfId="61" applyNumberFormat="1" applyFont="1" applyAlignment="1">
      <alignment horizontal="left" vertical="center"/>
    </xf>
    <xf numFmtId="0" fontId="18" fillId="5" borderId="0" xfId="61" applyFont="1" applyFill="1" applyBorder="1" applyAlignment="1" applyProtection="1">
      <alignment horizontal="left" vertical="center"/>
      <protection locked="0"/>
    </xf>
    <xf numFmtId="10" fontId="18" fillId="5" borderId="34" xfId="61" applyNumberFormat="1" applyFont="1" applyFill="1" applyBorder="1" applyAlignment="1">
      <alignment horizontal="left" vertical="center"/>
    </xf>
    <xf numFmtId="0" fontId="26" fillId="7" borderId="33" xfId="61" applyFont="1" applyFill="1" applyBorder="1" applyAlignment="1" applyProtection="1">
      <alignment horizontal="left" vertical="center" wrapText="1"/>
    </xf>
    <xf numFmtId="0" fontId="26" fillId="6" borderId="35" xfId="61" applyFont="1" applyFill="1" applyBorder="1" applyAlignment="1" applyProtection="1">
      <alignment horizontal="left" vertical="center" wrapText="1"/>
    </xf>
    <xf numFmtId="0" fontId="26" fillId="6" borderId="33" xfId="61" applyFont="1" applyFill="1" applyBorder="1" applyAlignment="1" applyProtection="1">
      <alignment horizontal="left" vertical="center" wrapText="1"/>
    </xf>
    <xf numFmtId="0" fontId="26" fillId="6" borderId="36" xfId="61" applyFont="1" applyFill="1" applyBorder="1" applyAlignment="1" applyProtection="1">
      <alignment horizontal="left" vertical="center" wrapText="1"/>
    </xf>
    <xf numFmtId="10" fontId="19" fillId="0" borderId="37" xfId="61" applyNumberFormat="1" applyFont="1" applyBorder="1" applyAlignment="1">
      <alignment horizontal="left" vertical="center"/>
    </xf>
    <xf numFmtId="10" fontId="19" fillId="0" borderId="38" xfId="61" applyNumberFormat="1" applyFont="1" applyBorder="1" applyAlignment="1">
      <alignment horizontal="left" vertical="center"/>
    </xf>
    <xf numFmtId="0" fontId="26" fillId="7" borderId="35" xfId="61" applyFont="1" applyFill="1" applyBorder="1" applyAlignment="1" applyProtection="1">
      <alignment horizontal="left" vertical="center" wrapText="1"/>
    </xf>
    <xf numFmtId="10" fontId="19" fillId="0" borderId="0" xfId="61" applyNumberFormat="1" applyFont="1" applyBorder="1" applyAlignment="1">
      <alignment horizontal="left" vertical="center"/>
    </xf>
    <xf numFmtId="10" fontId="19" fillId="0" borderId="34" xfId="61" applyNumberFormat="1" applyFont="1" applyBorder="1" applyAlignment="1">
      <alignment horizontal="left" vertical="center"/>
    </xf>
    <xf numFmtId="10" fontId="19" fillId="0" borderId="39" xfId="61" applyNumberFormat="1" applyFont="1" applyBorder="1" applyAlignment="1">
      <alignment horizontal="left" vertical="center"/>
    </xf>
    <xf numFmtId="0" fontId="19" fillId="7" borderId="35" xfId="61" applyFont="1" applyFill="1" applyBorder="1" applyAlignment="1" applyProtection="1">
      <alignment horizontal="left" vertical="center" wrapText="1"/>
    </xf>
    <xf numFmtId="0" fontId="19" fillId="3" borderId="33" xfId="61" applyFont="1" applyFill="1" applyBorder="1" applyAlignment="1" applyProtection="1">
      <alignment horizontal="left" vertical="center" wrapText="1"/>
    </xf>
    <xf numFmtId="10" fontId="19" fillId="3" borderId="19" xfId="61" applyNumberFormat="1" applyFont="1" applyFill="1" applyBorder="1" applyAlignment="1">
      <alignment horizontal="left" vertical="center"/>
    </xf>
    <xf numFmtId="10" fontId="19" fillId="3" borderId="0" xfId="61" applyNumberFormat="1" applyFont="1" applyFill="1" applyAlignment="1">
      <alignment horizontal="left" vertical="center"/>
    </xf>
    <xf numFmtId="0" fontId="19" fillId="6" borderId="36" xfId="61" applyFont="1" applyFill="1" applyBorder="1" applyAlignment="1" applyProtection="1">
      <alignment horizontal="left" vertical="center" wrapText="1"/>
    </xf>
    <xf numFmtId="0" fontId="26" fillId="7" borderId="40" xfId="61" applyFont="1" applyFill="1" applyBorder="1" applyAlignment="1" applyProtection="1">
      <alignment horizontal="left" vertical="center" wrapText="1"/>
    </xf>
    <xf numFmtId="10" fontId="19" fillId="0" borderId="41" xfId="61" applyNumberFormat="1" applyFont="1" applyBorder="1" applyAlignment="1">
      <alignment horizontal="left" vertical="center"/>
    </xf>
    <xf numFmtId="10" fontId="19" fillId="0" borderId="18" xfId="61" applyNumberFormat="1" applyFont="1" applyBorder="1" applyAlignment="1">
      <alignment horizontal="left" vertical="center"/>
    </xf>
    <xf numFmtId="0" fontId="4" fillId="0" borderId="0" xfId="61" applyFont="1" applyAlignment="1">
      <alignment horizontal="left" vertical="center"/>
    </xf>
    <xf numFmtId="0" fontId="4" fillId="4" borderId="0" xfId="61" applyFont="1" applyFill="1" applyAlignment="1">
      <alignment horizontal="left" vertical="center"/>
    </xf>
    <xf numFmtId="0" fontId="19" fillId="4" borderId="0" xfId="61" applyFont="1" applyFill="1" applyAlignment="1">
      <alignment horizontal="left" vertical="center"/>
    </xf>
    <xf numFmtId="178" fontId="19" fillId="0" borderId="0" xfId="61" applyNumberFormat="1" applyFont="1" applyAlignment="1">
      <alignment horizontal="left" vertical="center"/>
    </xf>
    <xf numFmtId="0" fontId="19" fillId="0" borderId="0" xfId="61" applyFont="1" applyFill="1" applyAlignment="1">
      <alignment horizontal="left" vertical="center"/>
    </xf>
    <xf numFmtId="0" fontId="17" fillId="5" borderId="19" xfId="61" applyFont="1" applyFill="1" applyBorder="1" applyAlignment="1">
      <alignment horizontal="left" vertical="center"/>
    </xf>
    <xf numFmtId="0" fontId="20" fillId="3" borderId="0" xfId="61" applyFont="1" applyFill="1" applyAlignment="1">
      <alignment horizontal="left" vertical="center"/>
    </xf>
    <xf numFmtId="0" fontId="19" fillId="5" borderId="0" xfId="61" applyFont="1" applyFill="1" applyAlignment="1">
      <alignment horizontal="left" vertical="center"/>
    </xf>
    <xf numFmtId="181" fontId="19" fillId="0" borderId="19" xfId="61" applyNumberFormat="1" applyFont="1" applyBorder="1" applyAlignment="1">
      <alignment horizontal="left" vertical="center"/>
    </xf>
    <xf numFmtId="181" fontId="19" fillId="0" borderId="0" xfId="61" applyNumberFormat="1" applyFont="1" applyAlignment="1">
      <alignment horizontal="left" vertical="center"/>
    </xf>
    <xf numFmtId="178" fontId="19" fillId="3" borderId="0" xfId="61" applyNumberFormat="1" applyFont="1" applyFill="1" applyAlignment="1">
      <alignment horizontal="left" vertical="center"/>
    </xf>
    <xf numFmtId="10" fontId="19" fillId="3" borderId="34" xfId="61" applyNumberFormat="1" applyFont="1" applyFill="1" applyBorder="1" applyAlignment="1">
      <alignment horizontal="left" vertical="center"/>
    </xf>
    <xf numFmtId="10" fontId="19" fillId="3" borderId="39" xfId="61" applyNumberFormat="1" applyFont="1" applyFill="1" applyBorder="1" applyAlignment="1">
      <alignment horizontal="left" vertical="center"/>
    </xf>
    <xf numFmtId="0" fontId="7" fillId="3" borderId="0" xfId="61" applyFont="1" applyFill="1" applyAlignment="1">
      <alignment horizontal="left" vertical="center"/>
    </xf>
    <xf numFmtId="0" fontId="19" fillId="3" borderId="0" xfId="61" applyNumberFormat="1" applyFont="1" applyFill="1" applyAlignment="1">
      <alignment horizontal="left" vertical="center"/>
    </xf>
    <xf numFmtId="14" fontId="19" fillId="0" borderId="0" xfId="61" applyNumberFormat="1" applyFont="1" applyAlignment="1">
      <alignment horizontal="left" vertical="center"/>
    </xf>
    <xf numFmtId="0" fontId="19" fillId="0" borderId="0" xfId="61" applyNumberFormat="1" applyFont="1" applyAlignment="1">
      <alignment horizontal="left" vertical="center"/>
    </xf>
    <xf numFmtId="178" fontId="19" fillId="0" borderId="18" xfId="61" applyNumberFormat="1" applyFont="1" applyBorder="1" applyAlignment="1">
      <alignment horizontal="left" vertical="center"/>
    </xf>
    <xf numFmtId="10" fontId="19" fillId="4" borderId="0" xfId="61" applyNumberFormat="1" applyFont="1" applyFill="1" applyAlignment="1">
      <alignment horizontal="left" vertical="center"/>
    </xf>
    <xf numFmtId="10" fontId="19" fillId="0" borderId="0" xfId="61" applyNumberFormat="1" applyFont="1" applyFill="1" applyAlignment="1">
      <alignment horizontal="left" vertical="center"/>
    </xf>
    <xf numFmtId="10" fontId="19" fillId="5" borderId="0" xfId="61" applyNumberFormat="1" applyFont="1" applyFill="1" applyAlignment="1">
      <alignment horizontal="left" vertical="center"/>
    </xf>
    <xf numFmtId="0" fontId="7" fillId="0" borderId="0" xfId="61" applyFont="1" applyAlignment="1">
      <alignment horizontal="left" vertical="center"/>
    </xf>
    <xf numFmtId="0" fontId="26" fillId="6" borderId="42" xfId="61" applyFont="1" applyFill="1" applyBorder="1" applyAlignment="1" applyProtection="1">
      <alignment horizontal="left" vertical="center" wrapText="1"/>
    </xf>
    <xf numFmtId="0" fontId="17" fillId="7" borderId="43" xfId="61" applyFont="1" applyFill="1" applyBorder="1" applyAlignment="1">
      <alignment horizontal="left" vertical="center" wrapText="1"/>
    </xf>
    <xf numFmtId="0" fontId="17" fillId="7" borderId="44" xfId="61" applyFont="1" applyFill="1" applyBorder="1" applyAlignment="1">
      <alignment horizontal="left" vertical="center" wrapText="1"/>
    </xf>
    <xf numFmtId="178" fontId="19" fillId="8" borderId="0" xfId="61" applyNumberFormat="1" applyFont="1" applyFill="1" applyAlignment="1">
      <alignment horizontal="left" vertical="center"/>
    </xf>
    <xf numFmtId="0" fontId="26" fillId="7" borderId="29" xfId="61" applyFont="1" applyFill="1" applyBorder="1" applyAlignment="1" applyProtection="1">
      <alignment horizontal="left" vertical="center" wrapText="1"/>
    </xf>
    <xf numFmtId="0" fontId="17" fillId="6" borderId="29" xfId="61" applyFont="1" applyFill="1" applyBorder="1" applyAlignment="1">
      <alignment horizontal="left" vertical="center" wrapText="1"/>
    </xf>
    <xf numFmtId="0" fontId="17" fillId="6" borderId="31" xfId="61" applyFont="1" applyFill="1" applyBorder="1" applyAlignment="1">
      <alignment horizontal="left" vertical="center" wrapText="1"/>
    </xf>
    <xf numFmtId="0" fontId="26" fillId="3" borderId="22" xfId="61" applyFont="1" applyFill="1" applyBorder="1" applyAlignment="1" applyProtection="1">
      <alignment horizontal="left" vertical="center" wrapText="1"/>
    </xf>
    <xf numFmtId="0" fontId="17" fillId="6" borderId="45" xfId="61" applyFont="1" applyFill="1" applyBorder="1" applyAlignment="1">
      <alignment horizontal="left" vertical="center" wrapText="1"/>
    </xf>
    <xf numFmtId="0" fontId="17" fillId="6" borderId="46" xfId="61" applyFont="1" applyFill="1" applyBorder="1" applyAlignment="1">
      <alignment horizontal="left" vertical="center" wrapText="1"/>
    </xf>
    <xf numFmtId="0" fontId="17" fillId="6" borderId="47" xfId="61" applyFont="1" applyFill="1" applyBorder="1" applyAlignment="1">
      <alignment horizontal="left" vertical="center" wrapText="1"/>
    </xf>
    <xf numFmtId="0" fontId="14" fillId="0" borderId="0" xfId="61" applyFont="1" applyAlignment="1">
      <alignment horizontal="left" vertical="center"/>
    </xf>
    <xf numFmtId="0" fontId="20" fillId="0" borderId="19" xfId="61" applyFont="1" applyBorder="1" applyAlignment="1">
      <alignment horizontal="left" vertical="center"/>
    </xf>
    <xf numFmtId="0" fontId="26" fillId="6" borderId="48" xfId="61" applyFont="1" applyFill="1" applyBorder="1" applyAlignment="1" applyProtection="1">
      <alignment horizontal="left" vertical="center" wrapText="1"/>
    </xf>
    <xf numFmtId="10" fontId="19" fillId="8" borderId="19" xfId="61" applyNumberFormat="1" applyFont="1" applyFill="1" applyBorder="1" applyAlignment="1">
      <alignment horizontal="left" vertical="center"/>
    </xf>
    <xf numFmtId="10" fontId="19" fillId="8" borderId="0" xfId="61" applyNumberFormat="1" applyFont="1" applyFill="1" applyAlignment="1">
      <alignment horizontal="left" vertical="center"/>
    </xf>
    <xf numFmtId="10" fontId="19" fillId="8" borderId="34" xfId="61" applyNumberFormat="1" applyFont="1" applyFill="1" applyBorder="1" applyAlignment="1">
      <alignment horizontal="left" vertical="center"/>
    </xf>
    <xf numFmtId="10" fontId="19" fillId="8" borderId="39" xfId="61" applyNumberFormat="1" applyFont="1" applyFill="1" applyBorder="1" applyAlignment="1">
      <alignment horizontal="left" vertical="center"/>
    </xf>
    <xf numFmtId="10" fontId="19" fillId="8" borderId="41" xfId="61" applyNumberFormat="1" applyFont="1" applyFill="1" applyBorder="1" applyAlignment="1">
      <alignment horizontal="left" vertical="center"/>
    </xf>
    <xf numFmtId="10" fontId="19" fillId="8" borderId="18" xfId="61" applyNumberFormat="1" applyFont="1" applyFill="1" applyBorder="1" applyAlignment="1">
      <alignment horizontal="left" vertical="center"/>
    </xf>
    <xf numFmtId="182" fontId="19" fillId="0" borderId="0" xfId="61" applyNumberFormat="1" applyFont="1" applyAlignment="1">
      <alignment horizontal="left" vertical="center"/>
    </xf>
    <xf numFmtId="182" fontId="19" fillId="0" borderId="19" xfId="61" applyNumberFormat="1" applyFont="1" applyBorder="1" applyAlignment="1">
      <alignment horizontal="left" vertical="center"/>
    </xf>
    <xf numFmtId="182" fontId="19" fillId="3" borderId="0" xfId="61" applyNumberFormat="1" applyFont="1" applyFill="1" applyAlignment="1">
      <alignment horizontal="left" vertical="center"/>
    </xf>
    <xf numFmtId="0" fontId="19" fillId="3" borderId="19" xfId="61" applyFont="1" applyFill="1" applyBorder="1" applyAlignment="1">
      <alignment horizontal="left" vertical="center"/>
    </xf>
    <xf numFmtId="182" fontId="20" fillId="0" borderId="0" xfId="61" applyNumberFormat="1" applyFont="1" applyAlignment="1">
      <alignment horizontal="left" vertical="center"/>
    </xf>
    <xf numFmtId="182" fontId="20" fillId="0" borderId="19" xfId="61" applyNumberFormat="1" applyFont="1" applyBorder="1" applyAlignment="1">
      <alignment horizontal="left" vertical="center"/>
    </xf>
    <xf numFmtId="183" fontId="19" fillId="0" borderId="0" xfId="61" applyNumberFormat="1" applyFont="1" applyAlignment="1">
      <alignment horizontal="left" vertical="center"/>
    </xf>
    <xf numFmtId="183" fontId="19" fillId="0" borderId="18" xfId="61" applyNumberFormat="1" applyFont="1" applyBorder="1" applyAlignment="1">
      <alignment horizontal="left" vertical="center"/>
    </xf>
    <xf numFmtId="183" fontId="19" fillId="3" borderId="0" xfId="61" applyNumberFormat="1" applyFont="1" applyFill="1" applyAlignment="1">
      <alignment horizontal="left" vertical="center"/>
    </xf>
    <xf numFmtId="0" fontId="26" fillId="7" borderId="49" xfId="61" applyFont="1" applyFill="1" applyBorder="1" applyAlignment="1">
      <alignment horizontal="left" vertical="center" wrapText="1"/>
    </xf>
    <xf numFmtId="0" fontId="26" fillId="7" borderId="23" xfId="61" applyFont="1" applyFill="1" applyBorder="1" applyAlignment="1">
      <alignment horizontal="left" vertical="center" wrapText="1"/>
    </xf>
    <xf numFmtId="0" fontId="26" fillId="6" borderId="50" xfId="61" applyFont="1" applyFill="1" applyBorder="1" applyAlignment="1">
      <alignment horizontal="left" vertical="center" wrapText="1"/>
    </xf>
    <xf numFmtId="0" fontId="26" fillId="6" borderId="22" xfId="61" applyFont="1" applyFill="1" applyBorder="1" applyAlignment="1">
      <alignment horizontal="left" vertical="center" wrapText="1"/>
    </xf>
    <xf numFmtId="0" fontId="26" fillId="7" borderId="50" xfId="61" applyFont="1" applyFill="1" applyBorder="1" applyAlignment="1">
      <alignment horizontal="left" vertical="center" wrapText="1"/>
    </xf>
    <xf numFmtId="0" fontId="26" fillId="7" borderId="22" xfId="61" applyFont="1" applyFill="1" applyBorder="1" applyAlignment="1">
      <alignment horizontal="left" vertical="center" wrapText="1"/>
    </xf>
    <xf numFmtId="0" fontId="26" fillId="6" borderId="51" xfId="61" applyFont="1" applyFill="1" applyBorder="1" applyAlignment="1">
      <alignment horizontal="left" vertical="center" wrapText="1"/>
    </xf>
    <xf numFmtId="0" fontId="26" fillId="6" borderId="29" xfId="61" applyFont="1" applyFill="1" applyBorder="1" applyAlignment="1">
      <alignment horizontal="left" vertical="center" wrapText="1"/>
    </xf>
    <xf numFmtId="0" fontId="17" fillId="0" borderId="17" xfId="61" applyNumberFormat="1" applyFont="1" applyBorder="1" applyAlignment="1" applyProtection="1">
      <alignment horizontal="left" vertical="center"/>
    </xf>
    <xf numFmtId="0" fontId="27" fillId="4" borderId="0" xfId="61" applyNumberFormat="1" applyFont="1" applyFill="1" applyAlignment="1" applyProtection="1">
      <alignment horizontal="left" vertical="center"/>
    </xf>
    <xf numFmtId="0" fontId="17" fillId="0" borderId="0" xfId="61" applyNumberFormat="1" applyFont="1" applyFill="1" applyAlignment="1" applyProtection="1">
      <alignment horizontal="left" vertical="center"/>
    </xf>
    <xf numFmtId="0" fontId="18" fillId="5" borderId="0" xfId="61" applyNumberFormat="1" applyFont="1" applyFill="1" applyAlignment="1" applyProtection="1">
      <alignment horizontal="left" vertical="center"/>
    </xf>
    <xf numFmtId="0" fontId="18" fillId="9" borderId="0" xfId="61" applyNumberFormat="1" applyFont="1" applyFill="1" applyAlignment="1" applyProtection="1">
      <alignment horizontal="left" vertical="center"/>
    </xf>
    <xf numFmtId="0" fontId="18" fillId="10" borderId="52" xfId="61" applyNumberFormat="1" applyFont="1" applyFill="1" applyBorder="1" applyAlignment="1" applyProtection="1">
      <alignment horizontal="left" vertical="center"/>
    </xf>
    <xf numFmtId="0" fontId="0" fillId="0" borderId="0" xfId="0" applyNumberFormat="1">
      <alignment vertical="center"/>
    </xf>
    <xf numFmtId="0" fontId="17" fillId="0" borderId="0" xfId="6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1" applyNumberFormat="1" applyFont="1" applyAlignment="1" applyProtection="1">
      <alignment vertical="center"/>
    </xf>
    <xf numFmtId="0" fontId="17" fillId="0" borderId="0" xfId="61" applyNumberFormat="1" applyFont="1" applyAlignment="1" applyProtection="1">
      <alignment vertical="center"/>
    </xf>
    <xf numFmtId="0" fontId="17" fillId="2" borderId="20" xfId="61" applyNumberFormat="1" applyFont="1" applyFill="1" applyBorder="1" applyAlignment="1" applyProtection="1">
      <alignment horizontal="left" vertical="center"/>
    </xf>
    <xf numFmtId="0" fontId="17" fillId="2" borderId="17" xfId="61" applyNumberFormat="1" applyFont="1" applyFill="1" applyBorder="1" applyAlignment="1" applyProtection="1">
      <alignment horizontal="left" vertical="center"/>
    </xf>
    <xf numFmtId="0" fontId="22" fillId="2" borderId="17" xfId="52" applyNumberFormat="1" applyFont="1" applyFill="1" applyBorder="1" applyAlignment="1" applyProtection="1">
      <alignment horizontal="left" vertical="center"/>
    </xf>
    <xf numFmtId="0" fontId="23" fillId="2" borderId="17" xfId="52" applyNumberFormat="1" applyFont="1" applyFill="1" applyBorder="1" applyAlignment="1" applyProtection="1">
      <alignment horizontal="left" vertical="center"/>
    </xf>
    <xf numFmtId="0" fontId="28" fillId="4" borderId="0" xfId="61" applyNumberFormat="1" applyFont="1" applyFill="1" applyAlignment="1" applyProtection="1">
      <alignment horizontal="left" vertical="center"/>
    </xf>
    <xf numFmtId="0" fontId="27" fillId="4" borderId="19" xfId="61" applyNumberFormat="1" applyFont="1" applyFill="1" applyBorder="1" applyAlignment="1" applyProtection="1">
      <alignment horizontal="left" vertical="center"/>
    </xf>
    <xf numFmtId="0" fontId="27" fillId="4" borderId="0" xfId="61" applyNumberFormat="1" applyFont="1" applyFill="1" applyBorder="1" applyAlignment="1" applyProtection="1">
      <alignment horizontal="left" vertical="center"/>
    </xf>
    <xf numFmtId="0" fontId="17" fillId="0" borderId="19" xfId="61" applyNumberFormat="1" applyFont="1" applyFill="1" applyBorder="1" applyAlignment="1" applyProtection="1">
      <alignment horizontal="left" vertical="center"/>
    </xf>
    <xf numFmtId="0" fontId="17" fillId="0" borderId="0" xfId="61" applyNumberFormat="1" applyFont="1" applyFill="1" applyBorder="1" applyAlignment="1" applyProtection="1">
      <alignment horizontal="left" vertical="center"/>
    </xf>
    <xf numFmtId="0" fontId="26" fillId="6" borderId="21" xfId="61"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22" xfId="62" applyNumberFormat="1" applyFont="1" applyFill="1" applyBorder="1" applyAlignment="1" applyProtection="1">
      <alignment horizontal="left" vertical="center" wrapText="1"/>
    </xf>
    <xf numFmtId="0" fontId="29" fillId="9" borderId="7" xfId="61" applyNumberFormat="1" applyFont="1" applyFill="1" applyBorder="1" applyAlignment="1" applyProtection="1">
      <alignment horizontal="left" vertical="center" wrapText="1"/>
    </xf>
    <xf numFmtId="0" fontId="30" fillId="9" borderId="21" xfId="61"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22" xfId="62" applyNumberFormat="1" applyFont="1" applyFill="1" applyBorder="1" applyAlignment="1" applyProtection="1">
      <alignment horizontal="left" vertical="center" wrapText="1"/>
    </xf>
    <xf numFmtId="0" fontId="30" fillId="9" borderId="30" xfId="62" applyNumberFormat="1" applyFont="1" applyFill="1" applyBorder="1" applyAlignment="1" applyProtection="1">
      <alignment horizontal="left" vertical="center" wrapText="1"/>
    </xf>
    <xf numFmtId="0" fontId="25" fillId="2" borderId="7" xfId="61" applyNumberFormat="1" applyFont="1" applyFill="1" applyBorder="1" applyAlignment="1" applyProtection="1">
      <alignment horizontal="left" vertical="center" wrapText="1"/>
    </xf>
    <xf numFmtId="0" fontId="26" fillId="7" borderId="30" xfId="62" applyNumberFormat="1" applyFont="1" applyFill="1" applyBorder="1" applyAlignment="1" applyProtection="1">
      <alignment horizontal="left" vertical="center" wrapText="1"/>
    </xf>
    <xf numFmtId="0" fontId="25" fillId="10" borderId="53" xfId="61" applyNumberFormat="1" applyFont="1" applyFill="1" applyBorder="1" applyAlignment="1" applyProtection="1">
      <alignment horizontal="left" vertical="center" wrapText="1"/>
    </xf>
    <xf numFmtId="0" fontId="26" fillId="10" borderId="54" xfId="61"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5" xfId="62" applyNumberFormat="1" applyFont="1" applyFill="1" applyBorder="1" applyAlignment="1" applyProtection="1">
      <alignment horizontal="left" vertical="center" wrapText="1"/>
    </xf>
    <xf numFmtId="0" fontId="26" fillId="10" borderId="56" xfId="62" applyNumberFormat="1" applyFont="1" applyFill="1" applyBorder="1" applyAlignment="1" applyProtection="1">
      <alignment horizontal="left" vertical="center" wrapText="1"/>
    </xf>
    <xf numFmtId="0" fontId="31" fillId="0" borderId="0" xfId="61" applyNumberFormat="1" applyFont="1" applyAlignment="1" applyProtection="1">
      <alignment vertical="center"/>
    </xf>
    <xf numFmtId="0" fontId="17" fillId="11" borderId="0" xfId="61" applyNumberFormat="1" applyFont="1" applyFill="1" applyAlignment="1" applyProtection="1">
      <alignment horizontal="left" vertical="center"/>
    </xf>
    <xf numFmtId="0" fontId="17" fillId="11" borderId="17" xfId="61" applyNumberFormat="1" applyFont="1" applyFill="1" applyBorder="1" applyAlignment="1" applyProtection="1">
      <alignment horizontal="left" vertical="center"/>
    </xf>
    <xf numFmtId="0" fontId="27" fillId="11" borderId="0" xfId="61" applyNumberFormat="1" applyFont="1" applyFill="1" applyAlignment="1" applyProtection="1">
      <alignment horizontal="left" vertical="center"/>
    </xf>
    <xf numFmtId="10" fontId="27" fillId="4" borderId="19" xfId="61" applyNumberFormat="1" applyFont="1" applyFill="1" applyBorder="1" applyAlignment="1" applyProtection="1">
      <alignment horizontal="left" vertical="center"/>
    </xf>
    <xf numFmtId="10" fontId="27" fillId="4" borderId="0" xfId="61" applyNumberFormat="1" applyFont="1" applyFill="1" applyAlignment="1" applyProtection="1">
      <alignment horizontal="left" vertical="center"/>
    </xf>
    <xf numFmtId="10" fontId="17" fillId="0" borderId="19" xfId="61" applyNumberFormat="1" applyFont="1" applyFill="1" applyBorder="1" applyAlignment="1" applyProtection="1">
      <alignment horizontal="left" vertical="center"/>
    </xf>
    <xf numFmtId="10" fontId="17" fillId="0" borderId="0" xfId="61" applyNumberFormat="1" applyFont="1" applyFill="1" applyAlignment="1" applyProtection="1">
      <alignment horizontal="left" vertical="center"/>
    </xf>
    <xf numFmtId="0" fontId="26" fillId="7" borderId="33" xfId="62" applyNumberFormat="1" applyFont="1" applyFill="1" applyBorder="1" applyAlignment="1" applyProtection="1">
      <alignment horizontal="left" vertical="center" wrapText="1"/>
    </xf>
    <xf numFmtId="0" fontId="19" fillId="11" borderId="0" xfId="61" applyNumberFormat="1" applyFont="1" applyFill="1" applyAlignment="1" applyProtection="1">
      <alignment horizontal="left" vertical="center"/>
    </xf>
    <xf numFmtId="10" fontId="19" fillId="0" borderId="19" xfId="61" applyNumberFormat="1" applyFont="1" applyBorder="1" applyAlignment="1" applyProtection="1">
      <alignment horizontal="left" vertical="center"/>
    </xf>
    <xf numFmtId="10" fontId="19" fillId="0" borderId="0" xfId="61" applyNumberFormat="1" applyFont="1" applyAlignment="1" applyProtection="1">
      <alignment horizontal="left" vertical="center"/>
    </xf>
    <xf numFmtId="0" fontId="30" fillId="9" borderId="33" xfId="62" applyNumberFormat="1" applyFont="1" applyFill="1" applyBorder="1" applyAlignment="1" applyProtection="1">
      <alignment horizontal="left" vertical="center" wrapText="1"/>
    </xf>
    <xf numFmtId="0" fontId="17" fillId="9" borderId="0" xfId="61" applyNumberFormat="1" applyFont="1" applyFill="1" applyAlignment="1" applyProtection="1">
      <alignment horizontal="left" vertical="center"/>
    </xf>
    <xf numFmtId="10" fontId="17" fillId="9" borderId="19" xfId="61" applyNumberFormat="1" applyFont="1" applyFill="1" applyBorder="1" applyAlignment="1" applyProtection="1">
      <alignment horizontal="left" vertical="center"/>
    </xf>
    <xf numFmtId="10" fontId="17" fillId="9" borderId="0" xfId="61" applyNumberFormat="1" applyFont="1" applyFill="1" applyAlignment="1" applyProtection="1">
      <alignment horizontal="left" vertical="center"/>
    </xf>
    <xf numFmtId="0" fontId="26" fillId="10" borderId="57" xfId="62" applyNumberFormat="1" applyFont="1" applyFill="1" applyBorder="1" applyAlignment="1" applyProtection="1">
      <alignment horizontal="left" vertical="center" wrapText="1"/>
    </xf>
    <xf numFmtId="0" fontId="19" fillId="11" borderId="52" xfId="61" applyNumberFormat="1" applyFont="1" applyFill="1" applyBorder="1" applyAlignment="1" applyProtection="1">
      <alignment horizontal="left" vertical="center"/>
    </xf>
    <xf numFmtId="10" fontId="19" fillId="10" borderId="58" xfId="61" applyNumberFormat="1" applyFont="1" applyFill="1" applyBorder="1" applyAlignment="1" applyProtection="1">
      <alignment horizontal="left" vertical="center"/>
    </xf>
    <xf numFmtId="10" fontId="19" fillId="10" borderId="52" xfId="61" applyNumberFormat="1" applyFont="1" applyFill="1" applyBorder="1" applyAlignment="1" applyProtection="1">
      <alignment horizontal="left" vertical="center"/>
    </xf>
    <xf numFmtId="0" fontId="0" fillId="0" borderId="0" xfId="0" applyNumberFormat="1" applyFont="1">
      <alignment vertical="center"/>
    </xf>
    <xf numFmtId="0" fontId="4" fillId="0" borderId="0" xfId="61" applyNumberFormat="1" applyFont="1" applyAlignment="1" applyProtection="1">
      <alignment horizontal="left" vertical="center"/>
    </xf>
    <xf numFmtId="0" fontId="32" fillId="4" borderId="0" xfId="61" applyNumberFormat="1" applyFont="1" applyFill="1" applyAlignment="1" applyProtection="1">
      <alignment horizontal="left" vertical="center"/>
    </xf>
    <xf numFmtId="0" fontId="32" fillId="4" borderId="59" xfId="61" applyNumberFormat="1" applyFont="1" applyFill="1" applyBorder="1" applyAlignment="1" applyProtection="1">
      <alignment horizontal="left" vertical="center"/>
    </xf>
    <xf numFmtId="0" fontId="19" fillId="0" borderId="0" xfId="61" applyNumberFormat="1" applyFont="1" applyAlignment="1" applyProtection="1">
      <alignment horizontal="left" vertical="center"/>
    </xf>
    <xf numFmtId="0" fontId="19" fillId="0" borderId="59" xfId="61" applyNumberFormat="1" applyFont="1" applyBorder="1" applyAlignment="1" applyProtection="1">
      <alignment horizontal="left" vertical="center"/>
    </xf>
    <xf numFmtId="0" fontId="19" fillId="0" borderId="60" xfId="61" applyNumberFormat="1" applyFont="1" applyBorder="1" applyAlignment="1" applyProtection="1">
      <alignment horizontal="left" vertical="center"/>
    </xf>
    <xf numFmtId="0" fontId="19" fillId="0" borderId="61" xfId="61" applyNumberFormat="1" applyFont="1" applyBorder="1" applyAlignment="1" applyProtection="1">
      <alignment horizontal="left" vertical="center"/>
    </xf>
    <xf numFmtId="0" fontId="19" fillId="0" borderId="0" xfId="61" applyNumberFormat="1" applyFont="1" applyFill="1" applyAlignment="1" applyProtection="1">
      <alignment horizontal="left" vertical="center"/>
    </xf>
    <xf numFmtId="0" fontId="19" fillId="10" borderId="52" xfId="61" applyNumberFormat="1" applyFont="1" applyFill="1" applyBorder="1" applyAlignment="1" applyProtection="1">
      <alignment horizontal="left" vertical="center"/>
    </xf>
    <xf numFmtId="10" fontId="32" fillId="4" borderId="0" xfId="61" applyNumberFormat="1" applyFont="1" applyFill="1" applyAlignment="1" applyProtection="1">
      <alignment horizontal="left" vertical="center"/>
    </xf>
    <xf numFmtId="10" fontId="32" fillId="4" borderId="59" xfId="61" applyNumberFormat="1" applyFont="1" applyFill="1" applyBorder="1" applyAlignment="1" applyProtection="1">
      <alignment horizontal="left" vertical="center"/>
    </xf>
    <xf numFmtId="10" fontId="32" fillId="4" borderId="60" xfId="61" applyNumberFormat="1" applyFont="1" applyFill="1" applyBorder="1" applyAlignment="1" applyProtection="1">
      <alignment horizontal="left" vertical="center"/>
    </xf>
    <xf numFmtId="10" fontId="32" fillId="4" borderId="61" xfId="61" applyNumberFormat="1" applyFont="1" applyFill="1" applyBorder="1" applyAlignment="1" applyProtection="1">
      <alignment horizontal="left" vertical="center"/>
    </xf>
    <xf numFmtId="10" fontId="19" fillId="0" borderId="59" xfId="61" applyNumberFormat="1" applyFont="1" applyBorder="1" applyAlignment="1" applyProtection="1">
      <alignment horizontal="left" vertical="center"/>
    </xf>
    <xf numFmtId="10" fontId="19" fillId="0" borderId="60" xfId="61" applyNumberFormat="1" applyFont="1" applyBorder="1" applyAlignment="1" applyProtection="1">
      <alignment horizontal="left" vertical="center"/>
    </xf>
    <xf numFmtId="10" fontId="19" fillId="0" borderId="61" xfId="61" applyNumberFormat="1" applyFont="1" applyBorder="1" applyAlignment="1" applyProtection="1">
      <alignment horizontal="left" vertical="center"/>
    </xf>
    <xf numFmtId="10" fontId="19" fillId="0" borderId="0" xfId="61" applyNumberFormat="1" applyFont="1" applyFill="1" applyAlignment="1" applyProtection="1">
      <alignment horizontal="left" vertical="center"/>
    </xf>
    <xf numFmtId="10" fontId="19" fillId="0" borderId="59" xfId="61" applyNumberFormat="1" applyFont="1" applyFill="1" applyBorder="1" applyAlignment="1" applyProtection="1">
      <alignment horizontal="left" vertical="center"/>
    </xf>
    <xf numFmtId="10" fontId="19" fillId="0" borderId="61" xfId="61" applyNumberFormat="1" applyFont="1" applyFill="1" applyBorder="1" applyAlignment="1" applyProtection="1">
      <alignment horizontal="left" vertical="center"/>
    </xf>
    <xf numFmtId="10" fontId="17" fillId="9" borderId="59" xfId="61" applyNumberFormat="1" applyFont="1" applyFill="1" applyBorder="1" applyAlignment="1" applyProtection="1">
      <alignment horizontal="left" vertical="center"/>
    </xf>
    <xf numFmtId="10" fontId="17" fillId="9" borderId="60" xfId="61" applyNumberFormat="1" applyFont="1" applyFill="1" applyBorder="1" applyAlignment="1" applyProtection="1">
      <alignment horizontal="left" vertical="center"/>
    </xf>
    <xf numFmtId="10" fontId="17" fillId="9" borderId="61" xfId="61" applyNumberFormat="1" applyFont="1" applyFill="1" applyBorder="1" applyAlignment="1" applyProtection="1">
      <alignment horizontal="left" vertical="center"/>
    </xf>
    <xf numFmtId="10" fontId="19" fillId="0" borderId="60" xfId="61" applyNumberFormat="1" applyFont="1" applyFill="1" applyBorder="1" applyAlignment="1" applyProtection="1">
      <alignment horizontal="left" vertical="center"/>
    </xf>
    <xf numFmtId="10" fontId="19" fillId="10" borderId="62" xfId="61" applyNumberFormat="1" applyFont="1" applyFill="1" applyBorder="1" applyAlignment="1" applyProtection="1">
      <alignment horizontal="left" vertical="center"/>
    </xf>
    <xf numFmtId="10" fontId="19" fillId="10" borderId="63" xfId="61" applyNumberFormat="1" applyFont="1" applyFill="1" applyBorder="1" applyAlignment="1" applyProtection="1">
      <alignment horizontal="left" vertical="center"/>
    </xf>
    <xf numFmtId="10" fontId="19" fillId="10" borderId="64" xfId="6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1"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1"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3" applyFont="1" applyFill="1" applyBorder="1" applyAlignment="1" applyProtection="1">
      <alignment vertical="center"/>
    </xf>
    <xf numFmtId="0" fontId="48" fillId="2" borderId="83" xfId="53" applyFont="1" applyFill="1" applyBorder="1" applyAlignment="1" applyProtection="1">
      <alignment vertical="center"/>
    </xf>
    <xf numFmtId="0" fontId="48" fillId="2" borderId="73" xfId="53" applyFont="1" applyFill="1" applyBorder="1" applyAlignment="1" applyProtection="1">
      <alignment vertical="center"/>
    </xf>
    <xf numFmtId="0" fontId="48" fillId="2" borderId="0" xfId="53" applyFont="1" applyFill="1" applyBorder="1" applyAlignment="1" applyProtection="1">
      <alignment vertical="center"/>
    </xf>
    <xf numFmtId="0" fontId="48" fillId="2" borderId="7" xfId="53" applyFont="1" applyFill="1" applyBorder="1" applyAlignment="1" applyProtection="1">
      <alignment vertical="center"/>
    </xf>
    <xf numFmtId="178" fontId="48" fillId="2" borderId="7" xfId="53" applyNumberFormat="1" applyFont="1" applyFill="1" applyBorder="1" applyAlignment="1" applyProtection="1">
      <alignment horizontal="right" vertical="center"/>
    </xf>
    <xf numFmtId="0" fontId="50" fillId="2" borderId="0" xfId="53" applyFont="1" applyFill="1" applyBorder="1" applyAlignment="1" applyProtection="1">
      <alignment vertical="center"/>
    </xf>
    <xf numFmtId="0" fontId="48" fillId="2" borderId="12" xfId="53" applyFont="1" applyFill="1" applyBorder="1" applyAlignment="1" applyProtection="1">
      <alignment vertical="center"/>
    </xf>
    <xf numFmtId="0" fontId="48" fillId="2" borderId="12" xfId="53" applyFont="1" applyFill="1" applyBorder="1" applyAlignment="1" applyProtection="1">
      <alignment horizontal="right" vertical="center"/>
    </xf>
    <xf numFmtId="49" fontId="48" fillId="2" borderId="82" xfId="53" applyNumberFormat="1" applyFont="1" applyFill="1" applyBorder="1" applyAlignment="1" applyProtection="1"/>
    <xf numFmtId="49" fontId="48" fillId="2" borderId="83" xfId="53" applyNumberFormat="1" applyFont="1" applyFill="1" applyBorder="1" applyAlignment="1" applyProtection="1"/>
    <xf numFmtId="49" fontId="48" fillId="2" borderId="84" xfId="53" applyNumberFormat="1" applyFont="1" applyFill="1" applyBorder="1" applyAlignment="1" applyProtection="1"/>
    <xf numFmtId="49" fontId="29" fillId="2" borderId="6" xfId="53" applyNumberFormat="1" applyFont="1" applyFill="1" applyBorder="1" applyAlignment="1" applyProtection="1">
      <alignment horizontal="left"/>
    </xf>
    <xf numFmtId="0" fontId="29" fillId="2" borderId="13" xfId="53" applyFont="1" applyFill="1" applyBorder="1" applyAlignment="1" applyProtection="1"/>
    <xf numFmtId="178" fontId="29" fillId="2" borderId="7" xfId="53" applyNumberFormat="1" applyFont="1" applyFill="1" applyBorder="1" applyAlignment="1" applyProtection="1">
      <alignment horizontal="center"/>
    </xf>
    <xf numFmtId="0" fontId="29" fillId="2" borderId="7" xfId="53" applyFont="1" applyFill="1" applyBorder="1" applyAlignment="1" applyProtection="1">
      <alignment horizontal="center"/>
    </xf>
    <xf numFmtId="0" fontId="29" fillId="2" borderId="8" xfId="53" applyFont="1" applyFill="1" applyBorder="1" applyAlignment="1" applyProtection="1">
      <alignment horizontal="left"/>
    </xf>
    <xf numFmtId="49" fontId="25" fillId="2" borderId="6" xfId="53" applyNumberFormat="1" applyFont="1" applyFill="1" applyBorder="1" applyAlignment="1" applyProtection="1">
      <alignment horizontal="center"/>
    </xf>
    <xf numFmtId="0" fontId="25" fillId="2" borderId="13" xfId="53" applyFont="1" applyFill="1" applyBorder="1" applyAlignment="1" applyProtection="1"/>
    <xf numFmtId="178" fontId="25" fillId="0" borderId="7" xfId="53" applyNumberFormat="1" applyFont="1" applyFill="1" applyBorder="1" applyAlignment="1" applyProtection="1">
      <alignment horizontal="center"/>
      <protection locked="0"/>
    </xf>
    <xf numFmtId="179" fontId="25" fillId="2" borderId="7" xfId="53" applyNumberFormat="1" applyFont="1" applyFill="1" applyBorder="1" applyAlignment="1" applyProtection="1">
      <alignment horizontal="center"/>
    </xf>
    <xf numFmtId="0" fontId="25" fillId="2" borderId="7" xfId="53" applyFont="1" applyFill="1" applyBorder="1" applyAlignment="1" applyProtection="1">
      <alignment horizontal="center"/>
    </xf>
    <xf numFmtId="0" fontId="25" fillId="2" borderId="8" xfId="53" applyFont="1" applyFill="1" applyBorder="1" applyAlignment="1" applyProtection="1">
      <alignment horizontal="left"/>
    </xf>
    <xf numFmtId="178" fontId="25" fillId="2" borderId="7" xfId="53" applyNumberFormat="1" applyFont="1" applyFill="1" applyBorder="1" applyAlignment="1" applyProtection="1">
      <alignment horizontal="center"/>
    </xf>
    <xf numFmtId="10" fontId="25" fillId="2" borderId="7" xfId="53" applyNumberFormat="1" applyFont="1" applyFill="1" applyBorder="1" applyAlignment="1" applyProtection="1">
      <alignment horizontal="center"/>
    </xf>
    <xf numFmtId="178" fontId="25" fillId="2" borderId="7" xfId="53" applyNumberFormat="1" applyFont="1" applyFill="1" applyBorder="1" applyAlignment="1" applyProtection="1"/>
    <xf numFmtId="0" fontId="51" fillId="3" borderId="8" xfId="53" applyFont="1" applyFill="1" applyBorder="1" applyAlignment="1" applyProtection="1">
      <alignment horizontal="left" vertical="center"/>
      <protection locked="0"/>
    </xf>
    <xf numFmtId="0" fontId="52" fillId="2" borderId="6" xfId="53" applyFont="1" applyFill="1" applyBorder="1" applyAlignment="1" applyProtection="1">
      <alignment horizontal="right"/>
    </xf>
    <xf numFmtId="0" fontId="52" fillId="2" borderId="13" xfId="53" applyFont="1" applyFill="1" applyBorder="1" applyAlignment="1" applyProtection="1"/>
    <xf numFmtId="178" fontId="52" fillId="2" borderId="7" xfId="53" applyNumberFormat="1" applyFont="1" applyFill="1" applyBorder="1" applyAlignment="1" applyProtection="1">
      <alignment horizontal="center"/>
    </xf>
    <xf numFmtId="0" fontId="52" fillId="2" borderId="7" xfId="53" applyNumberFormat="1" applyFont="1" applyFill="1" applyBorder="1" applyAlignment="1" applyProtection="1"/>
    <xf numFmtId="0" fontId="25" fillId="2" borderId="8" xfId="53" applyFont="1" applyFill="1" applyBorder="1" applyAlignment="1" applyProtection="1">
      <alignment vertical="center" wrapText="1"/>
    </xf>
    <xf numFmtId="0" fontId="25" fillId="2" borderId="6" xfId="53" applyFont="1" applyFill="1" applyBorder="1" applyAlignment="1" applyProtection="1">
      <alignment horizontal="left"/>
    </xf>
    <xf numFmtId="0" fontId="25" fillId="2" borderId="7" xfId="53" applyNumberFormat="1" applyFont="1" applyFill="1" applyBorder="1" applyAlignment="1" applyProtection="1">
      <alignment horizontal="center"/>
    </xf>
    <xf numFmtId="0" fontId="25" fillId="2" borderId="0" xfId="53"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3" applyNumberFormat="1" applyFont="1" applyFill="1" applyBorder="1" applyAlignment="1" applyProtection="1">
      <alignment horizontal="left"/>
    </xf>
    <xf numFmtId="0" fontId="29" fillId="2" borderId="7" xfId="53" applyNumberFormat="1" applyFont="1" applyFill="1" applyBorder="1" applyAlignment="1" applyProtection="1">
      <alignment horizontal="center"/>
    </xf>
    <xf numFmtId="9" fontId="29" fillId="2" borderId="13" xfId="53"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3"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3"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3"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3" applyFont="1" applyFill="1" applyBorder="1" applyAlignment="1" applyProtection="1">
      <alignment vertical="center"/>
    </xf>
    <xf numFmtId="178" fontId="29" fillId="2" borderId="7" xfId="53" applyNumberFormat="1" applyFont="1" applyFill="1" applyBorder="1" applyAlignment="1" applyProtection="1">
      <alignment horizontal="center" vertical="center"/>
    </xf>
    <xf numFmtId="9" fontId="29" fillId="2" borderId="13" xfId="53"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3" applyFont="1" applyFill="1" applyBorder="1" applyAlignment="1" applyProtection="1">
      <alignment horizontal="left"/>
    </xf>
    <xf numFmtId="178" fontId="25" fillId="2" borderId="7" xfId="53" applyNumberFormat="1" applyFont="1" applyFill="1" applyBorder="1" applyAlignment="1" applyProtection="1">
      <alignment horizontal="center" vertical="center"/>
    </xf>
    <xf numFmtId="0" fontId="29" fillId="2" borderId="6" xfId="53" applyFont="1" applyFill="1" applyBorder="1" applyAlignment="1" applyProtection="1">
      <alignment horizontal="left"/>
    </xf>
    <xf numFmtId="179" fontId="29" fillId="2" borderId="7" xfId="53" applyNumberFormat="1" applyFont="1" applyFill="1" applyBorder="1" applyAlignment="1" applyProtection="1">
      <alignment horizontal="center"/>
    </xf>
    <xf numFmtId="9" fontId="29" fillId="2" borderId="7" xfId="53" applyNumberFormat="1" applyFont="1" applyFill="1" applyBorder="1" applyAlignment="1" applyProtection="1">
      <alignment horizontal="center"/>
    </xf>
    <xf numFmtId="49" fontId="48" fillId="2" borderId="86" xfId="53" applyNumberFormat="1" applyFont="1" applyFill="1" applyBorder="1" applyAlignment="1" applyProtection="1"/>
    <xf numFmtId="49" fontId="48" fillId="2" borderId="15" xfId="53" applyNumberFormat="1" applyFont="1" applyFill="1" applyBorder="1" applyAlignment="1" applyProtection="1"/>
    <xf numFmtId="49" fontId="48" fillId="2" borderId="87" xfId="53"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3" applyNumberFormat="1" applyFont="1" applyFill="1" applyBorder="1" applyAlignment="1" applyProtection="1">
      <alignment horizontal="center"/>
    </xf>
    <xf numFmtId="10" fontId="25" fillId="2" borderId="13" xfId="53"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3"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3" applyNumberFormat="1" applyFont="1" applyFill="1" applyBorder="1" applyAlignment="1" applyProtection="1">
      <alignment horizontal="center" vertical="center"/>
    </xf>
    <xf numFmtId="49" fontId="48" fillId="2" borderId="89" xfId="53" applyNumberFormat="1" applyFont="1" applyFill="1" applyBorder="1" applyAlignment="1" applyProtection="1"/>
    <xf numFmtId="49" fontId="48" fillId="2" borderId="90" xfId="53"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3"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7" applyNumberFormat="1" applyFont="1" applyBorder="1" applyAlignment="1" applyProtection="1">
      <alignment horizontal="left" vertical="center"/>
    </xf>
    <xf numFmtId="185" fontId="56" fillId="2" borderId="3" xfId="57" applyNumberFormat="1" applyFont="1" applyFill="1" applyBorder="1" applyAlignment="1" applyProtection="1">
      <alignment horizontal="left" vertical="center"/>
    </xf>
    <xf numFmtId="185" fontId="56" fillId="2" borderId="4" xfId="57" applyNumberFormat="1" applyFont="1" applyFill="1" applyBorder="1" applyAlignment="1" applyProtection="1">
      <alignment horizontal="left" vertical="center"/>
    </xf>
    <xf numFmtId="185" fontId="56" fillId="2" borderId="4" xfId="57" applyNumberFormat="1" applyFont="1" applyFill="1" applyBorder="1" applyAlignment="1" applyProtection="1">
      <alignment horizontal="left" vertical="center" wrapText="1"/>
    </xf>
    <xf numFmtId="185" fontId="56" fillId="2" borderId="6" xfId="57" applyNumberFormat="1" applyFont="1" applyFill="1" applyBorder="1" applyAlignment="1" applyProtection="1">
      <alignment horizontal="left" vertical="center"/>
    </xf>
    <xf numFmtId="185" fontId="57" fillId="2" borderId="7" xfId="57" applyNumberFormat="1" applyFont="1" applyFill="1" applyBorder="1" applyAlignment="1" applyProtection="1">
      <alignment horizontal="left" vertical="center"/>
    </xf>
    <xf numFmtId="185" fontId="56" fillId="2" borderId="6" xfId="57" applyNumberFormat="1" applyFont="1" applyFill="1" applyBorder="1" applyAlignment="1" applyProtection="1">
      <alignment horizontal="left" vertical="center" wrapText="1"/>
    </xf>
    <xf numFmtId="0" fontId="58" fillId="0" borderId="39" xfId="57" applyNumberFormat="1" applyFont="1" applyBorder="1" applyAlignment="1" applyProtection="1">
      <alignment vertical="center"/>
    </xf>
    <xf numFmtId="185" fontId="56" fillId="2" borderId="80" xfId="57" applyNumberFormat="1" applyFont="1" applyFill="1" applyBorder="1" applyAlignment="1" applyProtection="1">
      <alignment horizontal="left" vertical="center"/>
    </xf>
    <xf numFmtId="185" fontId="56" fillId="2" borderId="81" xfId="57" applyNumberFormat="1" applyFont="1" applyFill="1" applyBorder="1" applyAlignment="1" applyProtection="1">
      <alignment horizontal="left" vertical="center"/>
    </xf>
    <xf numFmtId="185" fontId="57" fillId="2" borderId="8" xfId="57"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7" applyNumberFormat="1" applyFont="1" applyFill="1" applyBorder="1" applyAlignment="1" applyProtection="1">
      <alignment horizontal="left" vertical="center" wrapText="1"/>
    </xf>
    <xf numFmtId="185" fontId="57" fillId="2" borderId="10" xfId="57" applyNumberFormat="1" applyFont="1" applyFill="1" applyBorder="1" applyAlignment="1" applyProtection="1">
      <alignment horizontal="left" vertical="center"/>
    </xf>
    <xf numFmtId="185" fontId="57" fillId="2" borderId="11" xfId="57"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1"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4"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68" fillId="0" borderId="92" xfId="0" applyFont="1" applyFill="1" applyBorder="1" applyAlignment="1" applyProtection="1">
      <alignment horizontal="center" vertical="center"/>
      <protection locked="0"/>
    </xf>
    <xf numFmtId="0" fontId="49" fillId="2" borderId="104" xfId="0" applyFont="1" applyFill="1" applyBorder="1" applyAlignment="1" applyProtection="1">
      <alignment vertical="center"/>
    </xf>
    <xf numFmtId="0" fontId="69" fillId="2" borderId="105" xfId="0" applyFont="1" applyFill="1" applyBorder="1" applyAlignment="1" applyProtection="1">
      <alignment horizontal="right" vertical="center"/>
    </xf>
    <xf numFmtId="0" fontId="69" fillId="2" borderId="1" xfId="0" applyFont="1" applyFill="1" applyBorder="1" applyAlignment="1" applyProtection="1">
      <alignment horizontal="center" vertical="center"/>
    </xf>
    <xf numFmtId="0" fontId="69" fillId="13" borderId="105" xfId="0" applyFont="1" applyFill="1" applyBorder="1" applyAlignment="1" applyProtection="1">
      <alignment vertical="center"/>
      <protection locked="0"/>
    </xf>
    <xf numFmtId="0" fontId="69" fillId="3" borderId="105" xfId="0" applyFont="1" applyFill="1" applyBorder="1" applyAlignment="1" applyProtection="1">
      <alignment vertical="center"/>
      <protection locked="0"/>
    </xf>
    <xf numFmtId="0" fontId="69" fillId="3" borderId="2" xfId="0" applyFont="1" applyFill="1" applyBorder="1" applyAlignment="1" applyProtection="1">
      <alignment horizontal="center" vertical="center"/>
      <protection locked="0"/>
    </xf>
    <xf numFmtId="0" fontId="70" fillId="2" borderId="105" xfId="0" applyFont="1" applyFill="1" applyBorder="1" applyAlignment="1" applyProtection="1">
      <alignment vertical="center"/>
    </xf>
    <xf numFmtId="0" fontId="69" fillId="2" borderId="105" xfId="0" applyFont="1" applyFill="1" applyBorder="1" applyAlignment="1" applyProtection="1">
      <alignment vertical="center"/>
    </xf>
    <xf numFmtId="0" fontId="48" fillId="2" borderId="16" xfId="53"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3" applyFont="1" applyFill="1" applyBorder="1" applyAlignment="1" applyProtection="1">
      <alignment vertical="center"/>
      <protection locked="0"/>
    </xf>
    <xf numFmtId="0" fontId="48" fillId="2" borderId="0" xfId="0" applyFont="1" applyFill="1" applyBorder="1" applyAlignment="1" applyProtection="1">
      <alignment vertical="center"/>
    </xf>
    <xf numFmtId="0" fontId="48" fillId="2" borderId="103" xfId="53" applyFont="1" applyFill="1" applyBorder="1" applyAlignment="1" applyProtection="1">
      <alignment vertical="center"/>
      <protection locked="0"/>
    </xf>
    <xf numFmtId="0" fontId="48" fillId="3" borderId="16" xfId="53"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3" fillId="2" borderId="0" xfId="0" applyFont="1" applyFill="1" applyAlignment="1" applyProtection="1">
      <alignment horizontal="center" vertical="center"/>
      <protection locked="0"/>
    </xf>
    <xf numFmtId="0" fontId="70" fillId="2" borderId="0" xfId="0" applyFont="1" applyFill="1" applyBorder="1" applyAlignment="1" applyProtection="1">
      <alignment vertical="center"/>
      <protection locked="0"/>
    </xf>
    <xf numFmtId="0" fontId="71" fillId="2" borderId="106" xfId="0" applyFont="1" applyFill="1" applyBorder="1" applyAlignment="1" applyProtection="1">
      <alignment vertical="center" wrapText="1"/>
    </xf>
    <xf numFmtId="0" fontId="71" fillId="2" borderId="73" xfId="0" applyFont="1" applyFill="1" applyBorder="1" applyAlignment="1" applyProtection="1">
      <alignment vertical="center" wrapText="1"/>
    </xf>
    <xf numFmtId="0" fontId="68" fillId="2" borderId="3" xfId="0" applyFont="1" applyFill="1" applyBorder="1" applyAlignment="1" applyProtection="1">
      <alignment horizontal="center" vertical="center" wrapText="1"/>
    </xf>
    <xf numFmtId="0" fontId="68" fillId="2" borderId="5" xfId="0" applyFont="1" applyFill="1" applyBorder="1" applyAlignment="1" applyProtection="1">
      <alignment horizontal="center" vertical="center" wrapText="1"/>
    </xf>
    <xf numFmtId="0" fontId="68" fillId="2" borderId="95" xfId="0" applyFont="1" applyFill="1" applyBorder="1" applyAlignment="1" applyProtection="1">
      <alignment horizontal="center" vertical="center" wrapText="1"/>
    </xf>
    <xf numFmtId="0" fontId="68" fillId="2" borderId="74" xfId="0" applyFont="1" applyFill="1" applyBorder="1" applyAlignment="1" applyProtection="1">
      <alignment horizontal="center" vertical="center" wrapText="1"/>
    </xf>
    <xf numFmtId="0" fontId="71" fillId="2" borderId="70" xfId="0" applyFont="1" applyFill="1" applyBorder="1" applyAlignment="1" applyProtection="1">
      <alignment vertical="center" wrapText="1"/>
    </xf>
    <xf numFmtId="0" fontId="71" fillId="2" borderId="0" xfId="0" applyFont="1" applyFill="1" applyBorder="1" applyAlignment="1" applyProtection="1">
      <alignment vertical="center" wrapText="1"/>
    </xf>
    <xf numFmtId="0" fontId="72" fillId="0" borderId="6" xfId="0" applyFont="1" applyFill="1" applyBorder="1" applyAlignment="1" applyProtection="1">
      <alignment horizontal="center" vertical="center" wrapText="1"/>
      <protection locked="0"/>
    </xf>
    <xf numFmtId="0" fontId="72" fillId="0" borderId="8"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1" fillId="2" borderId="107" xfId="0" applyFont="1" applyFill="1" applyBorder="1" applyAlignment="1" applyProtection="1">
      <alignment vertical="center" wrapText="1"/>
    </xf>
    <xf numFmtId="0" fontId="71" fillId="2" borderId="18" xfId="0" applyFont="1" applyFill="1" applyBorder="1" applyAlignment="1" applyProtection="1">
      <alignment vertical="center" wrapText="1"/>
    </xf>
    <xf numFmtId="0" fontId="72" fillId="0" borderId="68" xfId="0" applyFont="1" applyFill="1" applyBorder="1" applyAlignment="1" applyProtection="1">
      <alignment horizontal="center" vertical="center" wrapText="1"/>
      <protection locked="0"/>
    </xf>
    <xf numFmtId="0" fontId="72" fillId="0" borderId="69" xfId="0" applyFont="1" applyFill="1" applyBorder="1" applyAlignment="1" applyProtection="1">
      <alignment horizontal="center" vertical="center" wrapText="1"/>
      <protection locked="0"/>
    </xf>
    <xf numFmtId="0" fontId="72" fillId="0" borderId="94" xfId="0" applyFont="1" applyFill="1" applyBorder="1" applyAlignment="1" applyProtection="1">
      <alignment horizontal="center" vertical="center" wrapText="1"/>
      <protection locked="0"/>
    </xf>
    <xf numFmtId="0" fontId="72" fillId="0" borderId="93" xfId="0" applyFont="1" applyFill="1" applyBorder="1" applyAlignment="1" applyProtection="1">
      <alignment horizontal="center" vertical="center" wrapText="1"/>
      <protection locked="0"/>
    </xf>
    <xf numFmtId="0" fontId="74" fillId="2" borderId="108" xfId="0" applyFont="1" applyFill="1" applyBorder="1" applyAlignment="1" applyProtection="1">
      <alignment vertical="center" wrapText="1"/>
    </xf>
    <xf numFmtId="0" fontId="74" fillId="2" borderId="109" xfId="0" applyFont="1" applyFill="1" applyBorder="1" applyAlignment="1" applyProtection="1">
      <alignment vertical="center" wrapText="1"/>
    </xf>
    <xf numFmtId="187" fontId="64" fillId="2" borderId="97" xfId="0" applyNumberFormat="1" applyFont="1" applyFill="1" applyBorder="1" applyAlignment="1" applyProtection="1">
      <alignment horizontal="center" vertical="center" wrapText="1"/>
    </xf>
    <xf numFmtId="0" fontId="64" fillId="2" borderId="101" xfId="0" applyNumberFormat="1" applyFont="1" applyFill="1" applyBorder="1" applyAlignment="1" applyProtection="1">
      <alignment horizontal="center" vertical="center" wrapText="1"/>
    </xf>
    <xf numFmtId="187" fontId="64" fillId="0" borderId="100" xfId="0" applyNumberFormat="1" applyFont="1" applyFill="1" applyBorder="1" applyAlignment="1" applyProtection="1">
      <alignment horizontal="center" vertical="center" wrapText="1"/>
      <protection locked="0"/>
    </xf>
    <xf numFmtId="0" fontId="64" fillId="2" borderId="99" xfId="0" applyNumberFormat="1" applyFont="1" applyFill="1" applyBorder="1" applyAlignment="1" applyProtection="1">
      <alignment horizontal="center" vertical="center" wrapText="1"/>
    </xf>
    <xf numFmtId="49" fontId="64" fillId="13" borderId="97" xfId="0" applyNumberFormat="1" applyFont="1" applyFill="1" applyBorder="1" applyAlignment="1" applyProtection="1">
      <alignment horizontal="center" vertical="center" wrapText="1"/>
      <protection locked="0"/>
    </xf>
    <xf numFmtId="0" fontId="74" fillId="2" borderId="67" xfId="0" applyFont="1" applyFill="1" applyBorder="1" applyAlignment="1" applyProtection="1">
      <alignment vertical="center" wrapText="1"/>
    </xf>
    <xf numFmtId="0" fontId="64" fillId="2" borderId="74" xfId="0" applyFont="1" applyFill="1" applyBorder="1" applyAlignment="1" applyProtection="1">
      <alignment horizontal="center" vertical="center" wrapText="1"/>
    </xf>
    <xf numFmtId="0" fontId="75" fillId="0" borderId="82"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49" fontId="64" fillId="13" borderId="3" xfId="0" applyNumberFormat="1" applyFont="1" applyFill="1" applyBorder="1" applyAlignment="1" applyProtection="1">
      <alignment horizontal="center" vertical="center" wrapText="1"/>
      <protection locked="0"/>
    </xf>
    <xf numFmtId="49" fontId="64" fillId="13" borderId="95" xfId="0" applyNumberFormat="1" applyFont="1" applyFill="1" applyBorder="1" applyAlignment="1" applyProtection="1">
      <alignment horizontal="center" vertical="center" wrapText="1"/>
      <protection locked="0"/>
    </xf>
    <xf numFmtId="0" fontId="76" fillId="2" borderId="76" xfId="0" applyFont="1" applyFill="1" applyBorder="1" applyAlignment="1" applyProtection="1">
      <alignment vertical="center" wrapText="1"/>
    </xf>
    <xf numFmtId="0" fontId="64" fillId="2" borderId="13" xfId="0" applyFont="1" applyFill="1" applyBorder="1" applyAlignment="1" applyProtection="1">
      <alignment horizontal="center" vertical="center" wrapText="1"/>
    </xf>
    <xf numFmtId="185" fontId="64" fillId="0" borderId="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185" fontId="64" fillId="0" borderId="14" xfId="0" applyNumberFormat="1" applyFont="1" applyFill="1" applyBorder="1" applyAlignment="1" applyProtection="1">
      <alignment horizontal="center" vertical="center" wrapText="1"/>
      <protection locked="0"/>
    </xf>
    <xf numFmtId="0" fontId="71" fillId="2" borderId="76" xfId="0" applyFont="1" applyFill="1" applyBorder="1" applyAlignment="1" applyProtection="1">
      <alignment vertical="center" wrapText="1"/>
    </xf>
    <xf numFmtId="0" fontId="64" fillId="0" borderId="6" xfId="0" applyNumberFormat="1"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74" fillId="2" borderId="76" xfId="0" applyFont="1" applyFill="1" applyBorder="1" applyAlignment="1" applyProtection="1">
      <alignment vertical="center" wrapText="1"/>
    </xf>
    <xf numFmtId="0" fontId="64" fillId="0" borderId="93" xfId="0" applyFont="1" applyFill="1" applyBorder="1" applyAlignment="1" applyProtection="1">
      <alignment horizontal="center" vertical="center" wrapText="1"/>
      <protection locked="0"/>
    </xf>
    <xf numFmtId="0" fontId="64" fillId="0" borderId="110" xfId="0" applyNumberFormat="1" applyFont="1" applyFill="1" applyBorder="1" applyAlignment="1" applyProtection="1">
      <alignment horizontal="center" vertical="center" wrapText="1"/>
      <protection locked="0"/>
    </xf>
    <xf numFmtId="0" fontId="64" fillId="2" borderId="111" xfId="0" applyNumberFormat="1" applyFont="1" applyFill="1" applyBorder="1" applyAlignment="1" applyProtection="1">
      <alignment horizontal="center" vertical="center" wrapText="1"/>
    </xf>
    <xf numFmtId="0" fontId="64" fillId="0" borderId="103" xfId="0" applyNumberFormat="1" applyFont="1" applyFill="1" applyBorder="1" applyAlignment="1" applyProtection="1">
      <alignment horizontal="center" vertical="center" wrapText="1"/>
      <protection locked="0"/>
    </xf>
    <xf numFmtId="0" fontId="68" fillId="0" borderId="86"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1" fillId="2" borderId="79" xfId="0" applyFont="1" applyFill="1" applyBorder="1" applyAlignment="1" applyProtection="1">
      <alignment vertical="center" wrapText="1"/>
    </xf>
    <xf numFmtId="0" fontId="64" fillId="0" borderId="75" xfId="0"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64" fillId="0" borderId="79" xfId="0" applyNumberFormat="1" applyFont="1" applyFill="1" applyBorder="1" applyAlignment="1" applyProtection="1">
      <alignment horizontal="center" vertical="center" wrapText="1"/>
      <protection locked="0"/>
    </xf>
    <xf numFmtId="0" fontId="71" fillId="2" borderId="67" xfId="0" applyFont="1" applyFill="1" applyBorder="1" applyAlignment="1" applyProtection="1">
      <alignment vertical="center" wrapText="1"/>
    </xf>
    <xf numFmtId="0" fontId="64" fillId="2" borderId="81" xfId="0" applyFont="1" applyFill="1" applyBorder="1" applyAlignment="1" applyProtection="1">
      <alignment horizontal="center" vertical="center" wrapText="1"/>
    </xf>
    <xf numFmtId="49" fontId="68" fillId="2" borderId="112" xfId="0" applyNumberFormat="1" applyFont="1" applyFill="1" applyBorder="1" applyAlignment="1" applyProtection="1">
      <alignment horizontal="center" vertical="center" wrapText="1"/>
    </xf>
    <xf numFmtId="0" fontId="68" fillId="2" borderId="81" xfId="0" applyNumberFormat="1" applyFont="1" applyFill="1" applyBorder="1" applyAlignment="1" applyProtection="1">
      <alignment horizontal="center" vertical="center" wrapText="1"/>
    </xf>
    <xf numFmtId="49" fontId="68" fillId="0" borderId="67" xfId="0" applyNumberFormat="1" applyFont="1" applyFill="1" applyBorder="1" applyAlignment="1" applyProtection="1">
      <alignment horizontal="center" vertical="center" wrapText="1"/>
      <protection locked="0"/>
    </xf>
    <xf numFmtId="49" fontId="68" fillId="0" borderId="112" xfId="0" applyNumberFormat="1" applyFont="1" applyFill="1" applyBorder="1" applyAlignment="1" applyProtection="1">
      <alignment horizontal="center" vertical="center" wrapText="1"/>
      <protection locked="0"/>
    </xf>
    <xf numFmtId="0" fontId="68" fillId="2" borderId="71" xfId="0" applyFont="1" applyFill="1" applyBorder="1" applyAlignment="1" applyProtection="1">
      <alignment horizontal="center" vertical="center"/>
    </xf>
    <xf numFmtId="0" fontId="68" fillId="13" borderId="103"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88" xfId="0" applyNumberFormat="1" applyFont="1" applyFill="1" applyBorder="1" applyAlignment="1" applyProtection="1">
      <alignment horizontal="center" vertical="center" wrapText="1"/>
    </xf>
    <xf numFmtId="0" fontId="64" fillId="2" borderId="69" xfId="0" applyFont="1" applyFill="1" applyBorder="1" applyAlignment="1" applyProtection="1">
      <alignment horizontal="center" vertical="center" wrapText="1"/>
    </xf>
    <xf numFmtId="0" fontId="68" fillId="2" borderId="94" xfId="0" applyNumberFormat="1" applyFont="1" applyFill="1" applyBorder="1" applyAlignment="1" applyProtection="1">
      <alignment horizontal="center" vertical="center" wrapText="1"/>
    </xf>
    <xf numFmtId="49" fontId="68" fillId="0" borderId="76" xfId="0" applyNumberFormat="1" applyFont="1" applyFill="1" applyBorder="1" applyAlignment="1" applyProtection="1">
      <alignment horizontal="center" vertical="center" wrapText="1"/>
      <protection locked="0"/>
    </xf>
    <xf numFmtId="49" fontId="68" fillId="0" borderId="65" xfId="0" applyNumberFormat="1" applyFont="1" applyFill="1" applyBorder="1" applyAlignment="1" applyProtection="1">
      <alignment horizontal="center" vertical="center" wrapText="1"/>
      <protection locked="0"/>
    </xf>
    <xf numFmtId="0" fontId="68" fillId="2" borderId="69" xfId="0" applyNumberFormat="1" applyFont="1" applyFill="1" applyBorder="1" applyAlignment="1" applyProtection="1">
      <alignment horizontal="center" vertical="center" wrapText="1"/>
    </xf>
    <xf numFmtId="0" fontId="64" fillId="2" borderId="85" xfId="0" applyFont="1" applyFill="1" applyBorder="1" applyAlignment="1" applyProtection="1">
      <alignment horizontal="center" vertical="center" wrapText="1"/>
    </xf>
    <xf numFmtId="49" fontId="68" fillId="0" borderId="68" xfId="0" applyNumberFormat="1" applyFont="1" applyFill="1" applyBorder="1" applyAlignment="1" applyProtection="1">
      <alignment horizontal="center" vertical="center" wrapText="1"/>
      <protection locked="0"/>
    </xf>
    <xf numFmtId="49" fontId="68" fillId="0" borderId="94" xfId="0" applyNumberFormat="1" applyFont="1" applyFill="1" applyBorder="1" applyAlignment="1" applyProtection="1">
      <alignment horizontal="center" vertical="center" wrapText="1"/>
      <protection locked="0"/>
    </xf>
    <xf numFmtId="0" fontId="64" fillId="2" borderId="88" xfId="0" applyFont="1" applyFill="1" applyBorder="1" applyAlignment="1" applyProtection="1">
      <alignment horizontal="center" vertical="center" wrapText="1"/>
    </xf>
    <xf numFmtId="0" fontId="68" fillId="13" borderId="65" xfId="0" applyNumberFormat="1" applyFont="1" applyFill="1" applyBorder="1" applyAlignment="1" applyProtection="1">
      <alignment horizontal="center" vertical="center" wrapText="1"/>
      <protection locked="0"/>
    </xf>
    <xf numFmtId="0" fontId="68" fillId="13" borderId="110"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13" borderId="15" xfId="0" applyNumberFormat="1" applyFont="1" applyFill="1" applyBorder="1" applyAlignment="1" applyProtection="1">
      <alignment horizontal="center" vertical="center" wrapText="1"/>
      <protection locked="0"/>
    </xf>
    <xf numFmtId="0" fontId="68" fillId="13" borderId="86" xfId="0" applyNumberFormat="1" applyFont="1" applyFill="1" applyBorder="1" applyAlignment="1" applyProtection="1">
      <alignment horizontal="center" vertical="center" wrapText="1"/>
      <protection locked="0"/>
    </xf>
    <xf numFmtId="0" fontId="64" fillId="13" borderId="103"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3" borderId="110" xfId="0" applyNumberFormat="1" applyFont="1" applyFill="1" applyBorder="1" applyAlignment="1" applyProtection="1">
      <alignment horizontal="center" vertical="center" wrapText="1"/>
      <protection locked="0"/>
    </xf>
    <xf numFmtId="0" fontId="64" fillId="0" borderId="8" xfId="0" applyFont="1" applyFill="1" applyBorder="1" applyAlignment="1" applyProtection="1">
      <alignment horizontal="center" vertical="center" wrapText="1"/>
      <protection locked="0"/>
    </xf>
    <xf numFmtId="0" fontId="64" fillId="0" borderId="11" xfId="0" applyFont="1" applyFill="1" applyBorder="1" applyAlignment="1" applyProtection="1">
      <alignment horizontal="center" vertical="center" wrapText="1"/>
      <protection locked="0"/>
    </xf>
    <xf numFmtId="0" fontId="68" fillId="0" borderId="90" xfId="0" applyNumberFormat="1" applyFont="1" applyFill="1" applyBorder="1" applyAlignment="1" applyProtection="1">
      <alignment horizontal="center" vertical="center" wrapText="1"/>
      <protection locked="0"/>
    </xf>
    <xf numFmtId="0" fontId="68" fillId="13" borderId="3"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68" fillId="2" borderId="13" xfId="0" applyNumberFormat="1" applyFont="1" applyFill="1" applyBorder="1" applyAlignment="1" applyProtection="1">
      <alignment horizontal="center" vertical="center" wrapText="1"/>
    </xf>
    <xf numFmtId="0" fontId="77" fillId="2" borderId="76" xfId="0" applyFont="1" applyFill="1" applyBorder="1" applyAlignment="1" applyProtection="1">
      <alignment vertical="center" textRotation="255" wrapText="1"/>
    </xf>
    <xf numFmtId="0" fontId="64" fillId="0" borderId="86" xfId="0" applyNumberFormat="1" applyFont="1" applyFill="1" applyBorder="1" applyAlignment="1" applyProtection="1">
      <alignment horizontal="center" vertical="center" wrapText="1"/>
      <protection locked="0"/>
    </xf>
    <xf numFmtId="0" fontId="64" fillId="2" borderId="13" xfId="0" applyNumberFormat="1" applyFont="1" applyFill="1" applyBorder="1" applyAlignment="1" applyProtection="1">
      <alignment horizontal="center" vertical="center" wrapText="1"/>
    </xf>
    <xf numFmtId="0" fontId="71" fillId="2" borderId="76" xfId="0" applyFont="1" applyFill="1" applyBorder="1" applyAlignment="1" applyProtection="1">
      <alignment vertical="center" textRotation="255" wrapText="1"/>
    </xf>
    <xf numFmtId="0" fontId="68" fillId="13" borderId="6" xfId="0" applyNumberFormat="1" applyFont="1" applyFill="1" applyBorder="1" applyAlignment="1" applyProtection="1">
      <alignment horizontal="center" vertical="center" wrapText="1"/>
      <protection locked="0"/>
    </xf>
    <xf numFmtId="9" fontId="64" fillId="0" borderId="86" xfId="0" applyNumberFormat="1" applyFont="1" applyFill="1" applyBorder="1" applyAlignment="1" applyProtection="1">
      <alignment horizontal="center" vertical="center" wrapText="1"/>
      <protection locked="0"/>
    </xf>
    <xf numFmtId="0" fontId="74" fillId="2" borderId="76" xfId="0" applyFont="1" applyFill="1" applyBorder="1" applyAlignment="1" applyProtection="1">
      <alignment vertical="center" textRotation="255" wrapText="1"/>
    </xf>
    <xf numFmtId="0" fontId="68" fillId="2" borderId="13" xfId="0" applyFont="1" applyFill="1" applyBorder="1" applyAlignment="1" applyProtection="1">
      <alignment horizontal="center" vertical="center" wrapText="1"/>
    </xf>
    <xf numFmtId="0" fontId="64" fillId="0" borderId="13" xfId="0" applyFont="1" applyFill="1" applyBorder="1" applyAlignment="1" applyProtection="1">
      <alignment horizontal="center" vertical="center" wrapText="1"/>
      <protection locked="0"/>
    </xf>
    <xf numFmtId="0" fontId="71" fillId="2" borderId="79" xfId="0" applyFont="1" applyFill="1" applyBorder="1" applyAlignment="1" applyProtection="1">
      <alignment vertical="center" textRotation="255" wrapText="1"/>
    </xf>
    <xf numFmtId="0" fontId="68" fillId="2" borderId="75" xfId="0" applyNumberFormat="1" applyFont="1" applyFill="1" applyBorder="1" applyAlignment="1" applyProtection="1">
      <alignment horizontal="center" vertical="center" wrapText="1"/>
    </xf>
    <xf numFmtId="49" fontId="71" fillId="2" borderId="82" xfId="0" applyNumberFormat="1" applyFont="1" applyFill="1" applyBorder="1" applyAlignment="1" applyProtection="1">
      <alignment vertical="center"/>
    </xf>
    <xf numFmtId="49" fontId="71" fillId="2" borderId="83" xfId="0" applyNumberFormat="1" applyFont="1" applyFill="1" applyBorder="1" applyAlignment="1" applyProtection="1">
      <alignment vertical="center"/>
    </xf>
    <xf numFmtId="0" fontId="71" fillId="2" borderId="82" xfId="0" applyNumberFormat="1" applyFont="1" applyFill="1" applyBorder="1" applyAlignment="1" applyProtection="1">
      <alignment horizontal="right" vertical="center" wrapText="1"/>
    </xf>
    <xf numFmtId="0" fontId="71" fillId="2" borderId="84" xfId="0" applyNumberFormat="1" applyFont="1" applyFill="1" applyBorder="1" applyAlignment="1" applyProtection="1">
      <alignment vertical="center" wrapText="1"/>
    </xf>
    <xf numFmtId="0" fontId="78" fillId="12" borderId="83" xfId="0" applyNumberFormat="1" applyFont="1" applyFill="1" applyBorder="1" applyAlignment="1" applyProtection="1">
      <alignment vertical="center" wrapText="1"/>
      <protection locked="0"/>
    </xf>
    <xf numFmtId="0" fontId="78" fillId="2" borderId="83" xfId="0" applyNumberFormat="1" applyFont="1" applyFill="1" applyBorder="1" applyAlignment="1" applyProtection="1">
      <alignment vertical="center" wrapText="1"/>
    </xf>
    <xf numFmtId="0" fontId="78" fillId="12" borderId="82" xfId="0" applyNumberFormat="1" applyFont="1" applyFill="1" applyBorder="1" applyAlignment="1" applyProtection="1">
      <alignment vertical="center" wrapText="1"/>
      <protection locked="0"/>
    </xf>
    <xf numFmtId="0" fontId="78" fillId="2" borderId="84" xfId="0" applyNumberFormat="1" applyFont="1" applyFill="1" applyBorder="1" applyAlignment="1" applyProtection="1">
      <alignment vertical="center" wrapText="1"/>
    </xf>
    <xf numFmtId="49" fontId="71" fillId="2" borderId="89" xfId="0" applyNumberFormat="1" applyFont="1" applyFill="1" applyBorder="1" applyAlignment="1" applyProtection="1">
      <alignment vertical="center"/>
    </xf>
    <xf numFmtId="49" fontId="71" fillId="2" borderId="90" xfId="0" applyNumberFormat="1" applyFont="1" applyFill="1" applyBorder="1" applyAlignment="1" applyProtection="1">
      <alignment vertical="center"/>
    </xf>
    <xf numFmtId="0" fontId="71" fillId="2" borderId="89"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0" fontId="71" fillId="2" borderId="90" xfId="0" applyNumberFormat="1" applyFont="1" applyFill="1" applyBorder="1" applyAlignment="1" applyProtection="1">
      <alignment vertical="center" wrapText="1"/>
    </xf>
    <xf numFmtId="181" fontId="71" fillId="10" borderId="91" xfId="0" applyNumberFormat="1" applyFont="1" applyFill="1" applyBorder="1" applyAlignment="1" applyProtection="1">
      <alignment horizontal="left" vertical="center" wrapText="1"/>
      <protection locked="0"/>
    </xf>
    <xf numFmtId="49" fontId="71" fillId="0" borderId="107" xfId="0" applyNumberFormat="1" applyFont="1" applyFill="1" applyBorder="1" applyAlignment="1" applyProtection="1">
      <alignment vertical="center"/>
      <protection locked="0"/>
    </xf>
    <xf numFmtId="49" fontId="71" fillId="0" borderId="72" xfId="0" applyNumberFormat="1" applyFont="1" applyFill="1" applyBorder="1" applyAlignment="1" applyProtection="1">
      <alignment vertical="center"/>
      <protection locked="0"/>
    </xf>
    <xf numFmtId="0" fontId="71" fillId="2" borderId="18" xfId="0" applyNumberFormat="1" applyFont="1" applyFill="1" applyBorder="1" applyAlignment="1" applyProtection="1">
      <alignment vertical="center" wrapText="1"/>
    </xf>
    <xf numFmtId="0" fontId="68" fillId="7" borderId="0" xfId="0" applyFont="1" applyFill="1" applyAlignment="1" applyProtection="1">
      <alignment horizontal="center" vertical="center"/>
      <protection locked="0"/>
    </xf>
    <xf numFmtId="9" fontId="68" fillId="7" borderId="0" xfId="0" applyNumberFormat="1" applyFont="1" applyFill="1" applyAlignment="1" applyProtection="1">
      <alignment horizontal="center" vertical="center"/>
      <protection locked="0"/>
    </xf>
    <xf numFmtId="0" fontId="71" fillId="2" borderId="7"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71" fillId="2" borderId="14" xfId="0" applyFont="1" applyFill="1" applyBorder="1" applyAlignment="1" applyProtection="1">
      <alignment horizontal="center" vertical="center" wrapText="1"/>
    </xf>
    <xf numFmtId="0" fontId="67" fillId="7" borderId="0" xfId="0"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85" fontId="68" fillId="7" borderId="0" xfId="0" applyNumberFormat="1" applyFont="1" applyFill="1" applyAlignment="1" applyProtection="1">
      <alignment horizontal="center" vertical="center"/>
      <protection locked="0"/>
    </xf>
    <xf numFmtId="0" fontId="79" fillId="2" borderId="0" xfId="0" applyFont="1" applyFill="1" applyBorder="1" applyAlignment="1" applyProtection="1"/>
    <xf numFmtId="0" fontId="68" fillId="2" borderId="0" xfId="0" applyFont="1" applyFill="1" applyAlignment="1" applyProtection="1">
      <alignment horizontal="center" vertical="center"/>
    </xf>
    <xf numFmtId="0" fontId="68" fillId="2" borderId="0" xfId="0" applyFont="1" applyFill="1" applyBorder="1" applyAlignment="1" applyProtection="1"/>
    <xf numFmtId="0" fontId="68" fillId="2" borderId="0" xfId="0" applyFont="1" applyFill="1" applyBorder="1" applyAlignment="1" applyProtection="1">
      <alignment horizontal="center"/>
    </xf>
    <xf numFmtId="0" fontId="74" fillId="2" borderId="106" xfId="0" applyNumberFormat="1" applyFont="1" applyFill="1" applyBorder="1" applyAlignment="1" applyProtection="1">
      <alignment vertical="center" wrapText="1"/>
    </xf>
    <xf numFmtId="0" fontId="74" fillId="2" borderId="112" xfId="0" applyNumberFormat="1" applyFont="1" applyFill="1" applyBorder="1" applyAlignment="1" applyProtection="1">
      <alignment vertical="center" wrapText="1"/>
    </xf>
    <xf numFmtId="188" fontId="64" fillId="2" borderId="95" xfId="0" applyNumberFormat="1" applyFont="1" applyFill="1" applyBorder="1" applyAlignment="1" applyProtection="1">
      <alignment horizontal="center" vertical="center" wrapText="1"/>
    </xf>
    <xf numFmtId="188" fontId="64" fillId="2" borderId="4" xfId="0" applyNumberFormat="1" applyFont="1" applyFill="1" applyBorder="1" applyAlignment="1" applyProtection="1">
      <alignment horizontal="center" vertical="center" wrapText="1"/>
    </xf>
    <xf numFmtId="0" fontId="74" fillId="2" borderId="70" xfId="0" applyNumberFormat="1" applyFont="1" applyFill="1" applyBorder="1" applyAlignment="1" applyProtection="1">
      <alignment vertical="center" wrapText="1"/>
    </xf>
    <xf numFmtId="0" fontId="74" fillId="2" borderId="65" xfId="0" applyNumberFormat="1" applyFont="1" applyFill="1" applyBorder="1" applyAlignment="1" applyProtection="1">
      <alignment vertical="center" wrapText="1"/>
    </xf>
    <xf numFmtId="0" fontId="68" fillId="2" borderId="12" xfId="0" applyNumberFormat="1" applyFont="1" applyFill="1" applyBorder="1" applyAlignment="1" applyProtection="1">
      <alignment horizontal="center" vertical="center" wrapText="1"/>
      <protection locked="0"/>
    </xf>
    <xf numFmtId="0" fontId="64" fillId="0" borderId="12" xfId="0" applyNumberFormat="1" applyFont="1" applyFill="1" applyBorder="1" applyAlignment="1" applyProtection="1">
      <alignment horizontal="center" vertical="center" wrapText="1"/>
      <protection locked="0"/>
    </xf>
    <xf numFmtId="0" fontId="74" fillId="2" borderId="107" xfId="0" applyNumberFormat="1" applyFont="1" applyFill="1" applyBorder="1" applyAlignment="1" applyProtection="1">
      <alignment vertical="center"/>
    </xf>
    <xf numFmtId="0" fontId="74" fillId="2" borderId="113" xfId="0" applyNumberFormat="1" applyFont="1" applyFill="1" applyBorder="1" applyAlignment="1" applyProtection="1">
      <alignment vertical="center" wrapText="1"/>
    </xf>
    <xf numFmtId="0" fontId="64" fillId="0" borderId="113" xfId="0" applyNumberFormat="1" applyFont="1" applyFill="1" applyBorder="1" applyAlignment="1" applyProtection="1">
      <alignment horizontal="center" vertical="center" wrapText="1"/>
      <protection locked="0"/>
    </xf>
    <xf numFmtId="0" fontId="64" fillId="0" borderId="77"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xf>
    <xf numFmtId="0" fontId="64" fillId="2" borderId="103" xfId="0" applyNumberFormat="1" applyFont="1" applyFill="1" applyBorder="1" applyAlignment="1" applyProtection="1">
      <alignment horizontal="center" vertical="center" wrapText="1"/>
    </xf>
    <xf numFmtId="0" fontId="75" fillId="0" borderId="1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94" xfId="0" applyNumberFormat="1" applyFont="1" applyFill="1" applyBorder="1" applyAlignment="1" applyProtection="1">
      <alignment horizontal="center" vertical="center" wrapText="1"/>
      <protection locked="0"/>
    </xf>
    <xf numFmtId="0" fontId="71" fillId="2" borderId="67" xfId="0" applyNumberFormat="1" applyFont="1" applyFill="1" applyBorder="1" applyAlignment="1" applyProtection="1">
      <alignment vertical="center" wrapText="1"/>
    </xf>
    <xf numFmtId="0" fontId="64" fillId="2" borderId="80"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80" fillId="0" borderId="4"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186" fontId="69" fillId="2" borderId="105" xfId="0" applyNumberFormat="1" applyFont="1" applyFill="1" applyBorder="1" applyAlignment="1" applyProtection="1">
      <alignment horizontal="center" vertical="center"/>
    </xf>
    <xf numFmtId="181" fontId="69" fillId="2" borderId="105" xfId="0" applyNumberFormat="1" applyFont="1" applyFill="1" applyBorder="1" applyAlignment="1" applyProtection="1">
      <alignment vertical="center"/>
    </xf>
    <xf numFmtId="0" fontId="69" fillId="2" borderId="105" xfId="0" applyFont="1" applyFill="1" applyBorder="1" applyAlignment="1" applyProtection="1">
      <alignment horizontal="center" vertical="center"/>
    </xf>
    <xf numFmtId="181" fontId="69" fillId="7" borderId="0" xfId="0" applyNumberFormat="1" applyFont="1" applyFill="1" applyBorder="1" applyAlignment="1" applyProtection="1">
      <alignment vertical="center"/>
      <protection locked="0"/>
    </xf>
    <xf numFmtId="0" fontId="69" fillId="7" borderId="0" xfId="0" applyFont="1" applyFill="1" applyBorder="1" applyAlignment="1" applyProtection="1">
      <alignment horizontal="center" vertical="center"/>
      <protection locked="0"/>
    </xf>
    <xf numFmtId="0" fontId="69" fillId="2" borderId="0" xfId="0" applyFont="1" applyFill="1" applyBorder="1" applyAlignment="1" applyProtection="1">
      <alignment horizontal="center" vertical="center"/>
    </xf>
    <xf numFmtId="186" fontId="69" fillId="2" borderId="0" xfId="0" applyNumberFormat="1" applyFont="1" applyFill="1" applyBorder="1" applyAlignment="1" applyProtection="1">
      <alignment horizontal="center" vertical="center"/>
      <protection locked="0"/>
    </xf>
    <xf numFmtId="186" fontId="64" fillId="2" borderId="14" xfId="0" applyNumberFormat="1" applyFont="1" applyFill="1" applyBorder="1" applyAlignment="1" applyProtection="1">
      <alignment horizontal="center" vertical="center" wrapText="1"/>
    </xf>
    <xf numFmtId="181" fontId="64"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106" xfId="0" applyFont="1" applyFill="1" applyBorder="1" applyAlignment="1" applyProtection="1">
      <alignment horizontal="center" vertical="center" wrapText="1"/>
    </xf>
    <xf numFmtId="0" fontId="68" fillId="2" borderId="70" xfId="0" applyFont="1" applyFill="1" applyBorder="1" applyAlignment="1" applyProtection="1">
      <alignment horizontal="center" vertical="center" wrapText="1"/>
    </xf>
    <xf numFmtId="0" fontId="68" fillId="2" borderId="114" xfId="0" applyFont="1" applyFill="1" applyBorder="1" applyAlignment="1" applyProtection="1">
      <alignment horizontal="center" vertical="center" wrapText="1"/>
    </xf>
    <xf numFmtId="0" fontId="64" fillId="2" borderId="14" xfId="0" applyNumberFormat="1" applyFont="1" applyFill="1" applyBorder="1" applyAlignment="1" applyProtection="1">
      <alignment horizontal="center" vertical="center" wrapText="1"/>
    </xf>
    <xf numFmtId="181" fontId="64" fillId="7" borderId="0" xfId="0" applyNumberFormat="1" applyFont="1" applyFill="1" applyBorder="1" applyAlignment="1" applyProtection="1">
      <alignment horizontal="center" vertical="center" wrapText="1"/>
      <protection locked="0"/>
    </xf>
    <xf numFmtId="0" fontId="64" fillId="7" borderId="0" xfId="0" applyFont="1" applyFill="1" applyBorder="1" applyAlignment="1" applyProtection="1">
      <alignment horizontal="center" vertical="center"/>
      <protection locked="0"/>
    </xf>
    <xf numFmtId="0" fontId="64" fillId="2" borderId="86" xfId="0" applyFont="1" applyFill="1" applyBorder="1" applyAlignment="1" applyProtection="1">
      <alignment horizontal="center" vertical="center"/>
    </xf>
    <xf numFmtId="0" fontId="68" fillId="2" borderId="6" xfId="0" applyFont="1" applyFill="1" applyBorder="1" applyAlignment="1" applyProtection="1">
      <alignment horizontal="center" vertical="center" wrapText="1"/>
    </xf>
    <xf numFmtId="181" fontId="65" fillId="7" borderId="0" xfId="0" applyNumberFormat="1" applyFont="1" applyFill="1" applyBorder="1" applyAlignment="1" applyProtection="1">
      <alignment horizontal="center" vertical="center" wrapText="1"/>
      <protection locked="0"/>
    </xf>
    <xf numFmtId="0" fontId="65" fillId="7" borderId="0" xfId="0" applyFont="1" applyFill="1" applyBorder="1" applyAlignment="1" applyProtection="1">
      <alignment horizontal="center" vertical="center"/>
      <protection locked="0"/>
    </xf>
    <xf numFmtId="0" fontId="47" fillId="0" borderId="14" xfId="0" applyNumberFormat="1" applyFont="1" applyFill="1" applyBorder="1" applyAlignment="1" applyProtection="1">
      <alignment horizontal="center" vertical="center" wrapText="1"/>
      <protection locked="0"/>
    </xf>
    <xf numFmtId="181" fontId="66" fillId="7" borderId="0"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181" fontId="67" fillId="7" borderId="0" xfId="0" applyNumberFormat="1" applyFont="1" applyFill="1" applyBorder="1" applyAlignment="1" applyProtection="1">
      <alignment horizontal="center" vertical="center" wrapText="1"/>
      <protection locked="0"/>
    </xf>
    <xf numFmtId="0" fontId="47" fillId="0" borderId="68" xfId="0" applyNumberFormat="1" applyFont="1" applyFill="1" applyBorder="1" applyAlignment="1" applyProtection="1">
      <alignment horizontal="center" vertical="center" wrapText="1"/>
      <protection locked="0"/>
    </xf>
    <xf numFmtId="181" fontId="81" fillId="14" borderId="0" xfId="0" applyNumberFormat="1" applyFont="1" applyFill="1" applyBorder="1" applyAlignment="1" applyProtection="1">
      <alignment horizontal="center" vertical="center" wrapText="1"/>
      <protection locked="0"/>
    </xf>
    <xf numFmtId="0" fontId="68" fillId="2" borderId="68" xfId="0" applyFont="1" applyFill="1" applyBorder="1" applyAlignment="1" applyProtection="1">
      <alignment horizontal="center" vertical="center" wrapText="1"/>
    </xf>
    <xf numFmtId="0" fontId="47" fillId="2" borderId="110" xfId="0" applyNumberFormat="1" applyFont="1" applyFill="1" applyBorder="1" applyAlignment="1" applyProtection="1">
      <alignment horizontal="center" vertical="center" wrapText="1"/>
    </xf>
    <xf numFmtId="0" fontId="68" fillId="2" borderId="76" xfId="0"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8" fillId="2" borderId="68" xfId="0" applyFont="1" applyFill="1" applyBorder="1" applyAlignment="1" applyProtection="1">
      <alignment horizontal="center" vertical="center" textRotation="255" wrapText="1"/>
    </xf>
    <xf numFmtId="0" fontId="66" fillId="7" borderId="0" xfId="0" applyFont="1" applyFill="1" applyBorder="1" applyAlignment="1" applyProtection="1">
      <alignment horizontal="center" vertical="center"/>
      <protection locked="0"/>
    </xf>
    <xf numFmtId="0" fontId="68" fillId="2" borderId="76" xfId="0" applyFont="1" applyFill="1" applyBorder="1" applyAlignment="1" applyProtection="1">
      <alignment horizontal="center" vertical="center" textRotation="255" wrapText="1"/>
    </xf>
    <xf numFmtId="0" fontId="68" fillId="2" borderId="110" xfId="0" applyFont="1" applyFill="1" applyBorder="1" applyAlignment="1" applyProtection="1">
      <alignment horizontal="center" vertical="center" textRotation="255" wrapText="1"/>
    </xf>
    <xf numFmtId="0" fontId="78" fillId="2" borderId="84" xfId="0" applyFont="1" applyFill="1" applyBorder="1" applyAlignment="1" applyProtection="1">
      <alignment vertical="center" wrapText="1"/>
    </xf>
    <xf numFmtId="186" fontId="68" fillId="2" borderId="14" xfId="0" applyNumberFormat="1" applyFont="1" applyFill="1" applyBorder="1" applyAlignment="1" applyProtection="1">
      <alignment horizontal="center" vertical="center"/>
    </xf>
    <xf numFmtId="181" fontId="68" fillId="7" borderId="0" xfId="0" applyNumberFormat="1" applyFont="1" applyFill="1" applyBorder="1" applyAlignment="1" applyProtection="1">
      <alignment vertical="center" wrapText="1"/>
      <protection locked="0"/>
    </xf>
    <xf numFmtId="185" fontId="68" fillId="2" borderId="87" xfId="0" applyNumberFormat="1" applyFont="1" applyFill="1" applyBorder="1" applyAlignment="1" applyProtection="1">
      <alignment horizontal="left" vertical="center" wrapText="1"/>
    </xf>
    <xf numFmtId="180" fontId="71" fillId="2" borderId="18"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center" vertical="center" wrapText="1"/>
    </xf>
    <xf numFmtId="0" fontId="68" fillId="2" borderId="89" xfId="0" applyFont="1" applyFill="1" applyBorder="1" applyAlignment="1" applyProtection="1">
      <alignment horizontal="center" vertical="center" wrapText="1"/>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0" fontId="68" fillId="7" borderId="92" xfId="0" applyFont="1" applyFill="1" applyBorder="1" applyAlignment="1" applyProtection="1">
      <alignment horizontal="center" vertical="center"/>
      <protection locked="0"/>
    </xf>
    <xf numFmtId="186" fontId="67" fillId="7" borderId="0" xfId="0" applyNumberFormat="1" applyFont="1" applyFill="1" applyAlignment="1" applyProtection="1">
      <alignment horizontal="center" vertical="center"/>
      <protection locked="0"/>
    </xf>
    <xf numFmtId="181" fontId="67" fillId="7" borderId="0" xfId="0" applyNumberFormat="1" applyFont="1" applyFill="1" applyAlignment="1" applyProtection="1">
      <alignment horizontal="center" vertical="center"/>
      <protection locked="0"/>
    </xf>
    <xf numFmtId="0" fontId="67" fillId="7" borderId="92" xfId="0" applyFont="1" applyFill="1" applyBorder="1" applyAlignment="1" applyProtection="1">
      <alignment horizontal="center" vertical="center"/>
      <protection locked="0"/>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protection locked="0"/>
    </xf>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0" fontId="68" fillId="7" borderId="92" xfId="0" applyFont="1" applyFill="1" applyBorder="1" applyAlignment="1" applyProtection="1">
      <protection locked="0"/>
    </xf>
    <xf numFmtId="49" fontId="64" fillId="7" borderId="92" xfId="0" applyNumberFormat="1" applyFont="1" applyFill="1" applyBorder="1" applyAlignment="1" applyProtection="1">
      <alignment horizontal="center" vertical="center"/>
      <protection locked="0"/>
    </xf>
    <xf numFmtId="0" fontId="64" fillId="0" borderId="93" xfId="0" applyNumberFormat="1" applyFont="1" applyFill="1" applyBorder="1" applyAlignment="1" applyProtection="1">
      <alignment horizontal="center" vertical="center" wrapText="1"/>
      <protection locked="0"/>
    </xf>
    <xf numFmtId="9" fontId="64" fillId="7" borderId="92" xfId="0" applyNumberFormat="1" applyFont="1" applyFill="1" applyBorder="1" applyAlignment="1" applyProtection="1">
      <alignment horizontal="center" vertical="center" wrapText="1"/>
      <protection locked="0"/>
    </xf>
    <xf numFmtId="0" fontId="64" fillId="0" borderId="115"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85"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4" fillId="0" borderId="69"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left"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7" borderId="0"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68" fillId="2" borderId="112" xfId="0" applyFont="1" applyFill="1" applyBorder="1" applyAlignment="1" applyProtection="1">
      <alignment horizontal="center" vertical="center" wrapText="1"/>
    </xf>
    <xf numFmtId="0" fontId="68" fillId="2" borderId="66" xfId="0" applyFont="1" applyFill="1" applyBorder="1" applyAlignment="1" applyProtection="1">
      <alignment horizontal="center" vertical="center"/>
    </xf>
    <xf numFmtId="0" fontId="68" fillId="2" borderId="112"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65"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xf>
    <xf numFmtId="0" fontId="68" fillId="2" borderId="65" xfId="0"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03" xfId="0" applyFont="1" applyFill="1" applyBorder="1" applyAlignment="1" applyProtection="1">
      <alignment horizontal="center" vertical="center" wrapText="1"/>
    </xf>
    <xf numFmtId="0" fontId="68" fillId="2" borderId="102" xfId="0"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4" fillId="2" borderId="15" xfId="0" applyFont="1" applyFill="1" applyBorder="1" applyAlignment="1" applyProtection="1">
      <alignment horizontal="center" vertical="center"/>
    </xf>
    <xf numFmtId="189"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4"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189"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6" fillId="2" borderId="7" xfId="0" applyFont="1" applyFill="1" applyBorder="1" applyAlignment="1" applyProtection="1">
      <alignment horizontal="center" vertical="center" wrapText="1"/>
    </xf>
    <xf numFmtId="189" fontId="66" fillId="2" borderId="13" xfId="0" applyNumberFormat="1" applyFont="1" applyFill="1" applyBorder="1" applyAlignment="1" applyProtection="1">
      <alignment horizontal="center" vertical="center"/>
    </xf>
    <xf numFmtId="49" fontId="66" fillId="2" borderId="14" xfId="0" applyNumberFormat="1" applyFont="1" applyFill="1" applyBorder="1" applyAlignment="1" applyProtection="1">
      <alignment horizontal="center" vertical="center"/>
    </xf>
    <xf numFmtId="0" fontId="66" fillId="2" borderId="78"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2" borderId="96" xfId="0" applyFont="1" applyFill="1" applyBorder="1" applyAlignment="1" applyProtection="1">
      <alignment horizontal="center" vertical="center" wrapText="1"/>
    </xf>
    <xf numFmtId="0" fontId="71" fillId="2" borderId="10" xfId="0" applyNumberFormat="1"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49" fontId="64" fillId="7" borderId="0" xfId="0" applyNumberFormat="1" applyFont="1" applyFill="1" applyAlignment="1" applyProtection="1">
      <alignment horizontal="center" vertical="center"/>
      <protection locked="0"/>
    </xf>
    <xf numFmtId="0" fontId="64" fillId="7" borderId="0" xfId="0" applyFont="1" applyFill="1" applyAlignment="1" applyProtection="1">
      <alignment horizontal="center" vertical="center"/>
      <protection locked="0"/>
    </xf>
    <xf numFmtId="0" fontId="63" fillId="2" borderId="1" xfId="0" applyFont="1" applyFill="1" applyBorder="1" applyAlignment="1" applyProtection="1">
      <alignment horizontal="center" vertical="center"/>
    </xf>
    <xf numFmtId="0" fontId="63" fillId="2" borderId="0" xfId="0" applyFont="1" applyFill="1" applyBorder="1" applyAlignment="1" applyProtection="1">
      <alignment horizontal="center" vertical="center"/>
    </xf>
    <xf numFmtId="0" fontId="68" fillId="2" borderId="81" xfId="0" applyFont="1" applyFill="1" applyBorder="1" applyAlignment="1" applyProtection="1">
      <alignment horizontal="center" vertical="center"/>
    </xf>
    <xf numFmtId="0" fontId="68" fillId="2" borderId="88"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4" fillId="2" borderId="13"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68" fillId="2" borderId="12" xfId="0" applyFont="1" applyFill="1" applyBorder="1" applyAlignment="1" applyProtection="1">
      <alignment horizontal="center" vertical="center" wrapText="1"/>
    </xf>
    <xf numFmtId="0" fontId="68" fillId="2" borderId="8" xfId="0" applyNumberFormat="1" applyFont="1" applyFill="1" applyBorder="1" applyAlignment="1" applyProtection="1">
      <alignment horizontal="center" vertical="center"/>
    </xf>
    <xf numFmtId="0" fontId="68" fillId="2" borderId="78" xfId="0" applyFont="1" applyFill="1" applyBorder="1" applyAlignment="1" applyProtection="1">
      <alignment horizontal="center" vertical="center" wrapText="1"/>
    </xf>
    <xf numFmtId="0" fontId="68" fillId="2" borderId="78" xfId="0" applyFont="1" applyFill="1" applyBorder="1" applyAlignment="1" applyProtection="1">
      <alignment horizontal="center" vertical="center" textRotation="255" wrapText="1"/>
    </xf>
    <xf numFmtId="0" fontId="66" fillId="2" borderId="7" xfId="0" applyFont="1" applyFill="1" applyBorder="1" applyAlignment="1" applyProtection="1">
      <alignment horizontal="center" vertical="center"/>
    </xf>
    <xf numFmtId="0" fontId="68" fillId="2" borderId="16" xfId="0" applyFont="1" applyFill="1" applyBorder="1" applyAlignment="1" applyProtection="1">
      <alignment horizontal="center" vertical="center" textRotation="255" wrapText="1"/>
    </xf>
    <xf numFmtId="0" fontId="68" fillId="2" borderId="16" xfId="0" applyFont="1" applyFill="1" applyBorder="1" applyAlignment="1" applyProtection="1">
      <alignment vertical="center" textRotation="255" wrapText="1"/>
    </xf>
    <xf numFmtId="0" fontId="68" fillId="2" borderId="72" xfId="0" applyFont="1" applyFill="1" applyBorder="1" applyAlignment="1" applyProtection="1">
      <alignment horizontal="center" vertical="center"/>
    </xf>
    <xf numFmtId="0" fontId="71" fillId="2" borderId="76" xfId="0" applyNumberFormat="1" applyFont="1" applyFill="1" applyBorder="1" applyAlignment="1" applyProtection="1">
      <alignment vertical="center" wrapText="1"/>
    </xf>
    <xf numFmtId="0" fontId="66" fillId="2" borderId="116"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4" fillId="2" borderId="117" xfId="0" applyNumberFormat="1" applyFont="1" applyFill="1" applyBorder="1" applyAlignment="1" applyProtection="1">
      <alignment horizontal="center" vertical="center" wrapText="1"/>
    </xf>
    <xf numFmtId="0" fontId="68" fillId="0" borderId="118" xfId="0" applyNumberFormat="1" applyFont="1" applyFill="1" applyBorder="1" applyAlignment="1" applyProtection="1">
      <alignment horizontal="center" vertical="center" wrapText="1"/>
      <protection locked="0"/>
    </xf>
    <xf numFmtId="0" fontId="64" fillId="2" borderId="116"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8" fillId="2" borderId="16" xfId="0" applyNumberFormat="1" applyFont="1" applyFill="1" applyBorder="1" applyAlignment="1" applyProtection="1">
      <alignment horizontal="center" vertical="center" wrapText="1"/>
    </xf>
    <xf numFmtId="0" fontId="66" fillId="2" borderId="78"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68" fillId="2" borderId="2" xfId="0" applyNumberFormat="1" applyFont="1" applyFill="1" applyBorder="1" applyAlignment="1" applyProtection="1">
      <alignment horizontal="center" vertical="center" wrapText="1"/>
    </xf>
    <xf numFmtId="0" fontId="77" fillId="2" borderId="76" xfId="0" applyNumberFormat="1" applyFont="1" applyFill="1" applyBorder="1" applyAlignment="1" applyProtection="1">
      <alignment vertical="center" wrapText="1"/>
    </xf>
    <xf numFmtId="0" fontId="64" fillId="0" borderId="118" xfId="0" applyNumberFormat="1" applyFont="1" applyFill="1" applyBorder="1" applyAlignment="1" applyProtection="1">
      <alignment horizontal="center" vertical="center" wrapText="1"/>
      <protection locked="0"/>
    </xf>
    <xf numFmtId="0" fontId="66" fillId="0" borderId="118" xfId="0" applyNumberFormat="1" applyFont="1" applyFill="1" applyBorder="1" applyAlignment="1" applyProtection="1">
      <alignment horizontal="center" vertical="center" wrapText="1"/>
      <protection locked="0"/>
    </xf>
    <xf numFmtId="0" fontId="64" fillId="0" borderId="2" xfId="0" applyNumberFormat="1" applyFont="1" applyFill="1" applyBorder="1" applyAlignment="1" applyProtection="1">
      <alignment horizontal="center" vertical="center" wrapText="1"/>
      <protection locked="0"/>
    </xf>
    <xf numFmtId="0" fontId="66" fillId="0" borderId="2"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77" fillId="2" borderId="79" xfId="0" applyNumberFormat="1" applyFont="1" applyFill="1" applyBorder="1" applyAlignment="1" applyProtection="1">
      <alignment vertical="center" wrapText="1"/>
    </xf>
    <xf numFmtId="0" fontId="64" fillId="2" borderId="77" xfId="0" applyNumberFormat="1" applyFont="1" applyFill="1" applyBorder="1" applyAlignment="1" applyProtection="1">
      <alignment horizontal="center" vertical="center" wrapText="1"/>
    </xf>
    <xf numFmtId="0" fontId="64" fillId="0" borderId="10" xfId="0" applyNumberFormat="1" applyFont="1" applyFill="1" applyBorder="1" applyAlignment="1" applyProtection="1">
      <alignment horizontal="center" vertical="center" wrapText="1"/>
      <protection locked="0"/>
    </xf>
    <xf numFmtId="0" fontId="66" fillId="0" borderId="10" xfId="0" applyNumberFormat="1" applyFont="1" applyFill="1" applyBorder="1" applyAlignment="1" applyProtection="1">
      <alignment horizontal="center" vertical="center" wrapText="1"/>
      <protection locked="0"/>
    </xf>
    <xf numFmtId="0" fontId="64" fillId="2" borderId="4" xfId="0" applyNumberFormat="1" applyFont="1" applyFill="1" applyBorder="1" applyAlignment="1" applyProtection="1">
      <alignment horizontal="center" vertical="center" wrapText="1"/>
    </xf>
    <xf numFmtId="0" fontId="64" fillId="2" borderId="118" xfId="0" applyNumberFormat="1" applyFont="1" applyFill="1" applyBorder="1" applyAlignment="1" applyProtection="1">
      <alignment horizontal="center" vertical="center" wrapText="1"/>
    </xf>
    <xf numFmtId="0" fontId="68" fillId="2" borderId="118"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4" fillId="2" borderId="76" xfId="0" applyNumberFormat="1" applyFont="1" applyFill="1" applyBorder="1" applyAlignment="1" applyProtection="1">
      <alignment vertical="center" wrapText="1"/>
    </xf>
    <xf numFmtId="0" fontId="64" fillId="2" borderId="2" xfId="0" applyNumberFormat="1" applyFont="1" applyFill="1" applyBorder="1" applyAlignment="1" applyProtection="1">
      <alignment horizontal="center" vertical="center" wrapText="1"/>
    </xf>
    <xf numFmtId="0" fontId="64" fillId="0" borderId="119" xfId="0" applyNumberFormat="1" applyFont="1" applyFill="1" applyBorder="1" applyAlignment="1" applyProtection="1">
      <alignment horizontal="center" vertical="center"/>
      <protection locked="0"/>
    </xf>
    <xf numFmtId="0" fontId="68" fillId="0" borderId="16" xfId="0" applyNumberFormat="1" applyFont="1" applyFill="1" applyBorder="1" applyAlignment="1" applyProtection="1">
      <alignment horizontal="center" vertical="center" wrapText="1"/>
      <protection locked="0"/>
    </xf>
    <xf numFmtId="0" fontId="71" fillId="2" borderId="79" xfId="0" applyNumberFormat="1" applyFont="1" applyFill="1" applyBorder="1" applyAlignment="1" applyProtection="1">
      <alignment vertical="center" wrapText="1"/>
    </xf>
    <xf numFmtId="0" fontId="68" fillId="0" borderId="10" xfId="0" applyNumberFormat="1" applyFont="1" applyFill="1" applyBorder="1" applyAlignment="1" applyProtection="1">
      <alignment horizontal="center" vertical="center" wrapText="1"/>
      <protection locked="0"/>
    </xf>
    <xf numFmtId="0" fontId="77" fillId="2" borderId="76" xfId="0" applyNumberFormat="1" applyFont="1" applyFill="1" applyBorder="1" applyAlignment="1" applyProtection="1">
      <alignment vertical="center" textRotation="255" wrapText="1"/>
    </xf>
    <xf numFmtId="0" fontId="64" fillId="2" borderId="92" xfId="0" applyNumberFormat="1" applyFont="1" applyFill="1" applyBorder="1" applyAlignment="1" applyProtection="1">
      <alignment horizontal="center" vertical="center"/>
    </xf>
    <xf numFmtId="0" fontId="64" fillId="0" borderId="7" xfId="0" applyNumberFormat="1" applyFont="1" applyFill="1" applyBorder="1" applyAlignment="1" applyProtection="1">
      <alignment horizontal="center" vertical="center" wrapText="1"/>
      <protection locked="0"/>
    </xf>
    <xf numFmtId="0" fontId="71" fillId="2" borderId="76" xfId="0" applyNumberFormat="1" applyFont="1" applyFill="1" applyBorder="1" applyAlignment="1" applyProtection="1">
      <alignment vertical="center" textRotation="255" wrapText="1"/>
    </xf>
    <xf numFmtId="0" fontId="64" fillId="2" borderId="7" xfId="0" applyNumberFormat="1" applyFont="1" applyFill="1" applyBorder="1" applyAlignment="1" applyProtection="1">
      <alignment horizontal="center" vertical="center" wrapText="1"/>
    </xf>
    <xf numFmtId="0" fontId="68" fillId="2" borderId="117" xfId="0" applyNumberFormat="1" applyFont="1" applyFill="1" applyBorder="1" applyAlignment="1" applyProtection="1">
      <alignment horizontal="center" vertical="center" wrapText="1"/>
    </xf>
    <xf numFmtId="0" fontId="75" fillId="0" borderId="118" xfId="0" applyNumberFormat="1" applyFont="1" applyFill="1" applyBorder="1" applyAlignment="1" applyProtection="1">
      <alignment horizontal="center" vertical="center" wrapText="1"/>
      <protection locked="0"/>
    </xf>
    <xf numFmtId="0" fontId="80" fillId="0" borderId="118" xfId="0" applyNumberFormat="1" applyFont="1" applyFill="1" applyBorder="1" applyAlignment="1" applyProtection="1">
      <alignment horizontal="center" vertical="center" wrapText="1"/>
      <protection locked="0"/>
    </xf>
    <xf numFmtId="0" fontId="68" fillId="0" borderId="120"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67" fillId="0" borderId="118" xfId="0" applyNumberFormat="1" applyFont="1" applyFill="1" applyBorder="1" applyAlignment="1" applyProtection="1">
      <alignment horizontal="center" vertical="center" wrapText="1"/>
      <protection locked="0"/>
    </xf>
    <xf numFmtId="0" fontId="67" fillId="0" borderId="118" xfId="0" applyNumberFormat="1" applyFont="1" applyFill="1" applyBorder="1" applyAlignment="1" applyProtection="1">
      <alignment horizontal="left" vertical="center" wrapText="1"/>
      <protection locked="0"/>
    </xf>
    <xf numFmtId="0" fontId="67" fillId="0" borderId="121"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left" vertical="center" wrapText="1"/>
      <protection locked="0"/>
    </xf>
    <xf numFmtId="0" fontId="67" fillId="0" borderId="8" xfId="0" applyNumberFormat="1" applyFont="1" applyFill="1" applyBorder="1" applyAlignment="1" applyProtection="1">
      <alignment horizontal="center" vertical="center" wrapText="1"/>
      <protection locked="0"/>
    </xf>
    <xf numFmtId="0" fontId="68" fillId="2" borderId="120" xfId="0" applyNumberFormat="1" applyFont="1" applyFill="1" applyBorder="1" applyAlignment="1" applyProtection="1">
      <alignment horizontal="center" vertical="center" wrapText="1"/>
    </xf>
    <xf numFmtId="0" fontId="66" fillId="0" borderId="118" xfId="0" applyNumberFormat="1" applyFont="1" applyFill="1" applyBorder="1" applyAlignment="1" applyProtection="1">
      <alignment horizontal="left" vertical="center" wrapText="1"/>
      <protection locked="0"/>
    </xf>
    <xf numFmtId="0" fontId="66" fillId="0" borderId="121" xfId="0" applyNumberFormat="1" applyFont="1" applyFill="1" applyBorder="1" applyAlignment="1" applyProtection="1">
      <alignment horizontal="center" vertical="center" wrapText="1"/>
      <protection locked="0"/>
    </xf>
    <xf numFmtId="0" fontId="66" fillId="7" borderId="0" xfId="0" applyNumberFormat="1"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protection locked="0"/>
    </xf>
    <xf numFmtId="0" fontId="66" fillId="0" borderId="120"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85" xfId="0" applyNumberFormat="1" applyFont="1" applyFill="1" applyBorder="1" applyAlignment="1" applyProtection="1">
      <alignment horizontal="center" vertical="center" wrapText="1"/>
      <protection locked="0"/>
    </xf>
    <xf numFmtId="0" fontId="66" fillId="7" borderId="92" xfId="0" applyFont="1" applyFill="1" applyBorder="1" applyAlignment="1" applyProtection="1">
      <alignment vertical="center" wrapText="1"/>
      <protection locked="0"/>
    </xf>
    <xf numFmtId="0" fontId="66" fillId="0" borderId="11" xfId="0" applyNumberFormat="1" applyFont="1" applyFill="1" applyBorder="1" applyAlignment="1" applyProtection="1">
      <alignment horizontal="center" vertical="center" wrapText="1"/>
      <protection locked="0"/>
    </xf>
    <xf numFmtId="0" fontId="67" fillId="2" borderId="4" xfId="0" applyNumberFormat="1" applyFont="1" applyFill="1" applyBorder="1" applyAlignment="1" applyProtection="1">
      <alignment horizontal="center" vertical="center" wrapText="1"/>
    </xf>
    <xf numFmtId="0" fontId="67" fillId="2" borderId="4" xfId="0" applyNumberFormat="1" applyFont="1" applyFill="1" applyBorder="1" applyAlignment="1" applyProtection="1">
      <alignment horizontal="left" vertical="center" wrapText="1"/>
    </xf>
    <xf numFmtId="0" fontId="67" fillId="2" borderId="5" xfId="0" applyNumberFormat="1" applyFont="1" applyFill="1" applyBorder="1" applyAlignment="1" applyProtection="1">
      <alignment horizontal="center" vertical="center" wrapText="1"/>
    </xf>
    <xf numFmtId="0" fontId="64" fillId="7" borderId="92" xfId="0" applyFont="1" applyFill="1" applyBorder="1" applyAlignment="1" applyProtection="1">
      <alignment vertical="center" wrapText="1"/>
      <protection locked="0"/>
    </xf>
    <xf numFmtId="0" fontId="67" fillId="2" borderId="118" xfId="0" applyNumberFormat="1" applyFont="1" applyFill="1" applyBorder="1" applyAlignment="1" applyProtection="1">
      <alignment horizontal="center" vertical="center" wrapText="1"/>
    </xf>
    <xf numFmtId="0" fontId="67" fillId="2" borderId="118" xfId="0" applyNumberFormat="1" applyFont="1" applyFill="1" applyBorder="1" applyAlignment="1" applyProtection="1">
      <alignment horizontal="left" vertical="center" wrapText="1"/>
    </xf>
    <xf numFmtId="0" fontId="67" fillId="2" borderId="121" xfId="0" applyNumberFormat="1" applyFont="1" applyFill="1" applyBorder="1" applyAlignment="1" applyProtection="1">
      <alignment horizontal="center" vertical="center" wrapText="1"/>
    </xf>
    <xf numFmtId="0" fontId="68" fillId="2" borderId="121" xfId="0" applyNumberFormat="1" applyFont="1" applyFill="1" applyBorder="1" applyAlignment="1" applyProtection="1">
      <alignment horizontal="center" vertical="center" wrapText="1"/>
    </xf>
    <xf numFmtId="0" fontId="64" fillId="0" borderId="118" xfId="0" applyNumberFormat="1" applyFont="1" applyFill="1" applyBorder="1" applyAlignment="1" applyProtection="1">
      <alignment horizontal="left" vertical="center" wrapText="1"/>
      <protection locked="0"/>
    </xf>
    <xf numFmtId="0" fontId="64" fillId="0" borderId="121"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85"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4" fillId="2" borderId="121" xfId="0" applyNumberFormat="1" applyFont="1" applyFill="1" applyBorder="1" applyAlignment="1" applyProtection="1">
      <alignment horizontal="center" vertical="center" wrapText="1"/>
    </xf>
    <xf numFmtId="0" fontId="66" fillId="0" borderId="7" xfId="0" applyNumberFormat="1" applyFont="1" applyFill="1" applyBorder="1" applyAlignment="1" applyProtection="1">
      <alignment horizontal="center" vertical="center" wrapText="1"/>
      <protection locked="0"/>
    </xf>
    <xf numFmtId="0" fontId="66" fillId="0" borderId="7" xfId="0" applyNumberFormat="1" applyFont="1" applyFill="1" applyBorder="1" applyAlignment="1" applyProtection="1">
      <alignment horizontal="left" vertical="center" wrapText="1"/>
      <protection locked="0"/>
    </xf>
    <xf numFmtId="0" fontId="66" fillId="0" borderId="8"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left" vertical="center" wrapText="1"/>
      <protection locked="0"/>
    </xf>
    <xf numFmtId="0" fontId="67" fillId="0" borderId="88" xfId="0" applyNumberFormat="1" applyFont="1" applyFill="1" applyBorder="1" applyAlignment="1" applyProtection="1">
      <alignment horizontal="center" vertical="center" wrapText="1"/>
      <protection locked="0"/>
    </xf>
    <xf numFmtId="0" fontId="68" fillId="0" borderId="118" xfId="0" applyNumberFormat="1" applyFont="1" applyFill="1" applyBorder="1" applyAlignment="1" applyProtection="1">
      <alignment horizontal="left" vertical="center" wrapText="1"/>
      <protection locked="0"/>
    </xf>
    <xf numFmtId="0" fontId="68" fillId="0" borderId="121"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9" fontId="66" fillId="7" borderId="0" xfId="0" applyNumberFormat="1" applyFont="1" applyFill="1" applyBorder="1" applyAlignment="1" applyProtection="1">
      <alignment horizontal="center" vertical="center" wrapText="1"/>
      <protection locked="0"/>
    </xf>
    <xf numFmtId="0" fontId="66" fillId="7" borderId="0" xfId="0" applyFont="1" applyFill="1" applyAlignment="1" applyProtection="1">
      <alignment horizontal="center" vertical="center"/>
      <protection locked="0"/>
    </xf>
    <xf numFmtId="9" fontId="66" fillId="7" borderId="0" xfId="0" applyNumberFormat="1" applyFont="1" applyFill="1" applyBorder="1" applyAlignment="1" applyProtection="1">
      <alignment horizontal="center" vertical="center"/>
      <protection locked="0"/>
    </xf>
    <xf numFmtId="9" fontId="68" fillId="7" borderId="0" xfId="0" applyNumberFormat="1" applyFont="1" applyFill="1" applyBorder="1" applyAlignment="1" applyProtection="1">
      <alignment horizontal="center" vertical="center" wrapText="1"/>
      <protection locked="0"/>
    </xf>
    <xf numFmtId="0" fontId="68" fillId="0" borderId="0" xfId="0" applyFont="1" applyAlignment="1" applyProtection="1">
      <alignment vertical="center" wrapText="1"/>
    </xf>
    <xf numFmtId="0" fontId="25" fillId="15"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5" borderId="0" xfId="0" applyFont="1" applyFill="1" applyAlignment="1" applyProtection="1">
      <alignment vertical="center" wrapText="1"/>
    </xf>
    <xf numFmtId="0" fontId="25" fillId="15"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3"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8"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1" fillId="2" borderId="12" xfId="0" applyNumberFormat="1"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38" xfId="0" applyFont="1" applyFill="1" applyBorder="1" applyAlignment="1" applyProtection="1">
      <alignment horizontal="center" vertical="center"/>
    </xf>
    <xf numFmtId="0" fontId="82" fillId="2" borderId="10" xfId="0" applyFont="1" applyFill="1" applyBorder="1" applyAlignment="1" applyProtection="1">
      <alignment horizontal="center" vertical="center"/>
    </xf>
    <xf numFmtId="0" fontId="71" fillId="2" borderId="38" xfId="0" applyFont="1" applyFill="1" applyBorder="1" applyAlignment="1" applyProtection="1">
      <alignment vertical="center" wrapText="1"/>
    </xf>
    <xf numFmtId="0" fontId="68"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9"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9" xfId="0" applyFont="1" applyFill="1" applyBorder="1" applyAlignment="1" applyProtection="1">
      <alignment horizontal="center" vertical="center" wrapText="1"/>
    </xf>
    <xf numFmtId="0" fontId="25" fillId="2" borderId="109"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9" xfId="0" applyNumberFormat="1" applyFont="1" applyFill="1" applyBorder="1" applyAlignment="1" applyProtection="1">
      <alignment horizontal="left" vertical="center"/>
      <protection locked="0"/>
    </xf>
    <xf numFmtId="0" fontId="25" fillId="2" borderId="109"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83" fillId="2" borderId="102"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1" fillId="2" borderId="79" xfId="0" applyNumberFormat="1" applyFont="1" applyFill="1" applyBorder="1" applyAlignment="1" applyProtection="1">
      <alignment horizontal="left" vertical="center" wrapText="1"/>
    </xf>
    <xf numFmtId="0" fontId="71" fillId="2" borderId="77" xfId="0" applyFont="1" applyFill="1" applyBorder="1" applyAlignment="1" applyProtection="1">
      <alignment horizontal="left" vertical="center" wrapText="1"/>
    </xf>
    <xf numFmtId="0" fontId="71" fillId="2" borderId="115" xfId="0" applyFont="1" applyFill="1" applyBorder="1" applyAlignment="1" applyProtection="1">
      <alignment horizontal="center" vertical="center" wrapText="1"/>
    </xf>
    <xf numFmtId="0" fontId="25" fillId="2" borderId="115" xfId="0" applyFont="1" applyFill="1" applyBorder="1" applyAlignment="1" applyProtection="1">
      <alignment vertical="center"/>
    </xf>
    <xf numFmtId="0" fontId="71" fillId="2" borderId="18" xfId="0" applyFont="1" applyFill="1" applyBorder="1" applyAlignment="1" applyProtection="1">
      <alignment horizontal="center" vertical="center" wrapText="1"/>
    </xf>
    <xf numFmtId="49" fontId="71" fillId="2" borderId="97" xfId="0" applyNumberFormat="1" applyFont="1" applyFill="1" applyBorder="1" applyAlignment="1" applyProtection="1">
      <alignment horizontal="left" vertical="center" wrapText="1"/>
    </xf>
    <xf numFmtId="0" fontId="71" fillId="2" borderId="98" xfId="0" applyFont="1" applyFill="1" applyBorder="1" applyAlignment="1" applyProtection="1">
      <alignment horizontal="left" vertical="center" wrapText="1"/>
    </xf>
    <xf numFmtId="190" fontId="71" fillId="2" borderId="98" xfId="0" applyNumberFormat="1"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14" fontId="68" fillId="2" borderId="98" xfId="0" applyNumberFormat="1" applyFont="1" applyFill="1" applyBorder="1" applyAlignment="1" applyProtection="1">
      <alignment horizontal="center" vertical="center" wrapText="1"/>
    </xf>
    <xf numFmtId="14" fontId="68" fillId="2" borderId="109" xfId="0" applyNumberFormat="1" applyFont="1" applyFill="1" applyBorder="1" applyAlignment="1" applyProtection="1">
      <alignment horizontal="center" vertical="center" wrapText="1"/>
    </xf>
    <xf numFmtId="0" fontId="25" fillId="3" borderId="98" xfId="54" applyFont="1" applyFill="1" applyBorder="1" applyAlignment="1" applyProtection="1">
      <alignment horizontal="center" vertical="center" wrapText="1"/>
      <protection locked="0"/>
    </xf>
    <xf numFmtId="49" fontId="71" fillId="2" borderId="67" xfId="0" applyNumberFormat="1" applyFont="1" applyFill="1" applyBorder="1" applyAlignment="1" applyProtection="1">
      <alignment horizontal="left" vertical="center" wrapText="1"/>
    </xf>
    <xf numFmtId="0" fontId="71" fillId="2" borderId="80" xfId="0" applyFont="1" applyFill="1" applyBorder="1" applyAlignment="1" applyProtection="1">
      <alignment horizontal="left" vertical="center" wrapText="1"/>
    </xf>
    <xf numFmtId="190" fontId="71"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1" fillId="2" borderId="3" xfId="0" applyNumberFormat="1" applyFont="1" applyFill="1" applyBorder="1" applyAlignment="1" applyProtection="1">
      <alignment horizontal="left" vertical="center" wrapText="1"/>
    </xf>
    <xf numFmtId="0" fontId="71"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center" vertical="center" wrapText="1"/>
    </xf>
    <xf numFmtId="0" fontId="68" fillId="2" borderId="73" xfId="0" applyFont="1" applyFill="1" applyBorder="1" applyAlignment="1" applyProtection="1">
      <alignment vertical="center" wrapText="1"/>
    </xf>
    <xf numFmtId="49" fontId="68" fillId="2" borderId="68"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0" fontId="68" fillId="2" borderId="12" xfId="0" applyFont="1" applyFill="1" applyBorder="1" applyAlignment="1" applyProtection="1">
      <alignment horizontal="left" vertical="center" wrapText="1"/>
    </xf>
    <xf numFmtId="0" fontId="71"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9" xfId="0" applyFont="1" applyFill="1" applyBorder="1" applyAlignment="1" applyProtection="1">
      <alignment vertical="center"/>
    </xf>
    <xf numFmtId="0" fontId="68" fillId="2" borderId="98" xfId="0" applyFont="1" applyFill="1" applyBorder="1" applyAlignment="1" applyProtection="1">
      <alignment vertical="center" wrapText="1"/>
    </xf>
    <xf numFmtId="0" fontId="71"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1"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8"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1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1"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1" fillId="2" borderId="4" xfId="0" applyFont="1" applyFill="1" applyBorder="1" applyAlignment="1" applyProtection="1">
      <alignment horizontal="center" vertical="center" wrapText="1"/>
    </xf>
    <xf numFmtId="0" fontId="71"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84"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12"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1" fillId="2" borderId="16" xfId="0" applyFont="1" applyFill="1" applyBorder="1" applyAlignment="1" applyProtection="1">
      <alignment horizontal="center" vertical="center" wrapText="1"/>
    </xf>
    <xf numFmtId="0" fontId="85"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85"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5"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5" borderId="0" xfId="0" applyFont="1" applyFill="1" applyAlignment="1" applyProtection="1">
      <alignment horizontal="left" vertical="center" wrapText="1"/>
      <protection locked="0"/>
    </xf>
    <xf numFmtId="0" fontId="86"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86" fillId="2" borderId="82" xfId="0" applyFont="1" applyFill="1" applyBorder="1" applyAlignment="1" applyProtection="1">
      <alignment vertical="center"/>
    </xf>
    <xf numFmtId="190" fontId="87"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86" fillId="2" borderId="83" xfId="0" applyFont="1" applyFill="1" applyBorder="1" applyAlignment="1" applyProtection="1">
      <alignment vertical="center"/>
    </xf>
    <xf numFmtId="0" fontId="86" fillId="2" borderId="84" xfId="0" applyFont="1" applyFill="1" applyBorder="1" applyAlignment="1" applyProtection="1">
      <alignment horizontal="center" vertical="center"/>
    </xf>
    <xf numFmtId="0" fontId="86"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22"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8"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8" fillId="2" borderId="94" xfId="0" applyFont="1" applyFill="1" applyBorder="1" applyAlignment="1" applyProtection="1">
      <alignment vertical="center" wrapText="1"/>
    </xf>
    <xf numFmtId="0" fontId="68" fillId="15" borderId="0" xfId="0" applyFont="1" applyFill="1" applyAlignment="1" applyProtection="1">
      <alignment vertical="center"/>
      <protection locked="0"/>
    </xf>
    <xf numFmtId="0" fontId="25" fillId="2" borderId="123" xfId="0" applyFont="1" applyFill="1" applyBorder="1" applyAlignment="1" applyProtection="1">
      <alignment vertical="center" wrapText="1"/>
    </xf>
    <xf numFmtId="0" fontId="25" fillId="15" borderId="0" xfId="0" applyFont="1" applyFill="1" applyAlignment="1" applyProtection="1">
      <alignment vertical="center"/>
      <protection locked="0"/>
    </xf>
    <xf numFmtId="0" fontId="25" fillId="2" borderId="124"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5" xfId="0" applyFont="1" applyFill="1" applyBorder="1" applyAlignment="1" applyProtection="1">
      <alignment vertical="center" wrapText="1"/>
    </xf>
    <xf numFmtId="0" fontId="25" fillId="2" borderId="123"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15" xfId="0" applyFont="1" applyFill="1" applyBorder="1" applyAlignment="1" applyProtection="1">
      <alignment horizontal="center" vertical="center" wrapText="1"/>
    </xf>
    <xf numFmtId="0" fontId="25" fillId="2" borderId="122" xfId="0" applyFont="1" applyFill="1" applyBorder="1" applyAlignment="1" applyProtection="1">
      <alignment horizontal="center" vertical="center" wrapText="1"/>
    </xf>
    <xf numFmtId="0" fontId="68" fillId="2" borderId="72" xfId="0" applyFont="1" applyFill="1" applyBorder="1" applyAlignment="1" applyProtection="1">
      <alignment vertical="center" wrapText="1"/>
    </xf>
    <xf numFmtId="0" fontId="68" fillId="15" borderId="0" xfId="0" applyFont="1" applyFill="1" applyAlignment="1" applyProtection="1">
      <alignment vertical="center" wrapText="1"/>
      <protection locked="0"/>
    </xf>
    <xf numFmtId="0" fontId="68" fillId="0" borderId="0" xfId="0" applyFont="1" applyAlignment="1" applyProtection="1">
      <alignment vertical="center" wrapText="1"/>
      <protection locked="0"/>
    </xf>
    <xf numFmtId="14" fontId="25" fillId="15" borderId="0" xfId="0" applyNumberFormat="1" applyFont="1" applyFill="1" applyAlignment="1" applyProtection="1">
      <alignment horizontal="center" vertical="center" wrapText="1"/>
      <protection locked="0"/>
    </xf>
    <xf numFmtId="10" fontId="25" fillId="2" borderId="109" xfId="0" applyNumberFormat="1" applyFont="1" applyFill="1" applyBorder="1" applyAlignment="1" applyProtection="1">
      <alignment horizontal="center" vertical="center" wrapText="1"/>
    </xf>
    <xf numFmtId="0" fontId="25" fillId="3" borderId="123"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9"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5"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73" xfId="54" applyFont="1" applyFill="1" applyBorder="1" applyAlignment="1" applyProtection="1">
      <alignment horizontal="center" vertical="center" wrapText="1"/>
      <protection locked="0"/>
    </xf>
    <xf numFmtId="0" fontId="68" fillId="2" borderId="4" xfId="54" applyFont="1" applyFill="1" applyBorder="1" applyAlignment="1" applyProtection="1">
      <alignment vertical="center" wrapText="1"/>
      <protection locked="0"/>
    </xf>
    <xf numFmtId="0" fontId="68" fillId="2" borderId="124" xfId="54" applyFont="1" applyFill="1" applyBorder="1" applyAlignment="1" applyProtection="1">
      <alignment vertical="center"/>
      <protection locked="0"/>
    </xf>
    <xf numFmtId="0" fontId="68" fillId="2" borderId="5" xfId="0" applyFont="1" applyFill="1" applyBorder="1" applyAlignment="1" applyProtection="1">
      <alignment vertical="center" wrapText="1"/>
    </xf>
    <xf numFmtId="0" fontId="68" fillId="2" borderId="6" xfId="54" applyFont="1" applyFill="1" applyBorder="1" applyAlignment="1" applyProtection="1">
      <alignment horizontal="center" vertical="center" wrapText="1"/>
    </xf>
    <xf numFmtId="10" fontId="68" fillId="0" borderId="14" xfId="54" applyNumberFormat="1" applyFont="1" applyFill="1" applyBorder="1" applyAlignment="1" applyProtection="1">
      <alignment horizontal="center" vertical="center" wrapText="1"/>
      <protection locked="0"/>
    </xf>
    <xf numFmtId="10" fontId="25" fillId="2" borderId="8" xfId="54"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69" xfId="0" applyFont="1" applyFill="1" applyBorder="1" applyAlignment="1" applyProtection="1">
      <alignment vertical="center" wrapText="1"/>
    </xf>
    <xf numFmtId="0" fontId="68" fillId="2" borderId="101" xfId="0" applyFont="1" applyFill="1" applyBorder="1" applyAlignment="1" applyProtection="1">
      <alignment vertical="center" wrapText="1"/>
    </xf>
    <xf numFmtId="0" fontId="68" fillId="2" borderId="9" xfId="54" applyFont="1" applyFill="1" applyBorder="1" applyAlignment="1" applyProtection="1">
      <alignment horizontal="center" vertical="center" wrapText="1"/>
    </xf>
    <xf numFmtId="10" fontId="68" fillId="0" borderId="96" xfId="54" applyNumberFormat="1" applyFont="1" applyFill="1" applyBorder="1" applyAlignment="1" applyProtection="1">
      <alignment horizontal="center" vertical="center" wrapText="1"/>
      <protection locked="0"/>
    </xf>
    <xf numFmtId="10" fontId="25" fillId="2" borderId="11" xfId="54" applyNumberFormat="1" applyFont="1" applyFill="1" applyBorder="1" applyAlignment="1" applyProtection="1">
      <alignment horizontal="center" vertical="center" wrapText="1"/>
    </xf>
    <xf numFmtId="0" fontId="68" fillId="2" borderId="67" xfId="54" applyFont="1" applyFill="1" applyBorder="1" applyAlignment="1" applyProtection="1">
      <alignment horizontal="center" vertical="center" wrapText="1"/>
      <protection locked="0"/>
    </xf>
    <xf numFmtId="0" fontId="68" fillId="2" borderId="0" xfId="54" applyFont="1" applyFill="1" applyBorder="1" applyAlignment="1" applyProtection="1">
      <alignment vertical="center" wrapText="1"/>
      <protection locked="0"/>
    </xf>
    <xf numFmtId="10" fontId="25" fillId="2" borderId="69" xfId="54"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5" borderId="0" xfId="0" applyNumberFormat="1" applyFont="1" applyFill="1" applyAlignment="1" applyProtection="1">
      <alignment horizontal="left" vertical="center" wrapText="1"/>
    </xf>
    <xf numFmtId="0" fontId="25" fillId="15"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5" borderId="0" xfId="0" applyNumberFormat="1" applyFont="1" applyFill="1" applyAlignment="1" applyProtection="1">
      <alignment horizontal="left" vertical="center" wrapText="1"/>
      <protection locked="0"/>
    </xf>
    <xf numFmtId="10" fontId="25" fillId="15"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5"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6" xfId="0" applyFont="1" applyFill="1" applyBorder="1" applyAlignment="1" applyProtection="1">
      <alignment vertical="center"/>
      <protection locked="0"/>
    </xf>
    <xf numFmtId="0" fontId="25" fillId="2" borderId="124"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3" applyFont="1" applyFill="1" applyBorder="1" applyAlignment="1" applyProtection="1">
      <alignment horizontal="left" vertical="center" wrapText="1"/>
    </xf>
    <xf numFmtId="10" fontId="68"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4" applyFont="1" applyFill="1" applyBorder="1" applyAlignment="1" applyProtection="1">
      <alignment horizontal="center" vertical="center" wrapText="1"/>
    </xf>
    <xf numFmtId="0" fontId="25" fillId="2" borderId="0" xfId="54" applyFont="1" applyFill="1" applyAlignment="1" applyProtection="1">
      <alignment vertical="center" wrapText="1"/>
      <protection locked="0"/>
    </xf>
    <xf numFmtId="0" fontId="47" fillId="2" borderId="7" xfId="54" applyNumberFormat="1" applyFont="1" applyFill="1" applyBorder="1" applyAlignment="1" applyProtection="1">
      <alignment horizontal="left" vertical="center" wrapText="1"/>
    </xf>
    <xf numFmtId="0" fontId="47" fillId="0" borderId="7" xfId="54" applyFont="1" applyFill="1" applyBorder="1" applyAlignment="1" applyProtection="1">
      <alignment horizontal="center" vertical="center" wrapText="1"/>
      <protection locked="0"/>
    </xf>
    <xf numFmtId="0" fontId="47" fillId="0" borderId="7" xfId="54" applyFont="1" applyFill="1" applyBorder="1" applyAlignment="1" applyProtection="1">
      <alignment horizontal="center" vertical="center" wrapText="1"/>
    </xf>
    <xf numFmtId="0" fontId="25" fillId="2" borderId="14" xfId="54" applyFont="1" applyFill="1" applyBorder="1" applyAlignment="1" applyProtection="1">
      <alignment horizontal="center" vertical="center" wrapText="1"/>
      <protection locked="0"/>
    </xf>
    <xf numFmtId="0" fontId="25" fillId="2" borderId="7" xfId="54" applyFont="1" applyFill="1" applyBorder="1" applyAlignment="1" applyProtection="1">
      <alignment horizontal="center" vertical="center" wrapText="1"/>
      <protection locked="0"/>
    </xf>
    <xf numFmtId="0" fontId="25" fillId="2" borderId="15" xfId="54" applyFont="1" applyFill="1" applyBorder="1" applyAlignment="1" applyProtection="1">
      <alignment horizontal="right" vertical="center" wrapText="1"/>
      <protection locked="0"/>
    </xf>
    <xf numFmtId="0" fontId="25" fillId="2" borderId="14" xfId="54" applyFont="1" applyFill="1" applyBorder="1" applyAlignment="1" applyProtection="1">
      <alignment horizontal="right" vertical="center" wrapText="1"/>
      <protection locked="0"/>
    </xf>
    <xf numFmtId="0" fontId="19" fillId="2" borderId="7" xfId="54" applyNumberFormat="1" applyFont="1" applyFill="1" applyBorder="1" applyAlignment="1" applyProtection="1">
      <alignment horizontal="left" vertical="center"/>
    </xf>
    <xf numFmtId="10" fontId="25" fillId="15" borderId="0" xfId="0" applyNumberFormat="1" applyFont="1" applyFill="1" applyAlignment="1" applyProtection="1">
      <alignment horizontal="center" vertical="center" wrapText="1"/>
      <protection locked="0"/>
    </xf>
    <xf numFmtId="10" fontId="2" fillId="15"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5" borderId="11" xfId="0" applyNumberFormat="1" applyFont="1" applyFill="1" applyBorder="1" applyAlignment="1" applyProtection="1">
      <alignment horizontal="left" vertical="center" wrapText="1"/>
      <protection locked="0"/>
    </xf>
    <xf numFmtId="0" fontId="25" fillId="2" borderId="0" xfId="54" applyFont="1" applyFill="1" applyAlignment="1" applyProtection="1">
      <alignment horizontal="center" vertical="center" wrapText="1"/>
      <protection locked="0"/>
    </xf>
    <xf numFmtId="0" fontId="25" fillId="15" borderId="0" xfId="54" applyFont="1" applyFill="1" applyAlignment="1" applyProtection="1">
      <alignment horizontal="center" vertical="center" wrapText="1"/>
    </xf>
    <xf numFmtId="0" fontId="68" fillId="2" borderId="0" xfId="54" applyFont="1" applyFill="1" applyAlignment="1" applyProtection="1">
      <alignment horizontal="center" vertical="center" wrapText="1"/>
      <protection locked="0"/>
    </xf>
    <xf numFmtId="0" fontId="68" fillId="15" borderId="0" xfId="54" applyFont="1" applyFill="1" applyAlignment="1" applyProtection="1">
      <alignment horizontal="center" vertical="center" wrapText="1"/>
    </xf>
    <xf numFmtId="179" fontId="25" fillId="2" borderId="7" xfId="54" applyNumberFormat="1" applyFont="1" applyFill="1" applyBorder="1" applyAlignment="1" applyProtection="1">
      <alignment horizontal="center" vertical="center" wrapText="1"/>
      <protection locked="0"/>
    </xf>
    <xf numFmtId="0" fontId="19" fillId="2" borderId="7" xfId="54" applyFont="1" applyFill="1" applyBorder="1" applyAlignment="1" applyProtection="1">
      <alignment horizontal="center" vertical="center"/>
    </xf>
    <xf numFmtId="0" fontId="20" fillId="0" borderId="7" xfId="54" applyNumberFormat="1" applyFont="1" applyFill="1" applyBorder="1" applyAlignment="1" applyProtection="1">
      <alignment horizontal="left" vertical="center"/>
      <protection locked="0"/>
    </xf>
    <xf numFmtId="0" fontId="20" fillId="2" borderId="7" xfId="54" applyNumberFormat="1" applyFont="1" applyFill="1" applyBorder="1" applyAlignment="1" applyProtection="1">
      <alignment horizontal="left" vertical="center"/>
    </xf>
    <xf numFmtId="0" fontId="20" fillId="2" borderId="7" xfId="54" applyNumberFormat="1" applyFont="1" applyFill="1" applyBorder="1" applyAlignment="1" applyProtection="1">
      <alignment horizontal="left" vertical="center" wrapText="1"/>
    </xf>
    <xf numFmtId="0" fontId="25" fillId="15" borderId="0" xfId="54" applyFont="1" applyFill="1" applyAlignment="1" applyProtection="1">
      <alignment horizontal="center" vertical="center" wrapText="1"/>
      <protection locked="0"/>
    </xf>
    <xf numFmtId="0" fontId="25" fillId="0" borderId="0" xfId="54" applyFont="1" applyAlignment="1" applyProtection="1">
      <alignment horizontal="center" vertical="center" wrapText="1"/>
    </xf>
    <xf numFmtId="0" fontId="68" fillId="0" borderId="0" xfId="54" applyFont="1" applyAlignment="1" applyProtection="1">
      <alignment horizontal="center" vertical="center" wrapText="1"/>
    </xf>
    <xf numFmtId="0" fontId="25" fillId="0" borderId="0" xfId="54"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22"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86" fillId="2" borderId="82" xfId="0" applyNumberFormat="1" applyFont="1" applyFill="1" applyBorder="1" applyAlignment="1" applyProtection="1">
      <alignment horizontal="left" vertical="center"/>
    </xf>
    <xf numFmtId="0" fontId="87"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22"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88" fillId="2" borderId="7" xfId="57" applyNumberFormat="1" applyFont="1" applyFill="1" applyBorder="1" applyAlignment="1" applyProtection="1">
      <alignment horizontal="left" vertical="center"/>
    </xf>
    <xf numFmtId="0" fontId="25" fillId="2" borderId="106" xfId="0" applyNumberFormat="1" applyFont="1" applyFill="1" applyBorder="1" applyAlignment="1" applyProtection="1">
      <alignment horizontal="left" vertical="center" wrapText="1"/>
    </xf>
    <xf numFmtId="0" fontId="25" fillId="2" borderId="4" xfId="57" applyNumberFormat="1" applyFont="1" applyFill="1" applyBorder="1" applyAlignment="1" applyProtection="1">
      <alignment horizontal="left" vertical="center"/>
    </xf>
    <xf numFmtId="0" fontId="25" fillId="2" borderId="16" xfId="57" applyNumberFormat="1" applyFont="1" applyFill="1" applyBorder="1" applyAlignment="1" applyProtection="1">
      <alignment horizontal="left" vertical="center"/>
    </xf>
    <xf numFmtId="0" fontId="25" fillId="2" borderId="16" xfId="5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7" applyNumberFormat="1" applyFont="1" applyFill="1" applyBorder="1" applyAlignment="1" applyProtection="1">
      <alignment horizontal="left" vertical="center"/>
    </xf>
    <xf numFmtId="0" fontId="25" fillId="2" borderId="81" xfId="5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89"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89" fillId="7" borderId="0" xfId="0" applyFont="1" applyFill="1" applyProtection="1">
      <alignment vertical="center"/>
      <protection locked="0"/>
    </xf>
    <xf numFmtId="0" fontId="89" fillId="2" borderId="7" xfId="0" applyFont="1" applyFill="1" applyBorder="1" applyAlignment="1">
      <alignment horizontal="left" vertical="center" wrapText="1"/>
    </xf>
    <xf numFmtId="0" fontId="89" fillId="2" borderId="7" xfId="0" applyFont="1" applyFill="1" applyBorder="1" applyAlignment="1">
      <alignment horizontal="center" vertical="center"/>
    </xf>
    <xf numFmtId="0" fontId="24" fillId="2" borderId="7" xfId="0" applyFont="1" applyFill="1" applyBorder="1">
      <alignment vertical="center"/>
    </xf>
    <xf numFmtId="0" fontId="89" fillId="2" borderId="7" xfId="0" applyFont="1" applyFill="1" applyBorder="1" applyAlignment="1">
      <alignment horizontal="left" vertical="center"/>
    </xf>
    <xf numFmtId="0" fontId="89"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5"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1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06"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90" fillId="2" borderId="92" xfId="0" applyNumberFormat="1" applyFont="1" applyFill="1" applyBorder="1" applyAlignment="1" applyProtection="1">
      <alignment vertical="center" wrapText="1"/>
      <protection locked="0"/>
    </xf>
    <xf numFmtId="0" fontId="32" fillId="0" borderId="126" xfId="0" applyNumberFormat="1" applyFont="1" applyFill="1" applyBorder="1" applyAlignment="1" applyProtection="1">
      <alignment horizontal="center" vertical="center" wrapText="1"/>
      <protection locked="0"/>
    </xf>
    <xf numFmtId="0" fontId="54" fillId="0" borderId="127" xfId="0" applyNumberFormat="1" applyFont="1" applyFill="1" applyBorder="1" applyAlignment="1" applyProtection="1">
      <alignment horizontal="center" vertical="center" wrapText="1"/>
      <protection locked="0"/>
    </xf>
    <xf numFmtId="0" fontId="54" fillId="0" borderId="128" xfId="0" applyNumberFormat="1" applyFont="1" applyFill="1" applyBorder="1" applyAlignment="1" applyProtection="1">
      <alignment horizontal="center" vertical="center" wrapText="1"/>
      <protection locked="0"/>
    </xf>
    <xf numFmtId="0" fontId="19" fillId="0" borderId="128" xfId="0" applyNumberFormat="1" applyFont="1" applyFill="1" applyBorder="1" applyAlignment="1" applyProtection="1">
      <alignment horizontal="center" vertical="center" wrapText="1"/>
      <protection locked="0"/>
    </xf>
    <xf numFmtId="0" fontId="54" fillId="2" borderId="129" xfId="0" applyNumberFormat="1" applyFont="1" applyFill="1" applyBorder="1" applyAlignment="1" applyProtection="1">
      <alignment horizontal="center" vertical="center" wrapText="1"/>
    </xf>
    <xf numFmtId="0" fontId="54" fillId="2" borderId="130" xfId="0" applyNumberFormat="1" applyFont="1" applyFill="1" applyBorder="1" applyAlignment="1" applyProtection="1">
      <alignment horizontal="center" vertical="center" wrapText="1"/>
    </xf>
    <xf numFmtId="0" fontId="25" fillId="2" borderId="131" xfId="0" applyNumberFormat="1" applyFont="1" applyFill="1" applyBorder="1" applyAlignment="1" applyProtection="1">
      <alignment horizontal="center" vertical="center" wrapText="1"/>
    </xf>
    <xf numFmtId="0" fontId="19" fillId="2" borderId="13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30" xfId="0" applyNumberFormat="1" applyFont="1" applyFill="1" applyBorder="1" applyAlignment="1" applyProtection="1">
      <alignment horizontal="center" vertical="center" wrapText="1"/>
      <protection locked="0"/>
    </xf>
    <xf numFmtId="0" fontId="25" fillId="0" borderId="131" xfId="0" applyNumberFormat="1" applyFont="1" applyFill="1" applyBorder="1" applyAlignment="1" applyProtection="1">
      <alignment horizontal="center" vertical="center" wrapText="1"/>
      <protection locked="0"/>
    </xf>
    <xf numFmtId="0" fontId="90" fillId="2" borderId="132" xfId="0" applyNumberFormat="1" applyFont="1" applyFill="1" applyBorder="1" applyAlignment="1" applyProtection="1">
      <alignment horizontal="center" vertical="center" wrapText="1"/>
    </xf>
    <xf numFmtId="0" fontId="54" fillId="16" borderId="106"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90" fillId="16" borderId="133" xfId="0" applyNumberFormat="1" applyFont="1" applyFill="1" applyBorder="1" applyAlignment="1" applyProtection="1">
      <alignment vertical="center" wrapText="1"/>
      <protection locked="0"/>
    </xf>
    <xf numFmtId="0" fontId="54" fillId="16" borderId="107"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5" fillId="16"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90" fillId="2" borderId="106"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24" xfId="0" applyFont="1" applyFill="1" applyBorder="1" applyAlignment="1" applyProtection="1">
      <alignment horizontal="center" vertical="center"/>
      <protection locked="0"/>
    </xf>
    <xf numFmtId="0" fontId="91" fillId="2" borderId="7" xfId="0" applyFont="1" applyFill="1" applyBorder="1" applyProtection="1">
      <alignment vertical="center"/>
    </xf>
    <xf numFmtId="0" fontId="91" fillId="2" borderId="7" xfId="0" applyFont="1" applyFill="1" applyBorder="1" applyAlignment="1" applyProtection="1">
      <alignment horizontal="center" vertical="center"/>
    </xf>
    <xf numFmtId="0" fontId="29" fillId="3" borderId="89" xfId="53"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3" applyFont="1" applyFill="1" applyBorder="1" applyAlignment="1" applyProtection="1">
      <alignment vertical="center"/>
      <protection locked="0"/>
    </xf>
    <xf numFmtId="0" fontId="90"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0" borderId="7" xfId="0" applyFont="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3" borderId="7" xfId="0" applyFont="1" applyFill="1" applyBorder="1" applyAlignment="1" applyProtection="1">
      <alignment horizontal="center" vertical="center"/>
      <protection locked="0"/>
    </xf>
    <xf numFmtId="0" fontId="53" fillId="13" borderId="7" xfId="0" applyFont="1" applyFill="1" applyBorder="1" applyAlignment="1" applyProtection="1">
      <alignment horizontal="center" vertical="center"/>
      <protection locked="0"/>
    </xf>
    <xf numFmtId="0" fontId="53" fillId="0"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28" xfId="0" applyNumberFormat="1" applyFont="1" applyFill="1" applyBorder="1" applyAlignment="1" applyProtection="1">
      <alignment horizontal="left" vertical="center" wrapText="1"/>
      <protection locked="0"/>
    </xf>
    <xf numFmtId="0" fontId="19" fillId="0" borderId="134"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34" xfId="0" applyNumberFormat="1" applyFont="1" applyFill="1" applyBorder="1" applyAlignment="1" applyProtection="1">
      <alignment horizontal="center" vertical="center" wrapText="1"/>
      <protection locked="0"/>
    </xf>
    <xf numFmtId="0" fontId="54" fillId="0" borderId="135" xfId="0" applyFont="1" applyFill="1" applyBorder="1" applyAlignment="1" applyProtection="1">
      <alignment horizontal="center" vertical="center"/>
      <protection locked="0"/>
    </xf>
    <xf numFmtId="0" fontId="54" fillId="0" borderId="136" xfId="0" applyNumberFormat="1" applyFont="1" applyFill="1" applyBorder="1" applyAlignment="1" applyProtection="1">
      <alignment horizontal="center" vertical="center" wrapText="1"/>
      <protection locked="0"/>
    </xf>
    <xf numFmtId="0" fontId="54" fillId="0" borderId="136" xfId="0" applyFont="1" applyFill="1" applyBorder="1" applyAlignment="1" applyProtection="1">
      <alignment horizontal="center" vertical="center" wrapText="1"/>
      <protection locked="0"/>
    </xf>
    <xf numFmtId="0" fontId="25" fillId="0" borderId="137"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74" xfId="0" applyNumberFormat="1" applyFont="1" applyFill="1" applyBorder="1" applyAlignment="1" applyProtection="1">
      <alignment horizontal="center" vertical="center" wrapText="1"/>
      <protection locked="0"/>
    </xf>
    <xf numFmtId="0" fontId="54" fillId="16" borderId="66" xfId="0" applyFont="1" applyFill="1" applyBorder="1" applyAlignment="1" applyProtection="1">
      <alignment horizontal="center" vertical="center"/>
      <protection locked="0"/>
    </xf>
    <xf numFmtId="0"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wrapText="1"/>
      <protection locked="0"/>
    </xf>
    <xf numFmtId="0" fontId="25" fillId="16" borderId="75" xfId="0" applyNumberFormat="1" applyFont="1" applyFill="1" applyBorder="1" applyAlignment="1" applyProtection="1">
      <alignment horizontal="center" vertical="center" wrapText="1"/>
      <protection locked="0"/>
    </xf>
    <xf numFmtId="0" fontId="54" fillId="2" borderId="113"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24" xfId="0" applyNumberFormat="1" applyFont="1" applyFill="1" applyBorder="1" applyAlignment="1" applyProtection="1">
      <alignment horizontal="center" vertical="center" wrapText="1"/>
    </xf>
    <xf numFmtId="0" fontId="25" fillId="15"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83" fillId="2" borderId="125" xfId="0" applyNumberFormat="1" applyFont="1" applyFill="1" applyBorder="1" applyAlignment="1" applyProtection="1">
      <alignment horizontal="center" vertical="center" wrapText="1"/>
    </xf>
    <xf numFmtId="0" fontId="83" fillId="15" borderId="0" xfId="0" applyFont="1" applyFill="1" applyAlignment="1" applyProtection="1">
      <alignment horizontal="center" vertical="center"/>
      <protection locked="0"/>
    </xf>
    <xf numFmtId="0" fontId="19" fillId="0" borderId="125"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38" xfId="0" applyNumberFormat="1" applyFont="1" applyFill="1" applyBorder="1" applyAlignment="1" applyProtection="1">
      <alignment horizontal="center" vertical="center" wrapText="1"/>
      <protection locked="0"/>
    </xf>
    <xf numFmtId="0" fontId="54" fillId="0" borderId="139" xfId="0" applyNumberFormat="1" applyFont="1" applyFill="1" applyBorder="1" applyAlignment="1" applyProtection="1">
      <alignment horizontal="center" vertical="center" wrapText="1"/>
      <protection locked="0"/>
    </xf>
    <xf numFmtId="0" fontId="54" fillId="15" borderId="0" xfId="0" applyFont="1" applyFill="1" applyAlignment="1" applyProtection="1">
      <alignment horizontal="center" vertical="center"/>
      <protection locked="0"/>
    </xf>
    <xf numFmtId="0" fontId="25" fillId="2" borderId="14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36" xfId="0" applyNumberFormat="1" applyFont="1" applyFill="1" applyBorder="1" applyAlignment="1" applyProtection="1">
      <alignment horizontal="center" vertical="center" wrapText="1"/>
      <protection locked="0"/>
    </xf>
    <xf numFmtId="0" fontId="54" fillId="0" borderId="136" xfId="0" applyFont="1" applyFill="1" applyBorder="1" applyAlignment="1" applyProtection="1">
      <alignment horizontal="center" vertical="center"/>
      <protection locked="0"/>
    </xf>
    <xf numFmtId="0" fontId="54" fillId="0" borderId="139" xfId="0" applyFont="1" applyFill="1" applyBorder="1" applyAlignment="1" applyProtection="1">
      <alignment horizontal="center" vertical="center"/>
      <protection locked="0"/>
    </xf>
    <xf numFmtId="0" fontId="54" fillId="2" borderId="139" xfId="0" applyNumberFormat="1" applyFont="1" applyFill="1" applyBorder="1" applyAlignment="1" applyProtection="1">
      <alignment horizontal="center" vertical="center" wrapText="1"/>
    </xf>
    <xf numFmtId="0" fontId="25" fillId="0" borderId="141" xfId="0" applyNumberFormat="1" applyFont="1" applyFill="1" applyBorder="1" applyAlignment="1" applyProtection="1">
      <alignment horizontal="center" vertical="center" wrapText="1"/>
      <protection locked="0"/>
    </xf>
    <xf numFmtId="0" fontId="25" fillId="0" borderId="125" xfId="0" applyNumberFormat="1" applyFont="1" applyFill="1" applyBorder="1" applyAlignment="1" applyProtection="1">
      <alignment horizontal="center" vertical="center" wrapText="1"/>
      <protection locked="0"/>
    </xf>
    <xf numFmtId="9"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124" xfId="0" applyFont="1" applyFill="1" applyBorder="1" applyAlignment="1" applyProtection="1">
      <alignment horizontal="center" vertical="center"/>
      <protection locked="0"/>
    </xf>
    <xf numFmtId="0" fontId="25" fillId="16"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5"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5" borderId="0" xfId="0" applyFont="1" applyFill="1" applyProtection="1">
      <alignment vertical="center"/>
      <protection locked="0"/>
    </xf>
    <xf numFmtId="0" fontId="92" fillId="0" borderId="0" xfId="0"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9" fillId="2" borderId="38" xfId="0" applyFont="1" applyFill="1" applyBorder="1" applyAlignment="1" applyProtection="1">
      <alignment horizontal="right" vertical="center"/>
    </xf>
    <xf numFmtId="0" fontId="69" fillId="2" borderId="0" xfId="0" applyFont="1" applyFill="1" applyAlignment="1" applyProtection="1">
      <alignment horizontal="center" vertical="center"/>
    </xf>
    <xf numFmtId="0" fontId="69" fillId="2" borderId="38" xfId="0" applyFont="1" applyFill="1" applyBorder="1" applyAlignment="1" applyProtection="1">
      <alignment vertical="center"/>
    </xf>
    <xf numFmtId="0" fontId="70"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69" fillId="0" borderId="10" xfId="0" applyFont="1" applyFill="1" applyBorder="1" applyAlignment="1" applyProtection="1">
      <alignment vertical="center"/>
      <protection locked="0"/>
    </xf>
    <xf numFmtId="0" fontId="68" fillId="0" borderId="68" xfId="0" applyFont="1" applyFill="1" applyBorder="1" applyAlignment="1" applyProtection="1">
      <alignment horizontal="center" vertical="center" wrapText="1"/>
      <protection locked="0"/>
    </xf>
    <xf numFmtId="0" fontId="68" fillId="0" borderId="69" xfId="0" applyFont="1" applyFill="1" applyBorder="1" applyAlignment="1" applyProtection="1">
      <alignment horizontal="center" vertical="center" wrapText="1"/>
      <protection locked="0"/>
    </xf>
    <xf numFmtId="0" fontId="68" fillId="0" borderId="94" xfId="0" applyFont="1" applyFill="1" applyBorder="1" applyAlignment="1" applyProtection="1">
      <alignment horizontal="center" vertical="center" wrapText="1"/>
      <protection locked="0"/>
    </xf>
    <xf numFmtId="0" fontId="68" fillId="0" borderId="93" xfId="0" applyFont="1" applyFill="1" applyBorder="1" applyAlignment="1" applyProtection="1">
      <alignment horizontal="center" vertical="center" wrapText="1"/>
      <protection locked="0"/>
    </xf>
    <xf numFmtId="187" fontId="64" fillId="0" borderId="97" xfId="0" applyNumberFormat="1" applyFont="1" applyFill="1" applyBorder="1" applyAlignment="1" applyProtection="1">
      <alignment horizontal="center" vertical="center" wrapText="1"/>
      <protection locked="0"/>
    </xf>
    <xf numFmtId="0" fontId="64" fillId="13" borderId="82" xfId="0" applyNumberFormat="1" applyFont="1" applyFill="1" applyBorder="1" applyAlignment="1" applyProtection="1">
      <alignment horizontal="center" vertical="center" wrapText="1"/>
      <protection locked="0"/>
    </xf>
    <xf numFmtId="0" fontId="68" fillId="0" borderId="6" xfId="0" applyNumberFormat="1" applyFont="1" applyFill="1" applyBorder="1" applyAlignment="1" applyProtection="1">
      <alignment horizontal="center" vertical="center" wrapText="1"/>
      <protection locked="0"/>
    </xf>
    <xf numFmtId="0" fontId="68" fillId="2" borderId="67" xfId="0" applyNumberFormat="1" applyFont="1" applyFill="1" applyBorder="1" applyAlignment="1" applyProtection="1">
      <alignment horizontal="center" vertical="center" wrapText="1"/>
    </xf>
    <xf numFmtId="0" fontId="68" fillId="2" borderId="68" xfId="0" applyNumberFormat="1" applyFont="1" applyFill="1" applyBorder="1" applyAlignment="1" applyProtection="1">
      <alignment horizontal="center" vertical="center" wrapText="1"/>
    </xf>
    <xf numFmtId="49" fontId="68" fillId="13" borderId="103" xfId="0" applyNumberFormat="1" applyFont="1" applyFill="1" applyBorder="1" applyAlignment="1" applyProtection="1">
      <alignment horizontal="center" vertical="center" wrapText="1"/>
      <protection locked="0"/>
    </xf>
    <xf numFmtId="0" fontId="74" fillId="2" borderId="70" xfId="0" applyFont="1" applyFill="1" applyBorder="1" applyAlignment="1" applyProtection="1">
      <alignment vertical="center" wrapText="1"/>
    </xf>
    <xf numFmtId="0" fontId="64" fillId="13" borderId="114" xfId="0" applyNumberFormat="1" applyFont="1" applyFill="1" applyBorder="1" applyAlignment="1" applyProtection="1">
      <alignment horizontal="center" vertical="center" wrapText="1"/>
      <protection locked="0"/>
    </xf>
    <xf numFmtId="0" fontId="64" fillId="13" borderId="39" xfId="0" applyNumberFormat="1" applyFont="1" applyFill="1" applyBorder="1" applyAlignment="1" applyProtection="1">
      <alignment horizontal="center" vertical="center" wrapText="1"/>
      <protection locked="0"/>
    </xf>
    <xf numFmtId="0" fontId="68" fillId="2" borderId="76" xfId="0"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8" fillId="2" borderId="86" xfId="0" applyNumberFormat="1" applyFont="1" applyFill="1" applyBorder="1" applyAlignment="1" applyProtection="1">
      <alignment horizontal="center" vertical="center" wrapText="1"/>
    </xf>
    <xf numFmtId="0" fontId="68" fillId="0" borderId="14" xfId="0" applyNumberFormat="1" applyFont="1" applyFill="1" applyBorder="1" applyAlignment="1" applyProtection="1">
      <alignment horizontal="center" vertical="center" wrapText="1"/>
      <protection locked="0"/>
    </xf>
    <xf numFmtId="0" fontId="68" fillId="2" borderId="70" xfId="0" applyFont="1" applyFill="1" applyBorder="1" applyAlignment="1" applyProtection="1">
      <alignment horizontal="center" vertical="center"/>
    </xf>
    <xf numFmtId="0" fontId="68" fillId="0" borderId="8" xfId="0" applyFont="1" applyFill="1" applyBorder="1" applyAlignment="1" applyProtection="1">
      <alignment horizontal="center" vertical="center"/>
      <protection locked="0"/>
    </xf>
    <xf numFmtId="0" fontId="77" fillId="2" borderId="107"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8" fillId="0" borderId="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8" fillId="0" borderId="96" xfId="0" applyNumberFormat="1" applyFont="1" applyFill="1" applyBorder="1" applyAlignment="1" applyProtection="1">
      <alignment horizontal="center" vertical="center" wrapText="1"/>
      <protection locked="0"/>
    </xf>
    <xf numFmtId="0" fontId="64" fillId="2" borderId="102" xfId="0" applyFont="1" applyFill="1" applyBorder="1" applyAlignment="1" applyProtection="1">
      <alignment horizontal="center" vertical="center" wrapText="1"/>
    </xf>
    <xf numFmtId="0" fontId="68" fillId="0" borderId="3" xfId="0" applyNumberFormat="1" applyFont="1" applyFill="1" applyBorder="1" applyAlignment="1" applyProtection="1">
      <alignment horizontal="center" vertical="center" wrapText="1"/>
      <protection locked="0"/>
    </xf>
    <xf numFmtId="49" fontId="68" fillId="13" borderId="6" xfId="0" applyNumberFormat="1" applyFont="1" applyFill="1" applyBorder="1" applyAlignment="1" applyProtection="1">
      <alignment horizontal="center" vertical="center" wrapText="1"/>
      <protection locked="0"/>
    </xf>
    <xf numFmtId="9" fontId="64" fillId="13" borderId="86" xfId="0" applyNumberFormat="1" applyFont="1" applyFill="1" applyBorder="1" applyAlignment="1" applyProtection="1">
      <alignment horizontal="center" vertical="center" wrapText="1"/>
      <protection locked="0"/>
    </xf>
    <xf numFmtId="0" fontId="68" fillId="0" borderId="13" xfId="0" applyFont="1" applyFill="1" applyBorder="1" applyAlignment="1" applyProtection="1">
      <alignment horizontal="center" vertical="center"/>
      <protection locked="0"/>
    </xf>
    <xf numFmtId="0" fontId="66" fillId="0" borderId="89" xfId="0" applyNumberFormat="1" applyFont="1" applyFill="1" applyBorder="1" applyAlignment="1" applyProtection="1">
      <alignment horizontal="center" vertical="center" wrapText="1"/>
      <protection locked="0"/>
    </xf>
    <xf numFmtId="49" fontId="71" fillId="13" borderId="5" xfId="0" applyNumberFormat="1" applyFont="1" applyFill="1" applyBorder="1" applyAlignment="1" applyProtection="1">
      <alignment vertical="center"/>
      <protection locked="0"/>
    </xf>
    <xf numFmtId="0" fontId="71" fillId="2" borderId="83" xfId="0" applyFont="1" applyFill="1" applyBorder="1" applyAlignment="1" applyProtection="1">
      <alignment horizontal="right" vertical="center" wrapText="1"/>
    </xf>
    <xf numFmtId="0" fontId="71" fillId="2" borderId="84" xfId="0" applyFont="1" applyFill="1" applyBorder="1" applyAlignment="1" applyProtection="1">
      <alignment vertical="center" wrapText="1"/>
    </xf>
    <xf numFmtId="0" fontId="78" fillId="12" borderId="83" xfId="0" applyFont="1" applyFill="1" applyBorder="1" applyAlignment="1" applyProtection="1">
      <alignment vertical="center" wrapText="1"/>
      <protection locked="0"/>
    </xf>
    <xf numFmtId="0" fontId="78" fillId="2" borderId="83" xfId="0" applyFont="1" applyFill="1" applyBorder="1" applyAlignment="1" applyProtection="1">
      <alignment vertical="center" wrapText="1"/>
    </xf>
    <xf numFmtId="0" fontId="78" fillId="12" borderId="82" xfId="0" applyFont="1" applyFill="1" applyBorder="1" applyAlignment="1" applyProtection="1">
      <alignment vertical="center" wrapText="1"/>
      <protection locked="0"/>
    </xf>
    <xf numFmtId="49" fontId="71" fillId="2" borderId="91" xfId="0" applyNumberFormat="1" applyFont="1" applyFill="1" applyBorder="1" applyAlignment="1" applyProtection="1">
      <alignment vertical="center"/>
    </xf>
    <xf numFmtId="180" fontId="71" fillId="2" borderId="90" xfId="0" applyNumberFormat="1" applyFont="1" applyFill="1" applyBorder="1" applyAlignment="1" applyProtection="1">
      <alignment vertical="center" wrapText="1"/>
    </xf>
    <xf numFmtId="180" fontId="71" fillId="2" borderId="89" xfId="0" applyNumberFormat="1" applyFont="1" applyFill="1" applyBorder="1" applyAlignment="1" applyProtection="1">
      <alignment vertical="center" wrapText="1"/>
    </xf>
    <xf numFmtId="185" fontId="68" fillId="2" borderId="0" xfId="0" applyNumberFormat="1" applyFont="1" applyFill="1" applyAlignment="1" applyProtection="1">
      <alignment horizontal="center" vertical="center"/>
    </xf>
    <xf numFmtId="0" fontId="6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85"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73"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3"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92" fillId="2" borderId="7" xfId="0" applyFont="1" applyFill="1" applyBorder="1" applyAlignment="1" applyProtection="1">
      <alignment horizontal="center" vertical="center"/>
      <protection locked="0"/>
    </xf>
    <xf numFmtId="178" fontId="25" fillId="2" borderId="8" xfId="53" applyNumberFormat="1" applyFont="1" applyFill="1" applyBorder="1" applyAlignment="1" applyProtection="1">
      <alignment horizontal="center"/>
    </xf>
    <xf numFmtId="0" fontId="25" fillId="2" borderId="6" xfId="53" applyFont="1" applyFill="1" applyBorder="1" applyAlignment="1" applyProtection="1"/>
    <xf numFmtId="9" fontId="92" fillId="3" borderId="7" xfId="0" applyNumberFormat="1" applyFont="1" applyFill="1" applyBorder="1" applyAlignment="1" applyProtection="1">
      <alignment horizontal="center" vertical="center"/>
      <protection locked="0"/>
    </xf>
    <xf numFmtId="179" fontId="25" fillId="0" borderId="7" xfId="53"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9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0"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9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92" fillId="2" borderId="10" xfId="0" applyFont="1" applyFill="1" applyBorder="1" applyAlignment="1" applyProtection="1">
      <alignment horizontal="center" vertical="center"/>
    </xf>
    <xf numFmtId="0" fontId="29" fillId="2" borderId="9" xfId="53"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85"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186" fontId="69" fillId="2" borderId="38" xfId="0" applyNumberFormat="1" applyFont="1" applyFill="1" applyBorder="1" applyAlignment="1" applyProtection="1">
      <alignment horizontal="center" vertical="center"/>
    </xf>
    <xf numFmtId="181" fontId="69" fillId="2" borderId="38" xfId="0" applyNumberFormat="1" applyFont="1" applyFill="1" applyBorder="1" applyAlignment="1" applyProtection="1">
      <alignment vertical="center"/>
    </xf>
    <xf numFmtId="0" fontId="69" fillId="2" borderId="38"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wrapText="1"/>
    </xf>
    <xf numFmtId="0" fontId="68" fillId="2" borderId="102" xfId="0" applyFont="1" applyFill="1" applyBorder="1" applyAlignment="1" applyProtection="1">
      <alignment horizontal="center" vertical="center" wrapText="1"/>
    </xf>
    <xf numFmtId="0" fontId="64" fillId="7" borderId="65" xfId="0" applyFont="1" applyFill="1" applyBorder="1" applyAlignment="1" applyProtection="1">
      <alignment horizontal="center" vertical="center"/>
      <protection locked="0"/>
    </xf>
    <xf numFmtId="0" fontId="93" fillId="2" borderId="14" xfId="0" applyNumberFormat="1" applyFont="1" applyFill="1" applyBorder="1" applyAlignment="1" applyProtection="1">
      <alignment horizontal="center" vertical="center" wrapText="1"/>
    </xf>
    <xf numFmtId="0" fontId="65" fillId="7" borderId="65" xfId="0" applyFont="1" applyFill="1" applyBorder="1" applyAlignment="1" applyProtection="1">
      <alignment horizontal="center" vertical="center"/>
      <protection locked="0"/>
    </xf>
    <xf numFmtId="0" fontId="93" fillId="0" borderId="14" xfId="0" applyNumberFormat="1" applyFont="1" applyFill="1" applyBorder="1" applyAlignment="1" applyProtection="1">
      <alignment horizontal="center" vertical="center" wrapText="1"/>
      <protection locked="0"/>
    </xf>
    <xf numFmtId="0" fontId="68" fillId="7" borderId="65" xfId="0" applyFont="1" applyFill="1" applyBorder="1" applyAlignment="1" applyProtection="1">
      <alignment horizontal="center" vertical="center"/>
      <protection locked="0"/>
    </xf>
    <xf numFmtId="49" fontId="68" fillId="13" borderId="110" xfId="0" applyNumberFormat="1" applyFont="1" applyFill="1" applyBorder="1" applyAlignment="1" applyProtection="1">
      <alignment horizontal="center" vertical="center" wrapText="1"/>
      <protection locked="0"/>
    </xf>
    <xf numFmtId="0" fontId="93" fillId="2" borderId="14" xfId="0" applyNumberFormat="1" applyFont="1" applyFill="1" applyBorder="1" applyAlignment="1" applyProtection="1">
      <alignment horizontal="center" vertical="center" wrapText="1"/>
      <protection locked="0"/>
    </xf>
    <xf numFmtId="0" fontId="68" fillId="2" borderId="12" xfId="0" applyFont="1" applyFill="1" applyBorder="1" applyAlignment="1" applyProtection="1">
      <alignment horizontal="center" vertical="center" textRotation="255" wrapText="1"/>
    </xf>
    <xf numFmtId="0" fontId="66" fillId="7" borderId="65" xfId="0" applyFont="1" applyFill="1" applyBorder="1" applyAlignment="1" applyProtection="1">
      <alignment horizontal="center" vertical="center"/>
      <protection locked="0"/>
    </xf>
    <xf numFmtId="0" fontId="94" fillId="2" borderId="14" xfId="0" applyNumberFormat="1" applyFont="1" applyFill="1" applyBorder="1" applyAlignment="1" applyProtection="1">
      <alignment horizontal="center" vertical="center" wrapText="1"/>
    </xf>
    <xf numFmtId="0" fontId="95" fillId="2" borderId="0" xfId="0" applyFont="1" applyFill="1" applyAlignment="1" applyProtection="1">
      <alignment horizontal="left" vertical="center"/>
      <protection locked="0"/>
    </xf>
    <xf numFmtId="0" fontId="9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81" fontId="68" fillId="2" borderId="0" xfId="0" applyNumberFormat="1" applyFont="1" applyFill="1" applyBorder="1" applyAlignment="1" applyProtection="1"/>
    <xf numFmtId="0" fontId="68" fillId="2" borderId="94"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180" fontId="68"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80" fontId="71" fillId="10" borderId="7" xfId="0" applyNumberFormat="1" applyFont="1" applyFill="1" applyBorder="1" applyAlignment="1" applyProtection="1">
      <alignment horizontal="center" vertical="center"/>
    </xf>
    <xf numFmtId="0" fontId="69" fillId="2" borderId="39"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68" fillId="2" borderId="12" xfId="0" applyFont="1" applyFill="1" applyBorder="1" applyAlignment="1" applyProtection="1">
      <alignment horizontal="center" vertical="center"/>
    </xf>
    <xf numFmtId="0" fontId="74" fillId="2" borderId="106" xfId="0" applyNumberFormat="1" applyFont="1" applyFill="1" applyBorder="1" applyAlignment="1" applyProtection="1">
      <alignment vertical="center"/>
    </xf>
    <xf numFmtId="0" fontId="74" fillId="2" borderId="112" xfId="0" applyNumberFormat="1" applyFont="1" applyFill="1" applyBorder="1" applyAlignment="1" applyProtection="1">
      <alignment vertical="center"/>
    </xf>
    <xf numFmtId="0" fontId="64" fillId="2" borderId="95" xfId="0" applyNumberFormat="1" applyFont="1" applyFill="1" applyBorder="1" applyAlignment="1" applyProtection="1">
      <alignment horizontal="center" vertical="center" wrapText="1"/>
    </xf>
    <xf numFmtId="0" fontId="74" fillId="2" borderId="86" xfId="0" applyNumberFormat="1" applyFont="1" applyFill="1" applyBorder="1" applyAlignment="1" applyProtection="1">
      <alignment horizontal="center" vertical="center" wrapText="1"/>
    </xf>
    <xf numFmtId="10" fontId="74" fillId="2" borderId="7"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6" fillId="2" borderId="118" xfId="0" applyNumberFormat="1" applyFont="1" applyFill="1" applyBorder="1" applyAlignment="1" applyProtection="1">
      <alignment horizontal="center" vertical="center" wrapText="1"/>
    </xf>
    <xf numFmtId="0" fontId="66" fillId="2" borderId="2"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66" fillId="2" borderId="77" xfId="0" applyNumberFormat="1" applyFont="1" applyFill="1" applyBorder="1" applyAlignment="1" applyProtection="1">
      <alignment horizontal="center" vertical="center" wrapText="1"/>
    </xf>
    <xf numFmtId="49" fontId="64" fillId="7" borderId="0" xfId="0" applyNumberFormat="1" applyFont="1" applyFill="1" applyBorder="1" applyAlignment="1" applyProtection="1">
      <alignment horizontal="center" vertical="center"/>
      <protection locked="0"/>
    </xf>
    <xf numFmtId="0" fontId="64" fillId="0" borderId="13" xfId="0" applyNumberFormat="1" applyFont="1" applyFill="1" applyBorder="1" applyAlignment="1" applyProtection="1">
      <alignment horizontal="center" vertical="center" wrapText="1"/>
      <protection locked="0"/>
    </xf>
    <xf numFmtId="0" fontId="64" fillId="0" borderId="8" xfId="0" applyNumberFormat="1" applyFont="1" applyFill="1" applyBorder="1" applyAlignment="1" applyProtection="1">
      <alignment horizontal="center" vertical="center" wrapText="1"/>
      <protection locked="0"/>
    </xf>
    <xf numFmtId="0" fontId="64" fillId="0" borderId="122"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4" fillId="7" borderId="0" xfId="0" applyFont="1" applyFill="1" applyBorder="1" applyAlignment="1" applyProtection="1">
      <alignment horizontal="center" vertical="center" wrapText="1"/>
      <protection locked="0"/>
    </xf>
    <xf numFmtId="0" fontId="66" fillId="7" borderId="0" xfId="0" applyFont="1" applyFill="1" applyBorder="1" applyAlignment="1" applyProtection="1">
      <alignment horizontal="center" vertical="center" wrapText="1"/>
      <protection locked="0"/>
    </xf>
    <xf numFmtId="0" fontId="66" fillId="7" borderId="0" xfId="0" applyFont="1" applyFill="1" applyBorder="1" applyAlignment="1" applyProtection="1">
      <alignment vertical="center" wrapText="1"/>
      <protection locked="0"/>
    </xf>
    <xf numFmtId="0" fontId="64" fillId="7" borderId="0" xfId="0" applyFont="1" applyFill="1" applyBorder="1" applyAlignment="1" applyProtection="1">
      <alignment vertical="center" wrapText="1"/>
      <protection locked="0"/>
    </xf>
    <xf numFmtId="0" fontId="64" fillId="2" borderId="118" xfId="0" applyNumberFormat="1" applyFont="1" applyFill="1" applyBorder="1" applyAlignment="1" applyProtection="1">
      <alignment horizontal="left" vertical="center" wrapText="1"/>
    </xf>
    <xf numFmtId="0" fontId="66" fillId="2" borderId="118" xfId="0" applyNumberFormat="1" applyFont="1" applyFill="1" applyBorder="1" applyAlignment="1" applyProtection="1">
      <alignment horizontal="left" vertical="center" wrapText="1"/>
    </xf>
    <xf numFmtId="0" fontId="66" fillId="2" borderId="121" xfId="0" applyNumberFormat="1" applyFont="1" applyFill="1" applyBorder="1" applyAlignment="1" applyProtection="1">
      <alignment horizontal="center" vertical="center" wrapText="1"/>
    </xf>
    <xf numFmtId="0" fontId="66" fillId="2" borderId="120" xfId="0" applyNumberFormat="1" applyFont="1" applyFill="1" applyBorder="1" applyAlignment="1" applyProtection="1">
      <alignment horizontal="center" vertical="center" wrapText="1"/>
    </xf>
    <xf numFmtId="0" fontId="66" fillId="2" borderId="88" xfId="0" applyNumberFormat="1" applyFont="1" applyFill="1" applyBorder="1" applyAlignment="1" applyProtection="1">
      <alignment horizontal="center" vertical="center" wrapText="1"/>
    </xf>
    <xf numFmtId="0" fontId="68"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0" fontId="2" fillId="0" borderId="0" xfId="58" applyFont="1" applyAlignment="1">
      <alignment horizontal="left"/>
    </xf>
    <xf numFmtId="0" fontId="2" fillId="0" borderId="0" xfId="58" applyFont="1" applyAlignment="1">
      <alignment horizontal="right"/>
    </xf>
    <xf numFmtId="0" fontId="96" fillId="0" borderId="0" xfId="58" applyFont="1" applyAlignment="1">
      <alignment horizontal="left"/>
    </xf>
    <xf numFmtId="0" fontId="96" fillId="0" borderId="0" xfId="58" applyFont="1" applyFill="1" applyAlignment="1" applyProtection="1">
      <alignment horizontal="left"/>
      <protection locked="0"/>
    </xf>
    <xf numFmtId="0" fontId="96" fillId="0" borderId="0" xfId="58" applyFont="1" applyAlignment="1" applyProtection="1">
      <alignment horizontal="left"/>
      <protection locked="0"/>
    </xf>
    <xf numFmtId="0" fontId="97" fillId="0" borderId="0" xfId="58" applyFont="1" applyAlignment="1" applyProtection="1">
      <alignment horizontal="left"/>
      <protection locked="0"/>
    </xf>
    <xf numFmtId="0" fontId="97" fillId="0" borderId="0" xfId="58" applyFont="1" applyAlignment="1" applyProtection="1">
      <alignment horizontal="left" vertical="center"/>
      <protection locked="0"/>
    </xf>
    <xf numFmtId="49" fontId="98" fillId="2" borderId="39" xfId="58" applyNumberFormat="1" applyFont="1" applyFill="1" applyBorder="1" applyAlignment="1" applyProtection="1"/>
    <xf numFmtId="0" fontId="63" fillId="2" borderId="0" xfId="58" applyFont="1" applyFill="1" applyAlignment="1" applyProtection="1">
      <alignment horizontal="center" vertical="center"/>
    </xf>
    <xf numFmtId="0" fontId="25" fillId="2" borderId="0" xfId="58" applyFont="1" applyFill="1" applyBorder="1" applyAlignment="1" applyProtection="1">
      <alignment vertical="center"/>
    </xf>
    <xf numFmtId="49" fontId="47" fillId="2" borderId="0" xfId="58" applyNumberFormat="1" applyFont="1" applyFill="1" applyBorder="1" applyAlignment="1" applyProtection="1">
      <alignment horizontal="center"/>
    </xf>
    <xf numFmtId="0" fontId="47" fillId="2" borderId="0" xfId="58" applyNumberFormat="1" applyFont="1" applyFill="1" applyBorder="1" applyAlignment="1" applyProtection="1">
      <alignment horizontal="center"/>
    </xf>
    <xf numFmtId="0" fontId="47" fillId="0" borderId="0" xfId="58" applyNumberFormat="1" applyFont="1" applyFill="1" applyBorder="1" applyAlignment="1" applyProtection="1">
      <alignment horizontal="center"/>
      <protection locked="0"/>
    </xf>
    <xf numFmtId="0" fontId="29" fillId="2" borderId="7" xfId="53" applyFont="1" applyFill="1" applyBorder="1" applyAlignment="1" applyProtection="1">
      <alignment vertical="center"/>
    </xf>
    <xf numFmtId="180" fontId="90" fillId="2" borderId="7" xfId="58" applyNumberFormat="1" applyFont="1" applyFill="1" applyBorder="1" applyAlignment="1" applyProtection="1">
      <alignment horizontal="right" vertical="center"/>
    </xf>
    <xf numFmtId="0" fontId="25" fillId="3" borderId="0" xfId="58" applyFont="1" applyFill="1" applyBorder="1" applyAlignment="1" applyProtection="1">
      <alignment vertical="center"/>
      <protection locked="0"/>
    </xf>
    <xf numFmtId="185" fontId="25" fillId="0" borderId="0" xfId="58" applyNumberFormat="1" applyFont="1" applyFill="1" applyBorder="1" applyAlignment="1" applyProtection="1">
      <protection locked="0"/>
    </xf>
    <xf numFmtId="49" fontId="29" fillId="2" borderId="0" xfId="58" applyNumberFormat="1" applyFont="1" applyFill="1" applyBorder="1" applyAlignment="1" applyProtection="1"/>
    <xf numFmtId="49" fontId="29" fillId="0" borderId="0" xfId="58" applyNumberFormat="1" applyFont="1" applyFill="1" applyBorder="1" applyAlignment="1" applyProtection="1">
      <protection locked="0"/>
    </xf>
    <xf numFmtId="0" fontId="2" fillId="0" borderId="0" xfId="58" applyFont="1" applyAlignment="1" applyProtection="1">
      <alignment horizontal="left"/>
      <protection locked="0"/>
    </xf>
    <xf numFmtId="0" fontId="29" fillId="2" borderId="12" xfId="53" applyFont="1" applyFill="1" applyBorder="1" applyAlignment="1" applyProtection="1">
      <alignment vertical="center"/>
    </xf>
    <xf numFmtId="0" fontId="90" fillId="2" borderId="12" xfId="58" applyFont="1" applyFill="1" applyBorder="1" applyAlignment="1" applyProtection="1">
      <alignment horizontal="right" vertical="center"/>
    </xf>
    <xf numFmtId="49" fontId="25" fillId="2" borderId="0" xfId="58" applyNumberFormat="1" applyFont="1" applyFill="1" applyBorder="1" applyAlignment="1" applyProtection="1"/>
    <xf numFmtId="0" fontId="2" fillId="2" borderId="7" xfId="58" applyFont="1" applyFill="1" applyBorder="1" applyAlignment="1" applyProtection="1">
      <alignment vertical="center"/>
    </xf>
    <xf numFmtId="0" fontId="25" fillId="0" borderId="7" xfId="58" applyFont="1" applyFill="1" applyBorder="1" applyAlignment="1" applyProtection="1">
      <alignment horizontal="left" vertical="center"/>
      <protection locked="0"/>
    </xf>
    <xf numFmtId="0" fontId="6" fillId="2" borderId="0" xfId="53" applyFont="1" applyFill="1" applyBorder="1" applyAlignment="1" applyProtection="1">
      <alignment vertical="center"/>
    </xf>
    <xf numFmtId="0" fontId="54" fillId="0" borderId="10" xfId="58" applyFont="1" applyFill="1" applyBorder="1" applyAlignment="1" applyProtection="1">
      <alignment horizontal="left" vertical="center"/>
      <protection locked="0"/>
    </xf>
    <xf numFmtId="0" fontId="2" fillId="2" borderId="92" xfId="58" applyFont="1" applyFill="1" applyBorder="1" applyAlignment="1" applyProtection="1">
      <alignment vertical="center"/>
    </xf>
    <xf numFmtId="0" fontId="17" fillId="2" borderId="108" xfId="58" applyFont="1" applyFill="1" applyBorder="1" applyAlignment="1">
      <alignment horizontal="left" vertical="center"/>
    </xf>
    <xf numFmtId="0" fontId="17" fillId="2" borderId="109" xfId="58" applyFont="1" applyFill="1" applyBorder="1" applyAlignment="1">
      <alignment horizontal="left" vertical="center"/>
    </xf>
    <xf numFmtId="0" fontId="17" fillId="2" borderId="100" xfId="58" applyFont="1" applyFill="1" applyBorder="1" applyAlignment="1">
      <alignment horizontal="left" vertical="center"/>
    </xf>
    <xf numFmtId="0" fontId="29" fillId="0" borderId="99" xfId="58" applyFont="1" applyFill="1" applyBorder="1" applyAlignment="1" applyProtection="1">
      <alignment horizontal="left" vertical="center"/>
      <protection locked="0"/>
    </xf>
    <xf numFmtId="0" fontId="29" fillId="2" borderId="109" xfId="58" applyFont="1" applyFill="1" applyBorder="1" applyAlignment="1">
      <alignment vertical="center"/>
    </xf>
    <xf numFmtId="0" fontId="29" fillId="2" borderId="123" xfId="58" applyFont="1" applyFill="1" applyBorder="1" applyAlignment="1">
      <alignment vertical="center"/>
    </xf>
    <xf numFmtId="0" fontId="29" fillId="0" borderId="0" xfId="58" applyFont="1" applyFill="1" applyBorder="1" applyAlignment="1" applyProtection="1">
      <alignment vertical="center"/>
      <protection locked="0"/>
    </xf>
    <xf numFmtId="0" fontId="29" fillId="2" borderId="114" xfId="58" applyFont="1" applyFill="1" applyBorder="1" applyAlignment="1">
      <alignment horizontal="left" vertical="center"/>
    </xf>
    <xf numFmtId="0" fontId="29" fillId="2" borderId="39" xfId="58" applyFont="1" applyFill="1" applyBorder="1" applyAlignment="1">
      <alignment horizontal="left" vertical="center"/>
    </xf>
    <xf numFmtId="0" fontId="29" fillId="2" borderId="103" xfId="58" applyFont="1" applyFill="1" applyBorder="1" applyAlignment="1">
      <alignment horizontal="left" vertical="center"/>
    </xf>
    <xf numFmtId="180" fontId="29" fillId="2" borderId="102" xfId="58" applyNumberFormat="1" applyFont="1" applyFill="1" applyBorder="1" applyAlignment="1">
      <alignment horizontal="left" vertical="center"/>
    </xf>
    <xf numFmtId="10" fontId="29" fillId="2" borderId="39" xfId="58" applyNumberFormat="1" applyFont="1" applyFill="1" applyBorder="1" applyAlignment="1">
      <alignment horizontal="left" vertical="center"/>
    </xf>
    <xf numFmtId="180" fontId="29" fillId="2" borderId="111" xfId="58" applyNumberFormat="1" applyFont="1" applyFill="1" applyBorder="1" applyAlignment="1">
      <alignment horizontal="left" vertical="center"/>
    </xf>
    <xf numFmtId="180" fontId="29" fillId="0" borderId="0" xfId="58" applyNumberFormat="1" applyFont="1" applyFill="1" applyBorder="1" applyAlignment="1" applyProtection="1">
      <alignment horizontal="left" vertical="center"/>
      <protection locked="0"/>
    </xf>
    <xf numFmtId="0" fontId="29" fillId="2" borderId="6" xfId="58" applyFont="1" applyFill="1" applyBorder="1" applyAlignment="1">
      <alignment horizontal="left" vertical="center"/>
    </xf>
    <xf numFmtId="0" fontId="29" fillId="2" borderId="13" xfId="58" applyFont="1" applyFill="1" applyBorder="1" applyAlignment="1">
      <alignment horizontal="left" vertical="center"/>
    </xf>
    <xf numFmtId="0" fontId="29" fillId="2" borderId="14" xfId="58" applyFont="1" applyFill="1" applyBorder="1" applyAlignment="1">
      <alignment horizontal="left" vertical="center"/>
    </xf>
    <xf numFmtId="180" fontId="29" fillId="2" borderId="7" xfId="58" applyNumberFormat="1" applyFont="1" applyFill="1" applyBorder="1" applyAlignment="1">
      <alignment horizontal="left" vertical="center"/>
    </xf>
    <xf numFmtId="0" fontId="29" fillId="2" borderId="7" xfId="58" applyFont="1" applyFill="1" applyBorder="1" applyAlignment="1">
      <alignment horizontal="left" vertical="center"/>
    </xf>
    <xf numFmtId="0" fontId="29" fillId="2" borderId="8" xfId="58" applyFont="1" applyFill="1" applyBorder="1" applyAlignment="1">
      <alignment horizontal="left" vertical="center"/>
    </xf>
    <xf numFmtId="0" fontId="29" fillId="0" borderId="0" xfId="58" applyFont="1" applyFill="1" applyBorder="1" applyAlignment="1" applyProtection="1">
      <alignment horizontal="left" vertical="center"/>
      <protection locked="0"/>
    </xf>
    <xf numFmtId="9" fontId="29" fillId="0" borderId="7" xfId="58" applyNumberFormat="1" applyFont="1" applyFill="1" applyBorder="1" applyAlignment="1" applyProtection="1">
      <alignment horizontal="left" vertical="center"/>
      <protection locked="0"/>
    </xf>
    <xf numFmtId="0" fontId="29" fillId="2" borderId="8" xfId="58" applyFont="1" applyFill="1" applyBorder="1" applyAlignment="1">
      <alignment vertical="center"/>
    </xf>
    <xf numFmtId="181" fontId="29" fillId="2" borderId="7" xfId="58" applyNumberFormat="1" applyFont="1" applyFill="1" applyBorder="1" applyAlignment="1">
      <alignment horizontal="left" vertical="center"/>
    </xf>
    <xf numFmtId="49" fontId="25" fillId="2" borderId="6" xfId="58" applyNumberFormat="1" applyFont="1" applyFill="1" applyBorder="1" applyAlignment="1">
      <alignment horizontal="left" vertical="center"/>
    </xf>
    <xf numFmtId="0" fontId="25" fillId="2" borderId="13" xfId="58" applyFont="1" applyFill="1" applyBorder="1" applyAlignment="1">
      <alignment horizontal="left" vertical="center"/>
    </xf>
    <xf numFmtId="0" fontId="25" fillId="2" borderId="14" xfId="58" applyFont="1" applyFill="1" applyBorder="1" applyAlignment="1">
      <alignment horizontal="left" vertical="center"/>
    </xf>
    <xf numFmtId="180" fontId="25" fillId="2" borderId="7" xfId="58" applyNumberFormat="1" applyFont="1" applyFill="1" applyBorder="1" applyAlignment="1">
      <alignment horizontal="left" vertical="center"/>
    </xf>
    <xf numFmtId="181" fontId="25" fillId="2" borderId="7" xfId="58" applyNumberFormat="1" applyFont="1" applyFill="1" applyBorder="1" applyAlignment="1">
      <alignment horizontal="left" vertical="center"/>
    </xf>
    <xf numFmtId="0" fontId="2" fillId="2" borderId="14" xfId="58" applyFont="1" applyFill="1" applyBorder="1" applyAlignment="1">
      <alignment horizontal="right" vertical="center"/>
    </xf>
    <xf numFmtId="185" fontId="25" fillId="0" borderId="7" xfId="58" applyNumberFormat="1" applyFont="1" applyFill="1" applyBorder="1" applyAlignment="1" applyProtection="1">
      <alignment horizontal="left" vertical="center"/>
      <protection locked="0"/>
    </xf>
    <xf numFmtId="181" fontId="25" fillId="2" borderId="14" xfId="58" applyNumberFormat="1" applyFont="1" applyFill="1" applyBorder="1" applyAlignment="1">
      <alignment horizontal="right" vertical="center"/>
    </xf>
    <xf numFmtId="178" fontId="25" fillId="0" borderId="7" xfId="58" applyNumberFormat="1" applyFont="1" applyFill="1" applyBorder="1" applyAlignment="1" applyProtection="1">
      <alignment horizontal="left" vertical="center"/>
      <protection locked="0"/>
    </xf>
    <xf numFmtId="180" fontId="25" fillId="0" borderId="7" xfId="58" applyNumberFormat="1" applyFont="1" applyFill="1" applyBorder="1" applyAlignment="1" applyProtection="1">
      <alignment horizontal="left" vertical="center"/>
      <protection locked="0"/>
    </xf>
    <xf numFmtId="181" fontId="25" fillId="0" borderId="7" xfId="58" applyNumberFormat="1" applyFont="1" applyFill="1" applyBorder="1" applyAlignment="1" applyProtection="1">
      <alignment horizontal="left" vertical="center"/>
      <protection locked="0"/>
    </xf>
    <xf numFmtId="0" fontId="29" fillId="2" borderId="9" xfId="58" applyFont="1" applyFill="1" applyBorder="1" applyAlignment="1">
      <alignment horizontal="left" vertical="center"/>
    </xf>
    <xf numFmtId="0" fontId="29" fillId="2" borderId="75" xfId="58" applyFont="1" applyFill="1" applyBorder="1" applyAlignment="1">
      <alignment horizontal="left" vertical="center"/>
    </xf>
    <xf numFmtId="0" fontId="29" fillId="2" borderId="96" xfId="58" applyFont="1" applyFill="1" applyBorder="1" applyAlignment="1">
      <alignment horizontal="left" vertical="center"/>
    </xf>
    <xf numFmtId="180" fontId="29" fillId="2" borderId="10" xfId="58" applyNumberFormat="1" applyFont="1" applyFill="1" applyBorder="1" applyAlignment="1">
      <alignment horizontal="left" vertical="center"/>
    </xf>
    <xf numFmtId="181" fontId="29" fillId="0" borderId="10" xfId="58" applyNumberFormat="1" applyFont="1" applyFill="1" applyBorder="1" applyAlignment="1" applyProtection="1">
      <alignment horizontal="left" vertical="center"/>
      <protection locked="0"/>
    </xf>
    <xf numFmtId="0" fontId="29" fillId="2" borderId="11" xfId="58" applyFont="1" applyFill="1" applyBorder="1" applyAlignment="1">
      <alignment vertical="center"/>
    </xf>
    <xf numFmtId="180" fontId="29" fillId="2" borderId="39" xfId="58" applyNumberFormat="1" applyFont="1" applyFill="1" applyBorder="1" applyAlignment="1">
      <alignment horizontal="left" vertical="center"/>
    </xf>
    <xf numFmtId="181" fontId="29" fillId="0" borderId="39" xfId="58" applyNumberFormat="1" applyFont="1" applyFill="1" applyBorder="1" applyAlignment="1" applyProtection="1">
      <alignment horizontal="left" vertical="center"/>
      <protection locked="0"/>
    </xf>
    <xf numFmtId="0" fontId="29" fillId="2" borderId="71" xfId="58" applyFont="1" applyFill="1" applyBorder="1" applyAlignment="1">
      <alignment vertical="center"/>
    </xf>
    <xf numFmtId="0" fontId="29" fillId="2" borderId="108" xfId="58" applyFont="1" applyFill="1" applyBorder="1" applyAlignment="1">
      <alignment vertical="center"/>
    </xf>
    <xf numFmtId="0" fontId="29" fillId="2" borderId="111" xfId="58" applyFont="1" applyFill="1" applyBorder="1" applyAlignment="1">
      <alignment horizontal="left" vertical="center"/>
    </xf>
    <xf numFmtId="0" fontId="29" fillId="2" borderId="142" xfId="58" applyFont="1" applyFill="1" applyBorder="1" applyAlignment="1">
      <alignment horizontal="left" vertical="center"/>
    </xf>
    <xf numFmtId="0" fontId="27" fillId="0" borderId="13" xfId="58" applyFont="1" applyFill="1" applyBorder="1" applyAlignment="1" applyProtection="1">
      <alignment horizontal="left" vertical="center"/>
      <protection locked="0"/>
    </xf>
    <xf numFmtId="0" fontId="27" fillId="0" borderId="142" xfId="58" applyFont="1" applyFill="1" applyBorder="1" applyAlignment="1" applyProtection="1">
      <alignment horizontal="left" vertical="center"/>
      <protection locked="0"/>
    </xf>
    <xf numFmtId="0" fontId="27" fillId="0" borderId="14" xfId="58" applyFont="1" applyFill="1" applyBorder="1" applyAlignment="1" applyProtection="1">
      <alignment horizontal="left" vertical="center"/>
      <protection locked="0"/>
    </xf>
    <xf numFmtId="0" fontId="25" fillId="0" borderId="0" xfId="58" applyFont="1" applyFill="1" applyBorder="1" applyAlignment="1" applyProtection="1">
      <alignment horizontal="left" vertical="center"/>
      <protection locked="0"/>
    </xf>
    <xf numFmtId="0" fontId="25" fillId="2" borderId="86" xfId="58" applyFont="1" applyFill="1" applyBorder="1" applyAlignment="1">
      <alignment horizontal="left" vertical="center"/>
    </xf>
    <xf numFmtId="0" fontId="25" fillId="2" borderId="7" xfId="58" applyFont="1" applyFill="1" applyBorder="1" applyAlignment="1">
      <alignment horizontal="left" vertical="center"/>
    </xf>
    <xf numFmtId="180" fontId="25" fillId="2" borderId="13" xfId="58" applyNumberFormat="1" applyFont="1" applyFill="1" applyBorder="1" applyAlignment="1">
      <alignment horizontal="left" vertical="center"/>
    </xf>
    <xf numFmtId="180" fontId="25" fillId="2" borderId="142" xfId="58" applyNumberFormat="1" applyFont="1" applyFill="1" applyBorder="1" applyAlignment="1">
      <alignment horizontal="left" vertical="center"/>
    </xf>
    <xf numFmtId="180" fontId="25" fillId="2" borderId="14" xfId="58" applyNumberFormat="1" applyFont="1" applyFill="1" applyBorder="1" applyAlignment="1">
      <alignment horizontal="left" vertical="center"/>
    </xf>
    <xf numFmtId="0" fontId="25" fillId="2" borderId="8" xfId="58" applyFont="1" applyFill="1" applyBorder="1" applyAlignment="1">
      <alignment horizontal="left" vertical="center"/>
    </xf>
    <xf numFmtId="0" fontId="25" fillId="0" borderId="0" xfId="58" applyFont="1" applyFill="1" applyBorder="1" applyAlignment="1" applyProtection="1">
      <alignment horizontal="right" vertical="center"/>
      <protection locked="0"/>
    </xf>
    <xf numFmtId="0" fontId="25" fillId="2" borderId="86" xfId="58" applyFont="1" applyFill="1" applyBorder="1" applyAlignment="1">
      <alignment horizontal="right" vertical="center"/>
    </xf>
    <xf numFmtId="0" fontId="25" fillId="2" borderId="7" xfId="58" applyFont="1" applyFill="1" applyBorder="1" applyAlignment="1">
      <alignment horizontal="right" vertical="center"/>
    </xf>
    <xf numFmtId="180" fontId="25" fillId="2" borderId="13" xfId="58" applyNumberFormat="1" applyFont="1" applyFill="1" applyBorder="1" applyAlignment="1">
      <alignment horizontal="right" vertical="center"/>
    </xf>
    <xf numFmtId="181" fontId="25" fillId="0" borderId="142" xfId="58" applyNumberFormat="1" applyFont="1" applyFill="1" applyBorder="1" applyAlignment="1" applyProtection="1">
      <alignment horizontal="right" vertical="center"/>
      <protection locked="0"/>
    </xf>
    <xf numFmtId="181" fontId="25" fillId="0" borderId="14" xfId="58" applyNumberFormat="1" applyFont="1" applyFill="1" applyBorder="1" applyAlignment="1" applyProtection="1">
      <alignment horizontal="right" vertical="center"/>
      <protection locked="0"/>
    </xf>
    <xf numFmtId="0" fontId="25" fillId="2" borderId="8" xfId="58" applyFont="1" applyFill="1" applyBorder="1" applyAlignment="1">
      <alignment horizontal="right" vertical="center"/>
    </xf>
    <xf numFmtId="181" fontId="25" fillId="2" borderId="13" xfId="58" applyNumberFormat="1" applyFont="1" applyFill="1" applyBorder="1" applyAlignment="1">
      <alignment horizontal="right" vertical="center"/>
    </xf>
    <xf numFmtId="0" fontId="2" fillId="0" borderId="0" xfId="58" applyFont="1" applyAlignment="1" applyProtection="1">
      <alignment horizontal="right"/>
      <protection locked="0"/>
    </xf>
    <xf numFmtId="181" fontId="25" fillId="2" borderId="142" xfId="58" applyNumberFormat="1" applyFont="1" applyFill="1" applyBorder="1" applyAlignment="1">
      <alignment horizontal="right" vertical="center"/>
    </xf>
    <xf numFmtId="181" fontId="25" fillId="0" borderId="13" xfId="58" applyNumberFormat="1" applyFont="1" applyFill="1" applyBorder="1" applyAlignment="1" applyProtection="1">
      <alignment horizontal="right" vertical="center"/>
      <protection locked="0"/>
    </xf>
    <xf numFmtId="0" fontId="25" fillId="2" borderId="142" xfId="58" applyFont="1" applyFill="1" applyBorder="1" applyAlignment="1">
      <alignment horizontal="left" vertical="center"/>
    </xf>
    <xf numFmtId="10" fontId="25" fillId="0" borderId="13" xfId="58" applyNumberFormat="1" applyFont="1" applyFill="1" applyBorder="1" applyAlignment="1" applyProtection="1">
      <alignment horizontal="left" vertical="center"/>
      <protection locked="0"/>
    </xf>
    <xf numFmtId="10" fontId="25" fillId="0" borderId="142" xfId="58" applyNumberFormat="1" applyFont="1" applyFill="1" applyBorder="1" applyAlignment="1" applyProtection="1">
      <alignment horizontal="left" vertical="center"/>
      <protection locked="0"/>
    </xf>
    <xf numFmtId="10" fontId="25" fillId="0" borderId="14" xfId="58" applyNumberFormat="1" applyFont="1" applyFill="1" applyBorder="1" applyAlignment="1" applyProtection="1">
      <alignment horizontal="left" vertical="center"/>
      <protection locked="0"/>
    </xf>
    <xf numFmtId="181" fontId="25" fillId="0" borderId="13" xfId="58" applyNumberFormat="1" applyFont="1" applyFill="1" applyBorder="1" applyAlignment="1" applyProtection="1">
      <alignment horizontal="left" vertical="center"/>
      <protection locked="0"/>
    </xf>
    <xf numFmtId="181" fontId="25" fillId="0" borderId="142" xfId="58" applyNumberFormat="1" applyFont="1" applyFill="1" applyBorder="1" applyAlignment="1" applyProtection="1">
      <alignment horizontal="left" vertical="center"/>
      <protection locked="0"/>
    </xf>
    <xf numFmtId="181" fontId="25" fillId="0" borderId="14" xfId="58" applyNumberFormat="1" applyFont="1" applyFill="1" applyBorder="1" applyAlignment="1" applyProtection="1">
      <alignment horizontal="left" vertical="center"/>
      <protection locked="0"/>
    </xf>
    <xf numFmtId="185" fontId="25" fillId="0" borderId="0" xfId="58" applyNumberFormat="1" applyFont="1" applyFill="1" applyBorder="1" applyAlignment="1" applyProtection="1">
      <alignment horizontal="left" vertical="center"/>
      <protection locked="0"/>
    </xf>
    <xf numFmtId="0" fontId="25" fillId="2" borderId="10" xfId="58" applyFont="1" applyFill="1" applyBorder="1" applyAlignment="1">
      <alignment horizontal="left" vertical="center"/>
    </xf>
    <xf numFmtId="185" fontId="25" fillId="0" borderId="75" xfId="58" applyNumberFormat="1" applyFont="1" applyFill="1" applyBorder="1" applyAlignment="1" applyProtection="1">
      <alignment horizontal="left" vertical="center"/>
      <protection locked="0"/>
    </xf>
    <xf numFmtId="185" fontId="25" fillId="0" borderId="143" xfId="58" applyNumberFormat="1" applyFont="1" applyFill="1" applyBorder="1" applyAlignment="1" applyProtection="1">
      <alignment horizontal="left" vertical="center"/>
      <protection locked="0"/>
    </xf>
    <xf numFmtId="185" fontId="25" fillId="0" borderId="96" xfId="58" applyNumberFormat="1" applyFont="1" applyFill="1" applyBorder="1" applyAlignment="1" applyProtection="1">
      <alignment horizontal="left" vertical="center"/>
      <protection locked="0"/>
    </xf>
    <xf numFmtId="185" fontId="25" fillId="2" borderId="8" xfId="58" applyNumberFormat="1" applyFont="1" applyFill="1" applyBorder="1" applyAlignment="1">
      <alignment horizontal="left" vertical="center"/>
    </xf>
    <xf numFmtId="0" fontId="25" fillId="0" borderId="0" xfId="58" applyFont="1" applyFill="1" applyBorder="1" applyAlignment="1" applyProtection="1">
      <alignment horizontal="left"/>
      <protection locked="0"/>
    </xf>
    <xf numFmtId="0" fontId="25" fillId="2" borderId="6" xfId="58" applyFont="1" applyFill="1" applyBorder="1" applyAlignment="1">
      <alignment horizontal="left" vertical="center"/>
    </xf>
    <xf numFmtId="180" fontId="25" fillId="2" borderId="7" xfId="58" applyNumberFormat="1" applyFont="1" applyFill="1" applyBorder="1" applyAlignment="1">
      <alignment horizontal="left"/>
    </xf>
    <xf numFmtId="0" fontId="25" fillId="2" borderId="7" xfId="58" applyFont="1" applyFill="1" applyBorder="1" applyAlignment="1">
      <alignment horizontal="left"/>
    </xf>
    <xf numFmtId="0" fontId="25" fillId="2" borderId="8" xfId="58" applyFont="1" applyFill="1" applyBorder="1" applyAlignment="1">
      <alignment horizontal="left"/>
    </xf>
    <xf numFmtId="0" fontId="25" fillId="2" borderId="9" xfId="58" applyFont="1" applyFill="1" applyBorder="1" applyAlignment="1">
      <alignment horizontal="left" vertical="center"/>
    </xf>
    <xf numFmtId="180" fontId="25" fillId="2" borderId="10" xfId="58" applyNumberFormat="1" applyFont="1" applyFill="1" applyBorder="1" applyAlignment="1">
      <alignment horizontal="left" vertical="center"/>
    </xf>
    <xf numFmtId="0" fontId="25" fillId="2" borderId="10" xfId="58" applyFont="1" applyFill="1" applyBorder="1" applyAlignment="1">
      <alignment horizontal="left"/>
    </xf>
    <xf numFmtId="0" fontId="25" fillId="2" borderId="11" xfId="58" applyFont="1" applyFill="1" applyBorder="1" applyAlignment="1">
      <alignment horizontal="left" vertical="center"/>
    </xf>
    <xf numFmtId="0" fontId="2" fillId="0" borderId="0" xfId="58" applyFont="1" applyFill="1" applyAlignment="1" applyProtection="1">
      <alignment horizontal="left"/>
      <protection locked="0"/>
    </xf>
    <xf numFmtId="0" fontId="29" fillId="3" borderId="106" xfId="58" applyFont="1" applyFill="1" applyBorder="1" applyAlignment="1" applyProtection="1">
      <alignment vertical="center"/>
      <protection locked="0"/>
    </xf>
    <xf numFmtId="0" fontId="29" fillId="3" borderId="73" xfId="58" applyFont="1" applyFill="1" applyBorder="1" applyAlignment="1" applyProtection="1">
      <alignment vertical="center"/>
      <protection locked="0"/>
    </xf>
    <xf numFmtId="0" fontId="25" fillId="0" borderId="0" xfId="58" applyFont="1" applyAlignment="1" applyProtection="1">
      <alignment horizontal="left"/>
      <protection locked="0"/>
    </xf>
    <xf numFmtId="0" fontId="29" fillId="17" borderId="114" xfId="58" applyFont="1" applyFill="1" applyBorder="1" applyAlignment="1" applyProtection="1">
      <alignment vertical="center"/>
      <protection locked="0"/>
    </xf>
    <xf numFmtId="0" fontId="29" fillId="17" borderId="103" xfId="58" applyFont="1" applyFill="1" applyBorder="1" applyAlignment="1" applyProtection="1">
      <alignment vertical="center"/>
      <protection locked="0"/>
    </xf>
    <xf numFmtId="0" fontId="29" fillId="0" borderId="7" xfId="58" applyFont="1" applyFill="1" applyBorder="1" applyAlignment="1" applyProtection="1">
      <alignment horizontal="left" vertical="center"/>
      <protection locked="0"/>
    </xf>
    <xf numFmtId="0" fontId="29" fillId="2" borderId="86" xfId="58" applyFont="1" applyFill="1" applyBorder="1" applyAlignment="1" applyProtection="1">
      <alignment horizontal="left" vertical="center"/>
      <protection locked="0"/>
    </xf>
    <xf numFmtId="0" fontId="29" fillId="2" borderId="14" xfId="58" applyFont="1" applyFill="1" applyBorder="1" applyAlignment="1" applyProtection="1">
      <alignment horizontal="left" vertical="center"/>
      <protection locked="0"/>
    </xf>
    <xf numFmtId="178" fontId="19" fillId="0" borderId="7" xfId="53" applyNumberFormat="1" applyFont="1" applyBorder="1" applyAlignment="1" applyProtection="1">
      <alignment horizontal="left" vertical="center"/>
      <protection locked="0" hidden="1"/>
    </xf>
    <xf numFmtId="0" fontId="25" fillId="0" borderId="12" xfId="58" applyFont="1" applyFill="1" applyBorder="1" applyAlignment="1" applyProtection="1">
      <alignment horizontal="left" vertical="center"/>
      <protection locked="0"/>
    </xf>
    <xf numFmtId="0" fontId="17" fillId="2" borderId="86" xfId="58" applyFont="1" applyFill="1" applyBorder="1" applyAlignment="1" applyProtection="1">
      <alignment vertical="center"/>
      <protection locked="0"/>
    </xf>
    <xf numFmtId="0" fontId="17" fillId="2" borderId="15" xfId="58" applyFont="1" applyFill="1" applyBorder="1" applyAlignment="1" applyProtection="1">
      <alignment vertical="center"/>
      <protection locked="0"/>
    </xf>
    <xf numFmtId="0" fontId="29" fillId="2" borderId="15" xfId="58" applyFont="1" applyFill="1" applyBorder="1" applyAlignment="1" applyProtection="1">
      <alignment vertical="center"/>
      <protection locked="0"/>
    </xf>
    <xf numFmtId="0" fontId="29" fillId="2" borderId="6" xfId="58" applyFont="1" applyFill="1" applyBorder="1" applyAlignment="1" applyProtection="1">
      <alignment horizontal="left" vertical="center" wrapText="1"/>
      <protection locked="0"/>
    </xf>
    <xf numFmtId="0" fontId="29" fillId="2" borderId="12" xfId="58" applyFont="1" applyFill="1" applyBorder="1" applyAlignment="1" applyProtection="1">
      <alignment horizontal="left" vertical="center" wrapText="1"/>
      <protection locked="0"/>
    </xf>
    <xf numFmtId="0" fontId="25" fillId="2" borderId="13" xfId="58" applyFont="1" applyFill="1" applyBorder="1" applyAlignment="1" applyProtection="1">
      <alignment vertical="center"/>
      <protection locked="0"/>
    </xf>
    <xf numFmtId="0" fontId="25" fillId="2" borderId="7" xfId="58" applyFont="1" applyFill="1" applyBorder="1" applyAlignment="1" applyProtection="1">
      <alignment horizontal="left" vertical="center"/>
      <protection locked="0"/>
    </xf>
    <xf numFmtId="0" fontId="29" fillId="2" borderId="78" xfId="58" applyFont="1" applyFill="1" applyBorder="1" applyAlignment="1" applyProtection="1">
      <alignment horizontal="left" vertical="center" wrapText="1"/>
      <protection locked="0"/>
    </xf>
    <xf numFmtId="0" fontId="25" fillId="0" borderId="13" xfId="58" applyFont="1" applyFill="1" applyBorder="1" applyAlignment="1" applyProtection="1">
      <alignment vertical="center"/>
      <protection locked="0"/>
    </xf>
    <xf numFmtId="0" fontId="19" fillId="0" borderId="7" xfId="58" applyFont="1" applyFill="1" applyBorder="1" applyAlignment="1" applyProtection="1">
      <alignment horizontal="left" vertical="center"/>
      <protection locked="0"/>
    </xf>
    <xf numFmtId="9" fontId="25" fillId="0" borderId="7" xfId="58" applyNumberFormat="1" applyFont="1" applyFill="1" applyBorder="1" applyAlignment="1" applyProtection="1">
      <alignment horizontal="left" vertical="center"/>
      <protection locked="0"/>
    </xf>
    <xf numFmtId="0" fontId="29" fillId="2" borderId="16" xfId="58" applyFont="1" applyFill="1" applyBorder="1" applyAlignment="1" applyProtection="1">
      <alignment horizontal="left" vertical="center" wrapText="1"/>
      <protection locked="0"/>
    </xf>
    <xf numFmtId="0" fontId="29" fillId="2" borderId="13" xfId="58" applyFont="1" applyFill="1" applyBorder="1" applyAlignment="1" applyProtection="1">
      <alignment vertical="center"/>
      <protection locked="0"/>
    </xf>
    <xf numFmtId="0" fontId="17" fillId="2" borderId="7" xfId="58" applyFont="1" applyFill="1" applyBorder="1" applyAlignment="1" applyProtection="1">
      <alignment horizontal="left" vertical="center"/>
      <protection locked="0"/>
    </xf>
    <xf numFmtId="9" fontId="29" fillId="2" borderId="7" xfId="58" applyNumberFormat="1" applyFont="1" applyFill="1" applyBorder="1" applyAlignment="1" applyProtection="1">
      <alignment horizontal="left" vertical="center"/>
      <protection locked="0"/>
    </xf>
    <xf numFmtId="178" fontId="25" fillId="3" borderId="7" xfId="58" applyNumberFormat="1" applyFont="1" applyFill="1" applyBorder="1" applyAlignment="1" applyProtection="1">
      <alignment horizontal="left" vertical="center"/>
      <protection locked="0"/>
    </xf>
    <xf numFmtId="0" fontId="19" fillId="0" borderId="7" xfId="58" applyFont="1" applyFill="1" applyBorder="1" applyAlignment="1" applyProtection="1">
      <alignment horizontal="left" vertical="center" wrapText="1"/>
      <protection locked="0"/>
    </xf>
    <xf numFmtId="0" fontId="29" fillId="2" borderId="13" xfId="58" applyFont="1" applyFill="1" applyBorder="1" applyAlignment="1" applyProtection="1">
      <alignment vertical="center" wrapText="1"/>
      <protection locked="0"/>
    </xf>
    <xf numFmtId="0" fontId="29" fillId="2" borderId="15" xfId="58" applyFont="1" applyFill="1" applyBorder="1" applyAlignment="1" applyProtection="1">
      <alignment vertical="center" wrapText="1"/>
      <protection locked="0"/>
    </xf>
    <xf numFmtId="0" fontId="29" fillId="2" borderId="14" xfId="58" applyFont="1" applyFill="1" applyBorder="1" applyAlignment="1" applyProtection="1">
      <alignment vertical="center" wrapText="1"/>
      <protection locked="0"/>
    </xf>
    <xf numFmtId="0" fontId="17" fillId="2" borderId="68" xfId="58" applyFont="1" applyFill="1" applyBorder="1" applyAlignment="1" applyProtection="1">
      <alignment horizontal="left" vertical="center"/>
      <protection locked="0"/>
    </xf>
    <xf numFmtId="0" fontId="17" fillId="2" borderId="93" xfId="58" applyFont="1" applyFill="1" applyBorder="1" applyAlignment="1" applyProtection="1">
      <alignment vertical="center"/>
      <protection locked="0"/>
    </xf>
    <xf numFmtId="0" fontId="17" fillId="2" borderId="38" xfId="58" applyFont="1" applyFill="1" applyBorder="1" applyAlignment="1" applyProtection="1">
      <alignment vertical="center"/>
      <protection locked="0"/>
    </xf>
    <xf numFmtId="0" fontId="17" fillId="2" borderId="94" xfId="58" applyFont="1" applyFill="1" applyBorder="1" applyAlignment="1" applyProtection="1">
      <alignment vertical="center"/>
      <protection locked="0"/>
    </xf>
    <xf numFmtId="0" fontId="19" fillId="2" borderId="7" xfId="58" applyFont="1" applyFill="1" applyBorder="1" applyAlignment="1" applyProtection="1">
      <alignment horizontal="left" vertical="center"/>
      <protection locked="0"/>
    </xf>
    <xf numFmtId="9" fontId="19" fillId="2" borderId="7" xfId="58" applyNumberFormat="1" applyFont="1" applyFill="1" applyBorder="1" applyAlignment="1" applyProtection="1">
      <alignment horizontal="left" vertical="center"/>
      <protection locked="0"/>
    </xf>
    <xf numFmtId="0" fontId="25" fillId="0" borderId="0" xfId="58" applyFont="1" applyAlignment="1" applyProtection="1">
      <alignment horizontal="right"/>
      <protection locked="0"/>
    </xf>
    <xf numFmtId="0" fontId="17" fillId="2" borderId="110" xfId="58" applyFont="1" applyFill="1" applyBorder="1" applyAlignment="1" applyProtection="1">
      <alignment horizontal="left" vertical="center"/>
      <protection locked="0"/>
    </xf>
    <xf numFmtId="0" fontId="17" fillId="2" borderId="102" xfId="58" applyFont="1" applyFill="1" applyBorder="1" applyAlignment="1" applyProtection="1">
      <alignment vertical="center"/>
      <protection locked="0"/>
    </xf>
    <xf numFmtId="0" fontId="17" fillId="2" borderId="39" xfId="58" applyFont="1" applyFill="1" applyBorder="1" applyAlignment="1" applyProtection="1">
      <alignment vertical="center"/>
      <protection locked="0"/>
    </xf>
    <xf numFmtId="0" fontId="17" fillId="2" borderId="103" xfId="58" applyFont="1" applyFill="1" applyBorder="1" applyAlignment="1" applyProtection="1">
      <alignment vertical="center"/>
      <protection locked="0"/>
    </xf>
    <xf numFmtId="0" fontId="17" fillId="0" borderId="7" xfId="58" applyFont="1" applyFill="1" applyBorder="1" applyAlignment="1" applyProtection="1">
      <alignment horizontal="left" vertical="center"/>
      <protection locked="0"/>
    </xf>
    <xf numFmtId="0" fontId="6" fillId="2" borderId="79" xfId="58" applyFont="1" applyFill="1" applyBorder="1" applyAlignment="1" applyProtection="1">
      <alignment horizontal="left" vertical="center" wrapText="1"/>
      <protection locked="0"/>
    </xf>
    <xf numFmtId="0" fontId="4" fillId="2" borderId="77" xfId="58" applyFont="1" applyFill="1" applyBorder="1" applyAlignment="1" applyProtection="1">
      <alignment vertical="center"/>
      <protection locked="0"/>
    </xf>
    <xf numFmtId="0" fontId="2" fillId="2" borderId="77" xfId="58" applyFont="1" applyFill="1" applyBorder="1" applyAlignment="1" applyProtection="1">
      <alignment vertical="center"/>
      <protection locked="0"/>
    </xf>
    <xf numFmtId="0" fontId="99" fillId="0" borderId="77" xfId="58" applyFill="1" applyBorder="1" applyAlignment="1" applyProtection="1">
      <alignment horizontal="left" vertical="center"/>
      <protection locked="0"/>
    </xf>
    <xf numFmtId="9" fontId="25" fillId="0" borderId="10" xfId="58" applyNumberFormat="1" applyFont="1" applyFill="1" applyBorder="1" applyAlignment="1" applyProtection="1">
      <alignment horizontal="left" vertical="center"/>
      <protection locked="0"/>
    </xf>
    <xf numFmtId="0" fontId="25" fillId="0" borderId="0" xfId="58" applyFont="1" applyFill="1" applyAlignment="1" applyProtection="1">
      <alignment horizontal="left" vertical="center"/>
      <protection locked="0"/>
    </xf>
    <xf numFmtId="0" fontId="6" fillId="2" borderId="77" xfId="58" applyFont="1" applyFill="1" applyBorder="1" applyAlignment="1" applyProtection="1">
      <alignment vertical="center"/>
      <protection locked="0"/>
    </xf>
    <xf numFmtId="0" fontId="29" fillId="3" borderId="124" xfId="58" applyFont="1" applyFill="1" applyBorder="1" applyAlignment="1" applyProtection="1">
      <alignment vertical="center"/>
      <protection locked="0"/>
    </xf>
    <xf numFmtId="0" fontId="25" fillId="0" borderId="0" xfId="58" applyFont="1" applyAlignment="1" applyProtection="1">
      <alignment horizontal="left" vertical="center"/>
      <protection locked="0"/>
    </xf>
    <xf numFmtId="0" fontId="29" fillId="0" borderId="8" xfId="58" applyFont="1" applyFill="1" applyBorder="1" applyAlignment="1" applyProtection="1">
      <alignment horizontal="left" vertical="center"/>
      <protection locked="0"/>
    </xf>
    <xf numFmtId="0" fontId="29" fillId="2" borderId="8" xfId="58" applyFont="1" applyFill="1" applyBorder="1" applyAlignment="1" applyProtection="1">
      <alignment horizontal="left" vertical="center"/>
      <protection locked="0"/>
    </xf>
    <xf numFmtId="178" fontId="19" fillId="0" borderId="8" xfId="53" applyNumberFormat="1" applyFont="1" applyBorder="1" applyAlignment="1" applyProtection="1">
      <alignment horizontal="left" vertical="center"/>
      <protection locked="0" hidden="1"/>
    </xf>
    <xf numFmtId="178" fontId="25" fillId="2" borderId="8" xfId="58" applyNumberFormat="1" applyFont="1" applyFill="1" applyBorder="1" applyAlignment="1" applyProtection="1">
      <alignment horizontal="left" vertical="center"/>
      <protection locked="0"/>
    </xf>
    <xf numFmtId="0" fontId="25" fillId="0" borderId="69" xfId="58" applyFont="1" applyFill="1" applyBorder="1" applyAlignment="1" applyProtection="1">
      <alignment horizontal="left" vertical="center"/>
      <protection locked="0"/>
    </xf>
    <xf numFmtId="0" fontId="25" fillId="2" borderId="69" xfId="58" applyFont="1" applyFill="1" applyBorder="1" applyAlignment="1" applyProtection="1">
      <alignment horizontal="left" vertical="center"/>
      <protection locked="0"/>
    </xf>
    <xf numFmtId="0" fontId="25" fillId="0" borderId="8" xfId="58" applyFont="1" applyFill="1" applyBorder="1" applyAlignment="1" applyProtection="1">
      <alignment horizontal="left" vertical="center"/>
      <protection locked="0"/>
    </xf>
    <xf numFmtId="178" fontId="29" fillId="2" borderId="7" xfId="58" applyNumberFormat="1" applyFont="1" applyFill="1" applyBorder="1" applyAlignment="1" applyProtection="1">
      <alignment horizontal="left" vertical="center"/>
      <protection locked="0"/>
    </xf>
    <xf numFmtId="178" fontId="25" fillId="0" borderId="8" xfId="58" applyNumberFormat="1" applyFont="1" applyFill="1" applyBorder="1" applyAlignment="1" applyProtection="1">
      <alignment horizontal="left" vertical="center"/>
      <protection locked="0"/>
    </xf>
    <xf numFmtId="0" fontId="17" fillId="2" borderId="8" xfId="58" applyFont="1" applyFill="1" applyBorder="1" applyAlignment="1" applyProtection="1">
      <alignment horizontal="left" vertical="center"/>
      <protection locked="0"/>
    </xf>
    <xf numFmtId="0" fontId="19" fillId="0" borderId="8" xfId="58" applyFont="1" applyFill="1" applyBorder="1" applyAlignment="1" applyProtection="1">
      <alignment horizontal="left" vertical="center"/>
      <protection locked="0"/>
    </xf>
    <xf numFmtId="9" fontId="19" fillId="0" borderId="7" xfId="58" applyNumberFormat="1" applyFont="1" applyFill="1" applyBorder="1" applyAlignment="1" applyProtection="1">
      <alignment horizontal="left" vertical="center"/>
      <protection locked="0"/>
    </xf>
    <xf numFmtId="0" fontId="29" fillId="0" borderId="0" xfId="58" applyFont="1" applyFill="1" applyAlignment="1" applyProtection="1">
      <alignment horizontal="left" vertical="center"/>
      <protection locked="0"/>
    </xf>
    <xf numFmtId="9" fontId="17" fillId="0" borderId="7" xfId="58" applyNumberFormat="1" applyFont="1" applyFill="1" applyBorder="1" applyAlignment="1" applyProtection="1">
      <alignment horizontal="left" vertical="center"/>
      <protection locked="0"/>
    </xf>
    <xf numFmtId="181" fontId="19" fillId="0" borderId="10" xfId="58" applyNumberFormat="1" applyFont="1" applyFill="1" applyBorder="1" applyAlignment="1" applyProtection="1">
      <alignment horizontal="left" vertical="center"/>
      <protection locked="0"/>
    </xf>
    <xf numFmtId="0" fontId="100" fillId="0" borderId="122" xfId="58" applyFont="1" applyFill="1" applyBorder="1" applyAlignment="1" applyProtection="1">
      <alignment horizontal="left" vertical="center"/>
      <protection locked="0"/>
    </xf>
    <xf numFmtId="0" fontId="29" fillId="2" borderId="7" xfId="58" applyFont="1" applyFill="1" applyBorder="1" applyAlignment="1" applyProtection="1">
      <alignment horizontal="left" vertical="center"/>
      <protection locked="0"/>
    </xf>
    <xf numFmtId="178" fontId="25" fillId="2" borderId="7" xfId="58" applyNumberFormat="1" applyFont="1" applyFill="1" applyBorder="1" applyAlignment="1" applyProtection="1">
      <alignment horizontal="left" vertical="center"/>
      <protection locked="0"/>
    </xf>
    <xf numFmtId="0" fontId="25" fillId="2" borderId="12" xfId="58" applyFont="1" applyFill="1" applyBorder="1" applyAlignment="1" applyProtection="1">
      <alignment horizontal="left" vertical="center"/>
      <protection locked="0"/>
    </xf>
    <xf numFmtId="0" fontId="29" fillId="2" borderId="13" xfId="58" applyFont="1" applyFill="1" applyBorder="1" applyAlignment="1" applyProtection="1">
      <alignment horizontal="left" vertical="center"/>
      <protection locked="0"/>
    </xf>
    <xf numFmtId="0" fontId="97" fillId="0" borderId="0" xfId="58" applyFont="1" applyAlignment="1">
      <alignment horizontal="left"/>
    </xf>
    <xf numFmtId="0" fontId="48" fillId="2" borderId="0" xfId="0" applyFont="1" applyFill="1" applyBorder="1" applyAlignment="1" applyProtection="1">
      <alignment vertical="center"/>
      <protection locked="0"/>
    </xf>
    <xf numFmtId="49" fontId="64" fillId="0" borderId="110" xfId="0" applyNumberFormat="1" applyFont="1" applyFill="1" applyBorder="1" applyAlignment="1" applyProtection="1">
      <alignment horizontal="center" vertical="center" wrapText="1"/>
      <protection locked="0"/>
    </xf>
    <xf numFmtId="49" fontId="64" fillId="0" borderId="103" xfId="0" applyNumberFormat="1" applyFont="1" applyFill="1" applyBorder="1" applyAlignment="1" applyProtection="1">
      <alignment horizontal="center" vertical="center" wrapText="1"/>
      <protection locked="0"/>
    </xf>
    <xf numFmtId="0" fontId="75" fillId="0" borderId="93" xfId="0" applyFont="1" applyFill="1" applyBorder="1" applyAlignment="1" applyProtection="1">
      <alignment horizontal="center" vertical="center" wrapText="1"/>
      <protection locked="0"/>
    </xf>
    <xf numFmtId="0" fontId="80" fillId="0" borderId="86"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center" vertical="center" wrapText="1"/>
      <protection locked="0"/>
    </xf>
    <xf numFmtId="0" fontId="80" fillId="0" borderId="6" xfId="0" applyNumberFormat="1" applyFont="1" applyFill="1" applyBorder="1" applyAlignment="1" applyProtection="1">
      <alignment horizontal="center" vertical="center" wrapText="1"/>
      <protection locked="0"/>
    </xf>
    <xf numFmtId="0" fontId="64" fillId="2" borderId="66" xfId="0" applyFont="1" applyFill="1" applyBorder="1" applyAlignment="1" applyProtection="1">
      <alignment horizontal="center" vertical="center" wrapText="1"/>
    </xf>
    <xf numFmtId="49" fontId="68" fillId="2" borderId="67" xfId="0" applyNumberFormat="1"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wrapText="1"/>
    </xf>
    <xf numFmtId="0" fontId="68" fillId="13" borderId="76" xfId="0" applyNumberFormat="1" applyFont="1" applyFill="1" applyBorder="1" applyAlignment="1" applyProtection="1">
      <alignment horizontal="center" vertical="center" wrapText="1"/>
      <protection locked="0"/>
    </xf>
    <xf numFmtId="49" fontId="68" fillId="13" borderId="65" xfId="0" applyNumberFormat="1" applyFont="1" applyFill="1" applyBorder="1" applyAlignment="1" applyProtection="1">
      <alignment horizontal="center" vertical="center" wrapText="1"/>
      <protection locked="0"/>
    </xf>
    <xf numFmtId="0" fontId="64" fillId="2" borderId="92" xfId="0" applyFont="1" applyFill="1" applyBorder="1" applyAlignment="1" applyProtection="1">
      <alignment horizontal="center" vertical="center" wrapText="1"/>
    </xf>
    <xf numFmtId="0" fontId="66" fillId="0" borderId="75" xfId="0" applyFont="1" applyFill="1" applyBorder="1" applyAlignment="1" applyProtection="1">
      <alignment horizontal="center" vertical="center"/>
      <protection locked="0"/>
    </xf>
    <xf numFmtId="0" fontId="66" fillId="2" borderId="11" xfId="0" applyNumberFormat="1" applyFont="1" applyFill="1" applyBorder="1" applyAlignment="1" applyProtection="1">
      <alignment horizontal="center" vertical="center" wrapText="1"/>
    </xf>
    <xf numFmtId="0" fontId="80" fillId="7" borderId="0" xfId="0" applyFont="1" applyFill="1" applyAlignment="1" applyProtection="1">
      <alignment horizontal="center" vertical="center"/>
      <protection locked="0"/>
    </xf>
    <xf numFmtId="10" fontId="68" fillId="7" borderId="0" xfId="0" applyNumberFormat="1" applyFont="1" applyFill="1" applyAlignment="1" applyProtection="1">
      <alignment horizontal="center" vertical="center"/>
      <protection locked="0"/>
    </xf>
    <xf numFmtId="0" fontId="68" fillId="2" borderId="74" xfId="0" applyFont="1" applyFill="1" applyBorder="1" applyAlignment="1" applyProtection="1">
      <alignment horizontal="center" vertical="center"/>
    </xf>
    <xf numFmtId="178" fontId="25" fillId="2" borderId="13" xfId="53" applyNumberFormat="1" applyFont="1" applyFill="1" applyBorder="1" applyAlignment="1" applyProtection="1">
      <alignment horizontal="center"/>
    </xf>
    <xf numFmtId="49" fontId="68" fillId="13" borderId="76"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vertical="center" wrapText="1"/>
      <protection locked="0"/>
    </xf>
    <xf numFmtId="0" fontId="24" fillId="2" borderId="5" xfId="0" applyFont="1" applyFill="1" applyBorder="1" applyAlignment="1" applyProtection="1">
      <alignment horizontal="center" vertical="center"/>
    </xf>
    <xf numFmtId="0" fontId="24" fillId="2" borderId="132"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44" xfId="0" applyFont="1" applyFill="1" applyBorder="1" applyAlignment="1" applyProtection="1">
      <alignment horizontal="center" vertical="center"/>
    </xf>
    <xf numFmtId="0" fontId="19" fillId="0" borderId="144"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33"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25" fillId="2" borderId="0" xfId="0" applyFont="1" applyFill="1" applyAlignment="1" applyProtection="1"/>
    <xf numFmtId="0" fontId="7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6" fontId="68" fillId="2" borderId="0" xfId="0" applyNumberFormat="1" applyFont="1" applyFill="1" applyBorder="1" applyAlignment="1" applyProtection="1">
      <alignment horizontal="center"/>
      <protection locked="0"/>
    </xf>
    <xf numFmtId="0" fontId="64" fillId="0" borderId="72" xfId="0" applyNumberFormat="1" applyFont="1" applyFill="1" applyBorder="1" applyAlignment="1" applyProtection="1">
      <alignment horizontal="center" vertical="center" wrapText="1"/>
      <protection locked="0"/>
    </xf>
    <xf numFmtId="0" fontId="69" fillId="13" borderId="105" xfId="0" applyFont="1" applyFill="1" applyBorder="1" applyAlignment="1" applyProtection="1">
      <alignment horizontal="right" vertical="center"/>
      <protection locked="0"/>
    </xf>
    <xf numFmtId="0" fontId="64" fillId="0" borderId="82"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0" fontId="64" fillId="0" borderId="89" xfId="0" applyNumberFormat="1" applyFont="1" applyFill="1" applyBorder="1" applyAlignment="1" applyProtection="1">
      <alignment horizontal="center" vertical="center" wrapText="1"/>
      <protection locked="0"/>
    </xf>
    <xf numFmtId="0" fontId="68" fillId="2" borderId="66"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0" fontId="68" fillId="2" borderId="93"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68" fillId="0" borderId="145"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71" fillId="2" borderId="67" xfId="0" applyFont="1" applyFill="1" applyBorder="1" applyAlignment="1" applyProtection="1">
      <alignment vertical="center" textRotation="255" wrapText="1"/>
    </xf>
    <xf numFmtId="0" fontId="68" fillId="2" borderId="74" xfId="0" applyNumberFormat="1" applyFont="1" applyFill="1" applyBorder="1" applyAlignment="1" applyProtection="1">
      <alignment horizontal="center" vertical="center" wrapText="1"/>
    </xf>
    <xf numFmtId="9" fontId="64" fillId="0" borderId="14" xfId="0" applyNumberFormat="1" applyFont="1" applyFill="1" applyBorder="1" applyAlignment="1" applyProtection="1">
      <alignment horizontal="center" vertical="center" wrapText="1"/>
      <protection locked="0"/>
    </xf>
    <xf numFmtId="9" fontId="64" fillId="0" borderId="6" xfId="0" applyNumberFormat="1" applyFont="1" applyFill="1" applyBorder="1" applyAlignment="1" applyProtection="1">
      <alignment horizontal="center" vertical="center" wrapText="1"/>
      <protection locked="0"/>
    </xf>
    <xf numFmtId="0" fontId="64" fillId="13" borderId="86" xfId="0" applyNumberFormat="1" applyFont="1" applyFill="1" applyBorder="1" applyAlignment="1" applyProtection="1">
      <alignment horizontal="center" vertical="center" wrapText="1"/>
      <protection locked="0"/>
    </xf>
    <xf numFmtId="0" fontId="71" fillId="2" borderId="7" xfId="0" applyNumberFormat="1" applyFont="1" applyFill="1" applyBorder="1" applyAlignment="1" applyProtection="1">
      <alignment horizontal="center" vertical="center"/>
    </xf>
    <xf numFmtId="0" fontId="68" fillId="0" borderId="0" xfId="0" applyFont="1" applyFill="1" applyAlignment="1" applyProtection="1">
      <alignment horizontal="center" vertical="center"/>
    </xf>
    <xf numFmtId="0" fontId="67" fillId="2" borderId="78" xfId="0" applyNumberFormat="1" applyFont="1" applyFill="1" applyBorder="1" applyAlignment="1" applyProtection="1">
      <alignment horizontal="center" vertical="center" wrapText="1"/>
    </xf>
    <xf numFmtId="0" fontId="67" fillId="2" borderId="78" xfId="0" applyNumberFormat="1" applyFont="1" applyFill="1" applyBorder="1" applyAlignment="1" applyProtection="1">
      <alignment horizontal="left" vertical="center" wrapText="1"/>
    </xf>
    <xf numFmtId="0" fontId="67" fillId="2" borderId="88" xfId="0" applyNumberFormat="1" applyFont="1" applyFill="1" applyBorder="1" applyAlignment="1" applyProtection="1">
      <alignment horizontal="center" vertical="center" wrapText="1"/>
    </xf>
    <xf numFmtId="0" fontId="68" fillId="7" borderId="0" xfId="0" applyFont="1" applyFill="1" applyBorder="1" applyAlignment="1" applyProtection="1">
      <alignment horizontal="center" vertical="center" wrapText="1"/>
      <protection locked="0"/>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70" fillId="2" borderId="105" xfId="0" applyFont="1" applyFill="1" applyBorder="1" applyAlignment="1" applyProtection="1">
      <alignment vertical="center"/>
      <protection locked="0"/>
    </xf>
    <xf numFmtId="0" fontId="69" fillId="2" borderId="105" xfId="0" applyFont="1" applyFill="1" applyBorder="1" applyAlignment="1" applyProtection="1">
      <alignment vertical="center"/>
      <protection locked="0"/>
    </xf>
    <xf numFmtId="0" fontId="74" fillId="2" borderId="146" xfId="0" applyFont="1" applyFill="1" applyBorder="1" applyAlignment="1" applyProtection="1">
      <alignment vertical="center" wrapText="1"/>
    </xf>
    <xf numFmtId="0" fontId="64" fillId="2" borderId="83" xfId="0" applyFont="1" applyFill="1" applyBorder="1" applyAlignment="1" applyProtection="1">
      <alignment horizontal="center" vertical="center" wrapText="1"/>
    </xf>
    <xf numFmtId="0" fontId="76" fillId="2" borderId="147" xfId="0" applyFont="1" applyFill="1" applyBorder="1" applyAlignment="1" applyProtection="1">
      <alignment vertical="center" wrapText="1"/>
    </xf>
    <xf numFmtId="0" fontId="64" fillId="2" borderId="15" xfId="0" applyFont="1" applyFill="1" applyBorder="1" applyAlignment="1" applyProtection="1">
      <alignment horizontal="center" vertical="center" wrapText="1"/>
    </xf>
    <xf numFmtId="0" fontId="71" fillId="2" borderId="147" xfId="0" applyFont="1" applyFill="1" applyBorder="1" applyAlignment="1" applyProtection="1">
      <alignment vertical="center" wrapText="1"/>
    </xf>
    <xf numFmtId="0" fontId="64" fillId="0" borderId="38" xfId="0" applyFont="1" applyFill="1" applyBorder="1" applyAlignment="1" applyProtection="1">
      <alignment horizontal="center" vertical="center" wrapText="1"/>
      <protection locked="0"/>
    </xf>
    <xf numFmtId="0" fontId="74" fillId="2" borderId="147" xfId="0" applyFont="1" applyFill="1" applyBorder="1" applyAlignment="1" applyProtection="1">
      <alignment vertical="center" wrapText="1"/>
    </xf>
    <xf numFmtId="0" fontId="71" fillId="2" borderId="148" xfId="0" applyFont="1" applyFill="1" applyBorder="1" applyAlignment="1" applyProtection="1">
      <alignment vertical="center" wrapText="1"/>
    </xf>
    <xf numFmtId="0" fontId="64" fillId="0" borderId="69" xfId="0"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2" borderId="115" xfId="0" applyNumberFormat="1" applyFont="1" applyFill="1" applyBorder="1" applyAlignment="1" applyProtection="1">
      <alignment horizontal="center" vertical="center" wrapText="1"/>
    </xf>
    <xf numFmtId="0" fontId="71" fillId="2" borderId="106" xfId="0" applyFont="1" applyFill="1" applyBorder="1" applyAlignment="1" applyProtection="1">
      <alignment vertical="center" textRotation="255" wrapText="1"/>
    </xf>
    <xf numFmtId="0" fontId="64" fillId="2" borderId="5" xfId="0" applyFont="1" applyFill="1" applyBorder="1" applyAlignment="1" applyProtection="1">
      <alignment horizontal="center" vertical="center" wrapText="1"/>
    </xf>
    <xf numFmtId="0" fontId="68" fillId="2" borderId="110" xfId="0" applyNumberFormat="1" applyFont="1" applyFill="1" applyBorder="1" applyAlignment="1" applyProtection="1">
      <alignment horizontal="center" vertical="center" wrapText="1"/>
    </xf>
    <xf numFmtId="0" fontId="77" fillId="2" borderId="70" xfId="0" applyFont="1" applyFill="1" applyBorder="1" applyAlignment="1" applyProtection="1">
      <alignment vertical="center" textRotation="255" wrapText="1"/>
    </xf>
    <xf numFmtId="49" fontId="64" fillId="0" borderId="86" xfId="0" applyNumberFormat="1" applyFont="1" applyFill="1" applyBorder="1" applyAlignment="1" applyProtection="1">
      <alignment horizontal="center" vertical="center" wrapText="1"/>
      <protection locked="0"/>
    </xf>
    <xf numFmtId="0" fontId="71" fillId="2" borderId="70" xfId="0" applyFont="1" applyFill="1" applyBorder="1" applyAlignment="1" applyProtection="1">
      <alignment vertical="center" textRotation="255" wrapText="1"/>
    </xf>
    <xf numFmtId="0" fontId="74" fillId="2" borderId="70" xfId="0" applyFont="1" applyFill="1" applyBorder="1" applyAlignment="1" applyProtection="1">
      <alignment vertical="center" textRotation="255" wrapText="1"/>
    </xf>
    <xf numFmtId="0" fontId="71" fillId="2" borderId="107" xfId="0" applyFont="1" applyFill="1" applyBorder="1" applyAlignment="1" applyProtection="1">
      <alignment vertical="center" textRotation="255" wrapText="1"/>
    </xf>
    <xf numFmtId="49" fontId="71" fillId="3" borderId="83" xfId="0" applyNumberFormat="1" applyFont="1" applyFill="1" applyBorder="1" applyAlignment="1" applyProtection="1">
      <alignment vertical="center"/>
      <protection locked="0"/>
    </xf>
    <xf numFmtId="0" fontId="79"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0" fontId="64" fillId="2" borderId="94" xfId="0" applyNumberFormat="1" applyFont="1" applyFill="1" applyBorder="1" applyAlignment="1" applyProtection="1">
      <alignment horizontal="center" vertical="center" wrapText="1"/>
      <protection locked="0"/>
    </xf>
    <xf numFmtId="186" fontId="69" fillId="2" borderId="105" xfId="0" applyNumberFormat="1" applyFont="1" applyFill="1" applyBorder="1" applyAlignment="1" applyProtection="1">
      <alignment horizontal="center" vertical="center"/>
      <protection locked="0"/>
    </xf>
    <xf numFmtId="181" fontId="69" fillId="2" borderId="105" xfId="0" applyNumberFormat="1" applyFont="1" applyFill="1" applyBorder="1" applyAlignment="1" applyProtection="1">
      <alignment vertical="center"/>
      <protection locked="0"/>
    </xf>
    <xf numFmtId="0" fontId="69" fillId="2" borderId="105" xfId="0" applyFont="1" applyFill="1" applyBorder="1" applyAlignment="1" applyProtection="1">
      <alignment horizontal="center" vertical="center"/>
      <protection locked="0"/>
    </xf>
    <xf numFmtId="0" fontId="69" fillId="2" borderId="149" xfId="0" applyFont="1" applyFill="1" applyBorder="1" applyAlignment="1" applyProtection="1">
      <alignment horizontal="center" vertical="center"/>
    </xf>
    <xf numFmtId="0" fontId="69" fillId="2" borderId="92" xfId="0" applyFont="1" applyFill="1" applyBorder="1" applyAlignment="1" applyProtection="1">
      <alignment horizontal="center" vertical="center"/>
    </xf>
    <xf numFmtId="186" fontId="68" fillId="12" borderId="14" xfId="0" applyNumberFormat="1" applyFont="1" applyFill="1" applyBorder="1" applyAlignment="1" applyProtection="1">
      <alignment horizontal="center" vertical="center"/>
      <protection locked="0"/>
    </xf>
    <xf numFmtId="186" fontId="68" fillId="12" borderId="7" xfId="0" applyNumberFormat="1" applyFont="1" applyFill="1" applyBorder="1" applyAlignment="1" applyProtection="1">
      <alignment horizontal="center" vertical="center" wrapText="1"/>
      <protection locked="0"/>
    </xf>
    <xf numFmtId="49" fontId="68" fillId="0" borderId="4" xfId="0" applyNumberFormat="1" applyFont="1" applyFill="1" applyBorder="1" applyAlignment="1" applyProtection="1">
      <alignment horizontal="center" vertical="center" wrapText="1"/>
      <protection locked="0"/>
    </xf>
    <xf numFmtId="49" fontId="67" fillId="0" borderId="4" xfId="0" applyNumberFormat="1" applyFont="1" applyFill="1" applyBorder="1" applyAlignment="1" applyProtection="1">
      <alignment horizontal="center" vertical="center" wrapText="1"/>
      <protection locked="0"/>
    </xf>
    <xf numFmtId="49" fontId="67" fillId="0" borderId="4" xfId="0" applyNumberFormat="1" applyFont="1" applyFill="1" applyBorder="1" applyAlignment="1" applyProtection="1">
      <alignment horizontal="left" vertical="center" wrapText="1"/>
      <protection locked="0"/>
    </xf>
    <xf numFmtId="49" fontId="67" fillId="0" borderId="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center" vertical="center" wrapText="1"/>
    </xf>
    <xf numFmtId="181" fontId="69" fillId="2" borderId="0" xfId="0" applyNumberFormat="1" applyFont="1" applyFill="1" applyBorder="1" applyAlignment="1" applyProtection="1">
      <alignment vertical="center"/>
      <protection locked="0"/>
    </xf>
    <xf numFmtId="0" fontId="69" fillId="2" borderId="0"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65" xfId="0" applyFont="1" applyFill="1" applyBorder="1" applyAlignment="1" applyProtection="1">
      <alignment horizontal="center" vertical="center"/>
      <protection locked="0"/>
    </xf>
    <xf numFmtId="181" fontId="65"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65" xfId="0" applyFont="1" applyFill="1" applyBorder="1" applyAlignment="1" applyProtection="1">
      <alignment horizontal="center" vertical="center"/>
      <protection locked="0"/>
    </xf>
    <xf numFmtId="181" fontId="66" fillId="2" borderId="0" xfId="0" applyNumberFormat="1" applyFont="1" applyFill="1" applyBorder="1" applyAlignment="1" applyProtection="1">
      <alignment horizontal="center" vertical="center" wrapText="1"/>
      <protection locked="0"/>
    </xf>
    <xf numFmtId="0" fontId="68" fillId="2" borderId="65" xfId="0" applyFont="1" applyFill="1" applyBorder="1" applyAlignment="1" applyProtection="1">
      <alignment horizontal="center" vertical="center"/>
      <protection locked="0"/>
    </xf>
    <xf numFmtId="181" fontId="67" fillId="2"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protection locked="0"/>
    </xf>
    <xf numFmtId="0" fontId="66" fillId="2" borderId="65"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181" fontId="67" fillId="2" borderId="0" xfId="0" applyNumberFormat="1" applyFont="1" applyFill="1" applyAlignment="1" applyProtection="1">
      <alignment horizontal="center" vertical="center"/>
      <protection locked="0"/>
    </xf>
    <xf numFmtId="0" fontId="67" fillId="2" borderId="0" xfId="0" applyFont="1" applyFill="1" applyAlignment="1" applyProtection="1">
      <alignment horizontal="center" vertical="center"/>
      <protection locked="0"/>
    </xf>
    <xf numFmtId="0" fontId="68" fillId="0" borderId="0" xfId="0" applyFont="1" applyBorder="1" applyAlignment="1" applyProtection="1">
      <protection locked="0"/>
    </xf>
    <xf numFmtId="49" fontId="64"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64" fillId="0" borderId="77" xfId="0" applyNumberFormat="1" applyFont="1" applyFill="1" applyBorder="1" applyAlignment="1" applyProtection="1">
      <alignment horizontal="center" vertical="center" wrapText="1"/>
    </xf>
    <xf numFmtId="0" fontId="64" fillId="0" borderId="122" xfId="0" applyNumberFormat="1" applyFont="1" applyFill="1" applyBorder="1" applyAlignment="1" applyProtection="1">
      <alignment horizontal="center" vertical="center" wrapText="1"/>
    </xf>
    <xf numFmtId="0" fontId="64"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67"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68" fillId="2" borderId="0" xfId="0" applyNumberFormat="1"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0" fontId="71" fillId="10" borderId="7" xfId="0" applyNumberFormat="1" applyFont="1" applyFill="1" applyBorder="1" applyAlignment="1" applyProtection="1">
      <alignment horizontal="center" vertical="center"/>
    </xf>
    <xf numFmtId="9" fontId="66" fillId="0"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protection locked="0"/>
    </xf>
    <xf numFmtId="0" fontId="66" fillId="0" borderId="0" xfId="0" applyFont="1" applyFill="1" applyBorder="1" applyAlignment="1" applyProtection="1">
      <alignment vertical="center" wrapText="1"/>
      <protection locked="0"/>
    </xf>
    <xf numFmtId="0" fontId="64" fillId="0" borderId="0" xfId="0" applyFont="1" applyFill="1" applyBorder="1" applyAlignment="1" applyProtection="1">
      <alignment vertical="center" wrapText="1"/>
      <protection locked="0"/>
    </xf>
    <xf numFmtId="0" fontId="68" fillId="0" borderId="0" xfId="0"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0" xfId="0" applyFont="1" applyFill="1" applyBorder="1" applyAlignment="1" applyProtection="1">
      <alignment horizontal="center" vertical="center"/>
      <protection locked="0"/>
    </xf>
    <xf numFmtId="0" fontId="69" fillId="2" borderId="104" xfId="0" applyFont="1" applyFill="1" applyBorder="1" applyAlignment="1" applyProtection="1">
      <alignment horizontal="right" vertical="center"/>
    </xf>
    <xf numFmtId="0" fontId="69" fillId="3" borderId="150" xfId="0" applyFont="1" applyFill="1" applyBorder="1" applyAlignment="1" applyProtection="1">
      <alignment vertical="center"/>
      <protection locked="0"/>
    </xf>
    <xf numFmtId="0" fontId="68" fillId="13" borderId="3" xfId="0" applyFont="1" applyFill="1" applyBorder="1" applyAlignment="1" applyProtection="1">
      <alignment horizontal="center" vertical="center" wrapText="1"/>
      <protection locked="0"/>
    </xf>
    <xf numFmtId="0" fontId="68" fillId="13" borderId="6" xfId="0" applyFont="1" applyFill="1" applyBorder="1" applyAlignment="1" applyProtection="1">
      <alignment horizontal="center" vertical="center" wrapText="1"/>
      <protection locked="0"/>
    </xf>
    <xf numFmtId="17" fontId="66" fillId="0" borderId="86" xfId="0" applyNumberFormat="1" applyFont="1" applyFill="1" applyBorder="1" applyAlignment="1" applyProtection="1">
      <alignment horizontal="center" vertical="center" wrapText="1"/>
      <protection locked="0"/>
    </xf>
    <xf numFmtId="0" fontId="66" fillId="0" borderId="86" xfId="0" applyNumberFormat="1" applyFont="1" applyFill="1" applyBorder="1" applyAlignment="1" applyProtection="1">
      <alignment horizontal="center" vertical="center" wrapText="1"/>
      <protection locked="0"/>
    </xf>
    <xf numFmtId="0" fontId="69" fillId="2" borderId="151" xfId="0" applyFont="1" applyFill="1" applyBorder="1" applyAlignment="1" applyProtection="1">
      <alignment horizontal="center" vertical="center"/>
      <protection locked="0"/>
    </xf>
    <xf numFmtId="0" fontId="69" fillId="2" borderId="70" xfId="0" applyFont="1" applyFill="1" applyBorder="1" applyAlignment="1" applyProtection="1">
      <alignment horizontal="center" vertical="center"/>
      <protection locked="0"/>
    </xf>
    <xf numFmtId="0" fontId="68" fillId="7" borderId="70" xfId="0" applyFont="1" applyFill="1" applyBorder="1" applyAlignment="1" applyProtection="1">
      <alignment horizontal="center" vertical="center"/>
      <protection locked="0"/>
    </xf>
    <xf numFmtId="0" fontId="67" fillId="7" borderId="70" xfId="0" applyFont="1" applyFill="1" applyBorder="1" applyAlignment="1" applyProtection="1">
      <alignment horizontal="center" vertical="center"/>
      <protection locked="0"/>
    </xf>
    <xf numFmtId="0" fontId="68" fillId="7" borderId="70" xfId="0" applyFont="1" applyFill="1" applyBorder="1" applyAlignment="1" applyProtection="1">
      <protection locked="0"/>
    </xf>
    <xf numFmtId="49" fontId="64" fillId="7" borderId="70" xfId="0" applyNumberFormat="1" applyFont="1" applyFill="1" applyBorder="1" applyAlignment="1" applyProtection="1">
      <alignment horizontal="center" vertical="center"/>
      <protection locked="0"/>
    </xf>
    <xf numFmtId="9" fontId="64"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4" fillId="7" borderId="70" xfId="0" applyFont="1" applyFill="1" applyBorder="1" applyAlignment="1" applyProtection="1">
      <alignment horizontal="center" vertical="center" wrapText="1"/>
      <protection locked="0"/>
    </xf>
    <xf numFmtId="0" fontId="69" fillId="2" borderId="1" xfId="0" applyFont="1" applyFill="1" applyBorder="1" applyAlignment="1" applyProtection="1">
      <alignment horizontal="center" vertical="center"/>
      <protection locked="0"/>
    </xf>
    <xf numFmtId="0" fontId="63" fillId="2" borderId="1"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24" fillId="0" borderId="118" xfId="0" applyNumberFormat="1" applyFont="1" applyFill="1" applyBorder="1" applyAlignment="1" applyProtection="1">
      <alignment horizontal="center" vertical="center" wrapText="1"/>
      <protection locked="0"/>
    </xf>
    <xf numFmtId="0" fontId="66" fillId="7" borderId="70" xfId="0" applyFont="1" applyFill="1" applyBorder="1" applyAlignment="1" applyProtection="1">
      <alignment horizontal="center" vertical="center" wrapText="1"/>
      <protection locked="0"/>
    </xf>
    <xf numFmtId="0" fontId="66" fillId="7" borderId="70" xfId="0" applyFont="1" applyFill="1" applyBorder="1" applyAlignment="1" applyProtection="1">
      <alignment horizontal="center" vertical="center"/>
      <protection locked="0"/>
    </xf>
    <xf numFmtId="0" fontId="66" fillId="7" borderId="70" xfId="0" applyFont="1" applyFill="1" applyBorder="1" applyAlignment="1" applyProtection="1">
      <alignment vertical="center" wrapText="1"/>
      <protection locked="0"/>
    </xf>
    <xf numFmtId="0" fontId="64"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0" fontId="48" fillId="2" borderId="16" xfId="0" applyNumberFormat="1" applyFont="1" applyFill="1" applyBorder="1" applyAlignment="1" applyProtection="1">
      <alignment horizontal="right" vertical="center"/>
    </xf>
    <xf numFmtId="0" fontId="101" fillId="2" borderId="0" xfId="0" applyFont="1" applyFill="1" applyBorder="1" applyAlignment="1" applyProtection="1">
      <alignment vertical="center"/>
      <protection locked="0"/>
    </xf>
    <xf numFmtId="49" fontId="64" fillId="13" borderId="100" xfId="0" applyNumberFormat="1" applyFont="1" applyFill="1" applyBorder="1" applyAlignment="1" applyProtection="1">
      <alignment horizontal="center" vertical="center" wrapText="1"/>
      <protection locked="0"/>
    </xf>
    <xf numFmtId="49" fontId="68" fillId="13" borderId="14" xfId="0" applyNumberFormat="1" applyFont="1" applyFill="1" applyBorder="1" applyAlignment="1" applyProtection="1">
      <alignment horizontal="center" vertical="center" wrapText="1"/>
      <protection locked="0"/>
    </xf>
    <xf numFmtId="0" fontId="68" fillId="13" borderId="95" xfId="0" applyFont="1" applyFill="1" applyBorder="1" applyAlignment="1" applyProtection="1">
      <alignment horizontal="center" vertical="center" wrapText="1"/>
      <protection locked="0"/>
    </xf>
    <xf numFmtId="0" fontId="68" fillId="13" borderId="14" xfId="0" applyFont="1" applyFill="1" applyBorder="1" applyAlignment="1" applyProtection="1">
      <alignment horizontal="center" vertical="center" wrapText="1"/>
      <protection locked="0"/>
    </xf>
    <xf numFmtId="0" fontId="71" fillId="2" borderId="18" xfId="0" applyNumberFormat="1" applyFont="1" applyFill="1" applyBorder="1" applyAlignment="1" applyProtection="1">
      <alignment vertical="center" wrapText="1"/>
      <protection locked="0"/>
    </xf>
    <xf numFmtId="188" fontId="64" fillId="2" borderId="112" xfId="0" applyNumberFormat="1" applyFont="1" applyFill="1" applyBorder="1" applyAlignment="1" applyProtection="1">
      <alignment horizontal="center" vertical="center" wrapText="1"/>
    </xf>
    <xf numFmtId="0" fontId="74" fillId="2" borderId="0" xfId="0" applyNumberFormat="1" applyFont="1" applyFill="1" applyBorder="1" applyAlignment="1" applyProtection="1">
      <alignment vertical="center" wrapText="1"/>
    </xf>
    <xf numFmtId="0" fontId="69" fillId="2" borderId="151" xfId="0" applyFont="1" applyFill="1" applyBorder="1" applyAlignment="1" applyProtection="1">
      <alignment horizontal="center"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6" fontId="64" fillId="2" borderId="84" xfId="0" applyNumberFormat="1" applyFont="1" applyFill="1" applyBorder="1" applyAlignment="1" applyProtection="1">
      <alignment horizontal="center" vertical="center" wrapText="1"/>
    </xf>
    <xf numFmtId="186" fontId="64" fillId="2" borderId="87" xfId="0" applyNumberFormat="1" applyFont="1" applyFill="1" applyBorder="1" applyAlignment="1" applyProtection="1">
      <alignment horizontal="center" vertical="center" wrapText="1"/>
    </xf>
    <xf numFmtId="0" fontId="64"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2" xfId="0" applyNumberFormat="1" applyFont="1" applyFill="1" applyBorder="1" applyAlignment="1" applyProtection="1">
      <alignment horizontal="center" vertical="center" wrapText="1"/>
      <protection locked="0"/>
    </xf>
    <xf numFmtId="0" fontId="47" fillId="2" borderId="153" xfId="0" applyNumberFormat="1" applyFont="1" applyFill="1" applyBorder="1" applyAlignment="1" applyProtection="1">
      <alignment horizontal="center" vertical="center" wrapText="1"/>
    </xf>
    <xf numFmtId="0" fontId="47" fillId="2" borderId="147" xfId="0" applyNumberFormat="1" applyFont="1" applyFill="1" applyBorder="1" applyAlignment="1" applyProtection="1">
      <alignment horizontal="center" vertical="center" wrapText="1"/>
    </xf>
    <xf numFmtId="186" fontId="68" fillId="2" borderId="87" xfId="0" applyNumberFormat="1" applyFont="1" applyFill="1" applyBorder="1" applyAlignment="1" applyProtection="1">
      <alignment horizontal="center" vertical="center"/>
    </xf>
    <xf numFmtId="185" fontId="68" fillId="10" borderId="87" xfId="0" applyNumberFormat="1" applyFont="1" applyFill="1" applyBorder="1" applyAlignment="1" applyProtection="1">
      <alignment horizontal="left" vertical="center" wrapText="1"/>
    </xf>
    <xf numFmtId="186" fontId="68" fillId="2" borderId="11" xfId="0" applyNumberFormat="1" applyFont="1" applyFill="1" applyBorder="1" applyAlignment="1" applyProtection="1">
      <alignment horizontal="center" vertical="center" wrapText="1"/>
    </xf>
    <xf numFmtId="0" fontId="67" fillId="0" borderId="70" xfId="0" applyFont="1" applyFill="1" applyBorder="1" applyAlignment="1" applyProtection="1">
      <alignment horizontal="center" vertical="center"/>
      <protection locked="0"/>
    </xf>
    <xf numFmtId="0" fontId="68" fillId="0" borderId="70" xfId="0" applyFont="1" applyBorder="1" applyAlignment="1" applyProtection="1">
      <protection locked="0"/>
    </xf>
    <xf numFmtId="49" fontId="64" fillId="0" borderId="70" xfId="0" applyNumberFormat="1" applyFont="1" applyFill="1" applyBorder="1" applyAlignment="1" applyProtection="1">
      <alignment horizontal="center" vertical="center"/>
      <protection locked="0"/>
    </xf>
    <xf numFmtId="9" fontId="64"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4"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66" fillId="0" borderId="70" xfId="0" applyFont="1" applyFill="1" applyBorder="1" applyAlignment="1" applyProtection="1">
      <alignment horizontal="center" vertical="center" wrapText="1"/>
      <protection locked="0"/>
    </xf>
    <xf numFmtId="0" fontId="66" fillId="0" borderId="70" xfId="0" applyFont="1" applyFill="1" applyBorder="1" applyAlignment="1" applyProtection="1">
      <alignment horizontal="center" vertical="center"/>
      <protection locked="0"/>
    </xf>
    <xf numFmtId="0" fontId="66" fillId="0" borderId="70" xfId="0" applyFont="1" applyFill="1" applyBorder="1" applyAlignment="1" applyProtection="1">
      <alignment vertical="center" wrapText="1"/>
      <protection locked="0"/>
    </xf>
    <xf numFmtId="0" fontId="64" fillId="0" borderId="70" xfId="0" applyFont="1" applyFill="1" applyBorder="1" applyAlignment="1" applyProtection="1">
      <alignment vertical="center" wrapText="1"/>
      <protection locked="0"/>
    </xf>
    <xf numFmtId="0" fontId="66" fillId="2" borderId="7" xfId="0" applyNumberFormat="1" applyFont="1" applyFill="1" applyBorder="1" applyAlignment="1" applyProtection="1">
      <alignment horizontal="center" vertical="center" wrapText="1"/>
    </xf>
    <xf numFmtId="0" fontId="66" fillId="2" borderId="7" xfId="0" applyNumberFormat="1" applyFont="1" applyFill="1" applyBorder="1" applyAlignment="1" applyProtection="1">
      <alignment horizontal="left" vertical="center" wrapText="1"/>
    </xf>
    <xf numFmtId="0" fontId="66" fillId="2" borderId="8" xfId="0" applyNumberFormat="1" applyFont="1" applyFill="1" applyBorder="1" applyAlignment="1" applyProtection="1">
      <alignment horizontal="center" vertical="center" wrapText="1"/>
    </xf>
    <xf numFmtId="0" fontId="95" fillId="0" borderId="0" xfId="0" applyFont="1" applyFill="1" applyAlignment="1" applyProtection="1">
      <alignment horizontal="left" vertical="center"/>
      <protection locked="0"/>
    </xf>
    <xf numFmtId="0" fontId="24" fillId="2" borderId="106"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8" fillId="2" borderId="73" xfId="0" applyFont="1" applyFill="1" applyBorder="1" applyAlignment="1" applyProtection="1">
      <alignment horizontal="center" vertical="center"/>
    </xf>
    <xf numFmtId="0" fontId="68" fillId="2" borderId="124" xfId="0" applyFont="1" applyFill="1" applyBorder="1" applyAlignment="1" applyProtection="1">
      <alignment horizontal="center" vertical="center"/>
    </xf>
    <xf numFmtId="0" fontId="47" fillId="2" borderId="114"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4"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5"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4"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4"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6"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24"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24"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3"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87"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3" applyFont="1" applyFill="1" applyBorder="1" applyAlignment="1" applyProtection="1">
      <alignment vertical="center"/>
    </xf>
    <xf numFmtId="0" fontId="87" fillId="2" borderId="6" xfId="0" applyFont="1" applyFill="1" applyBorder="1" applyAlignment="1">
      <alignment horizontal="left" vertical="center"/>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87" fillId="7" borderId="0" xfId="0" applyFont="1" applyFill="1" applyBorder="1">
      <alignment vertical="center"/>
    </xf>
    <xf numFmtId="0" fontId="87"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63" fillId="0"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8" fillId="2" borderId="39" xfId="0" applyNumberFormat="1" applyFont="1" applyFill="1" applyBorder="1" applyAlignment="1" applyProtection="1"/>
    <xf numFmtId="49" fontId="48" fillId="13" borderId="146"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63" fillId="2" borderId="0" xfId="0" applyFont="1" applyFill="1" applyAlignment="1" applyProtection="1">
      <alignment vertical="center"/>
      <protection locked="0"/>
    </xf>
    <xf numFmtId="190" fontId="90"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3" applyFont="1" applyFill="1" applyBorder="1" applyAlignment="1" applyProtection="1">
      <alignment vertical="center"/>
    </xf>
    <xf numFmtId="0" fontId="90"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90" fillId="2" borderId="68" xfId="0" applyNumberFormat="1" applyFont="1" applyFill="1" applyBorder="1" applyAlignment="1" applyProtection="1">
      <alignment vertical="center"/>
    </xf>
    <xf numFmtId="0" fontId="90"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90"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90"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90"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90" fillId="2" borderId="76" xfId="0" applyNumberFormat="1" applyFont="1" applyFill="1" applyBorder="1" applyAlignment="1" applyProtection="1">
      <alignment vertical="center"/>
    </xf>
    <xf numFmtId="0" fontId="90"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90"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90" fillId="3" borderId="69" xfId="0" applyNumberFormat="1" applyFont="1" applyFill="1" applyBorder="1" applyAlignment="1" applyProtection="1">
      <alignment horizontal="center" vertical="center"/>
      <protection locked="0"/>
    </xf>
    <xf numFmtId="49" fontId="90" fillId="2" borderId="110" xfId="0" applyNumberFormat="1" applyFont="1" applyFill="1" applyBorder="1" applyAlignment="1" applyProtection="1">
      <alignment vertical="center"/>
    </xf>
    <xf numFmtId="0" fontId="102" fillId="2" borderId="7" xfId="0" applyFont="1" applyFill="1" applyBorder="1" applyAlignment="1" applyProtection="1">
      <alignment horizontal="right" vertical="center" wrapText="1"/>
    </xf>
    <xf numFmtId="0" fontId="90" fillId="2" borderId="7" xfId="0" applyFont="1" applyFill="1" applyBorder="1" applyAlignment="1" applyProtection="1">
      <alignment horizontal="center" vertical="center"/>
      <protection locked="0"/>
    </xf>
    <xf numFmtId="181" fontId="90" fillId="2" borderId="69" xfId="0" applyNumberFormat="1" applyFont="1" applyFill="1" applyBorder="1" applyAlignment="1" applyProtection="1">
      <alignment horizontal="center" vertical="center"/>
    </xf>
    <xf numFmtId="49" fontId="90" fillId="2" borderId="114"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50" xfId="0" applyFont="1" applyFill="1" applyBorder="1" applyAlignment="1" applyProtection="1">
      <alignment vertical="center" wrapText="1"/>
    </xf>
    <xf numFmtId="0" fontId="90"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90" fillId="2" borderId="120" xfId="0" applyNumberFormat="1" applyFont="1" applyFill="1" applyBorder="1" applyAlignment="1" applyProtection="1">
      <alignment horizontal="center" vertical="center"/>
    </xf>
    <xf numFmtId="49" fontId="90" fillId="2" borderId="110" xfId="0" applyNumberFormat="1" applyFont="1" applyFill="1" applyBorder="1" applyAlignment="1" applyProtection="1">
      <alignment horizontal="left" vertical="center"/>
    </xf>
    <xf numFmtId="0" fontId="90" fillId="2" borderId="16" xfId="0" applyFont="1" applyFill="1" applyBorder="1" applyAlignment="1" applyProtection="1">
      <alignment horizontal="left" vertical="center"/>
    </xf>
    <xf numFmtId="0" fontId="90"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90"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83" fillId="15"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20" xfId="0" applyNumberFormat="1" applyFont="1" applyFill="1" applyBorder="1" applyAlignment="1" applyProtection="1">
      <alignment horizontal="center" vertical="center"/>
    </xf>
    <xf numFmtId="49" fontId="90"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85" fillId="2" borderId="0" xfId="0" applyNumberFormat="1" applyFont="1" applyFill="1" applyBorder="1" applyAlignment="1" applyProtection="1">
      <alignment horizontal="left" vertical="center"/>
      <protection locked="0"/>
    </xf>
    <xf numFmtId="0" fontId="54" fillId="13"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0" xfId="0" applyNumberFormat="1" applyFont="1" applyFill="1" applyBorder="1" applyAlignment="1" applyProtection="1">
      <alignment horizontal="left" vertical="center"/>
    </xf>
    <xf numFmtId="10" fontId="90" fillId="2" borderId="8" xfId="0" applyNumberFormat="1" applyFont="1" applyFill="1" applyBorder="1" applyAlignment="1" applyProtection="1">
      <alignment horizontal="center" vertical="center"/>
    </xf>
    <xf numFmtId="191" fontId="90" fillId="2" borderId="8" xfId="0" applyNumberFormat="1" applyFont="1" applyFill="1" applyBorder="1" applyAlignment="1" applyProtection="1">
      <alignment horizontal="center" vertical="center"/>
    </xf>
    <xf numFmtId="0" fontId="90"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90"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90"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90"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90" fillId="2" borderId="16" xfId="0" applyFont="1" applyFill="1" applyBorder="1" applyAlignment="1" applyProtection="1">
      <alignment vertical="center" wrapText="1"/>
    </xf>
    <xf numFmtId="0" fontId="90" fillId="2" borderId="10" xfId="0" applyFont="1" applyFill="1" applyBorder="1" applyAlignment="1" applyProtection="1">
      <alignment horizontal="left" vertical="center"/>
    </xf>
    <xf numFmtId="0" fontId="90"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90" fillId="2" borderId="11" xfId="0" applyNumberFormat="1" applyFont="1" applyFill="1" applyBorder="1" applyAlignment="1" applyProtection="1">
      <alignment horizontal="center" vertical="center"/>
    </xf>
    <xf numFmtId="0" fontId="54" fillId="15" borderId="0" xfId="0" applyFont="1" applyFill="1" applyAlignment="1" applyProtection="1">
      <protection locked="0"/>
    </xf>
    <xf numFmtId="0" fontId="54" fillId="15" borderId="0" xfId="0" applyFont="1" applyFill="1" applyAlignment="1" applyProtection="1">
      <alignment horizontal="center"/>
      <protection locked="0"/>
    </xf>
    <xf numFmtId="0" fontId="3" fillId="15" borderId="0" xfId="0" applyFont="1" applyFill="1" applyAlignment="1" applyProtection="1">
      <protection locked="0"/>
    </xf>
    <xf numFmtId="0" fontId="54" fillId="2" borderId="0" xfId="0" applyFont="1" applyFill="1" applyAlignment="1" applyProtection="1"/>
    <xf numFmtId="0" fontId="84" fillId="2" borderId="0" xfId="0" applyFont="1" applyFill="1" applyAlignment="1" applyProtection="1">
      <protection locked="0"/>
    </xf>
    <xf numFmtId="0" fontId="85" fillId="15" borderId="0" xfId="0" applyFont="1" applyFill="1" applyAlignment="1" applyProtection="1">
      <protection locked="0"/>
    </xf>
    <xf numFmtId="0" fontId="25" fillId="2" borderId="106" xfId="0" applyFont="1" applyFill="1" applyBorder="1" applyAlignment="1" applyProtection="1">
      <alignment horizontal="center" vertical="center"/>
    </xf>
    <xf numFmtId="0" fontId="54" fillId="2" borderId="124"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5"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5" borderId="0" xfId="0" applyNumberFormat="1" applyFont="1" applyFill="1" applyBorder="1" applyAlignment="1" applyProtection="1">
      <alignment horizontal="left" vertical="center"/>
      <protection locked="0"/>
    </xf>
    <xf numFmtId="49" fontId="90" fillId="2" borderId="145" xfId="0" applyNumberFormat="1" applyFont="1" applyFill="1" applyBorder="1" applyAlignment="1" applyProtection="1">
      <alignment horizontal="left" vertical="center"/>
      <protection locked="0"/>
    </xf>
    <xf numFmtId="0" fontId="90" fillId="2" borderId="93" xfId="0" applyFont="1" applyFill="1" applyBorder="1" applyAlignment="1" applyProtection="1">
      <alignment vertical="center" wrapText="1"/>
      <protection locked="0"/>
    </xf>
    <xf numFmtId="0" fontId="90"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5" borderId="8" xfId="0" applyFont="1" applyFill="1" applyBorder="1" applyAlignment="1" applyProtection="1">
      <alignment horizontal="center" vertical="center"/>
      <protection locked="0"/>
    </xf>
    <xf numFmtId="0" fontId="25" fillId="15" borderId="0" xfId="0" applyFont="1" applyFill="1" applyBorder="1" applyAlignment="1" applyProtection="1">
      <alignment vertical="center"/>
      <protection locked="0"/>
    </xf>
    <xf numFmtId="49" fontId="90" fillId="2" borderId="70" xfId="0" applyNumberFormat="1" applyFont="1" applyFill="1" applyBorder="1" applyAlignment="1" applyProtection="1">
      <alignment horizontal="center" vertical="center"/>
      <protection locked="0"/>
    </xf>
    <xf numFmtId="0" fontId="90" fillId="2" borderId="92" xfId="0" applyFont="1" applyFill="1" applyBorder="1" applyAlignment="1" applyProtection="1">
      <alignment vertical="center" wrapText="1"/>
      <protection locked="0"/>
    </xf>
    <xf numFmtId="0" fontId="90"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90" fillId="2" borderId="85" xfId="0" applyFont="1" applyFill="1" applyBorder="1" applyAlignment="1" applyProtection="1">
      <alignment horizontal="center" vertical="center"/>
    </xf>
    <xf numFmtId="49" fontId="90"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90" fillId="0" borderId="8" xfId="0" applyNumberFormat="1" applyFont="1" applyFill="1" applyBorder="1" applyAlignment="1" applyProtection="1">
      <alignment horizontal="center" vertical="center"/>
      <protection locked="0"/>
    </xf>
    <xf numFmtId="49" fontId="90" fillId="2" borderId="86" xfId="0" applyNumberFormat="1" applyFont="1" applyFill="1" applyBorder="1" applyAlignment="1" applyProtection="1">
      <alignment horizontal="left" vertical="center"/>
      <protection locked="0"/>
    </xf>
    <xf numFmtId="0" fontId="102"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90" fillId="2" borderId="6" xfId="0" applyNumberFormat="1" applyFont="1" applyFill="1" applyBorder="1" applyAlignment="1" applyProtection="1">
      <alignment horizontal="left" vertical="center"/>
      <protection locked="0"/>
    </xf>
    <xf numFmtId="0" fontId="90"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90"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69" fillId="2" borderId="0" xfId="0" applyNumberFormat="1" applyFont="1" applyFill="1" applyBorder="1" applyAlignment="1" applyProtection="1">
      <alignment horizontal="center"/>
      <protection locked="0"/>
    </xf>
    <xf numFmtId="49" fontId="69" fillId="2" borderId="0" xfId="0" applyNumberFormat="1" applyFont="1" applyFill="1" applyBorder="1" applyAlignment="1" applyProtection="1">
      <alignment horizontal="left"/>
      <protection locked="0"/>
    </xf>
    <xf numFmtId="0" fontId="63" fillId="1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4" fillId="2" borderId="12" xfId="0" applyFont="1" applyFill="1" applyBorder="1" applyAlignment="1" applyProtection="1">
      <alignment vertical="center"/>
    </xf>
    <xf numFmtId="0" fontId="84"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90" fillId="2" borderId="125" xfId="0" applyNumberFormat="1" applyFont="1" applyFill="1" applyBorder="1" applyAlignment="1" applyProtection="1">
      <alignment horizontal="center" vertical="center"/>
    </xf>
    <xf numFmtId="0" fontId="54" fillId="2" borderId="104" xfId="0" applyFont="1" applyFill="1" applyBorder="1" applyAlignment="1" applyProtection="1">
      <alignment vertical="center"/>
    </xf>
    <xf numFmtId="181" fontId="90" fillId="2" borderId="2" xfId="0" applyNumberFormat="1" applyFont="1" applyFill="1" applyBorder="1" applyAlignment="1" applyProtection="1">
      <alignment horizontal="center" vertical="center"/>
    </xf>
    <xf numFmtId="0" fontId="90"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04" xfId="0" applyFont="1" applyFill="1" applyBorder="1" applyAlignment="1" applyProtection="1">
      <alignment horizontal="left" vertical="center"/>
    </xf>
    <xf numFmtId="0" fontId="54" fillId="2" borderId="105"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90" fillId="2" borderId="0" xfId="0" applyFont="1" applyFill="1" applyAlignment="1" applyProtection="1">
      <alignment horizontal="left"/>
      <protection locked="0"/>
    </xf>
    <xf numFmtId="0" fontId="90"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5" borderId="0" xfId="0" applyFont="1" applyFill="1" applyAlignment="1" applyProtection="1">
      <alignment horizontal="left" vertical="center"/>
      <protection locked="0"/>
    </xf>
    <xf numFmtId="0" fontId="85" fillId="2" borderId="0" xfId="0" applyFont="1" applyFill="1" applyAlignment="1" applyProtection="1">
      <alignment vertical="center"/>
    </xf>
    <xf numFmtId="0" fontId="85" fillId="15" borderId="108" xfId="0" applyFont="1" applyFill="1" applyBorder="1" applyAlignment="1" applyProtection="1">
      <alignment vertical="center"/>
      <protection locked="0"/>
    </xf>
    <xf numFmtId="0" fontId="25" fillId="15" borderId="109" xfId="0" applyFont="1" applyFill="1" applyBorder="1" applyAlignment="1" applyProtection="1">
      <alignment vertical="center"/>
      <protection locked="0"/>
    </xf>
    <xf numFmtId="0" fontId="25" fillId="15" borderId="123"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23"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8"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5"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8"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5"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5"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23"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06"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0"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23"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90"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90" fillId="2" borderId="68" xfId="0" applyNumberFormat="1" applyFont="1" applyFill="1" applyBorder="1" applyAlignment="1" applyProtection="1">
      <alignment vertical="center"/>
      <protection locked="0"/>
    </xf>
    <xf numFmtId="0" fontId="90" fillId="2" borderId="12" xfId="0" applyFont="1" applyFill="1" applyBorder="1" applyAlignment="1" applyProtection="1">
      <alignment vertical="center" wrapText="1"/>
      <protection locked="0"/>
    </xf>
    <xf numFmtId="49" fontId="90" fillId="2" borderId="76" xfId="0" applyNumberFormat="1" applyFont="1" applyFill="1" applyBorder="1" applyAlignment="1" applyProtection="1">
      <alignment vertical="center"/>
      <protection locked="0"/>
    </xf>
    <xf numFmtId="0" fontId="90"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90" fillId="2" borderId="110" xfId="0" applyNumberFormat="1" applyFont="1" applyFill="1" applyBorder="1" applyAlignment="1" applyProtection="1">
      <alignment vertical="center"/>
      <protection locked="0"/>
    </xf>
    <xf numFmtId="0" fontId="90" fillId="2" borderId="16" xfId="0" applyFont="1" applyFill="1" applyBorder="1" applyAlignment="1" applyProtection="1">
      <alignment vertical="center" wrapText="1"/>
      <protection locked="0"/>
    </xf>
    <xf numFmtId="49" fontId="90" fillId="2" borderId="9" xfId="0" applyNumberFormat="1" applyFont="1" applyFill="1" applyBorder="1" applyAlignment="1" applyProtection="1">
      <alignment horizontal="left" vertical="center"/>
      <protection locked="0"/>
    </xf>
    <xf numFmtId="0" fontId="90"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90"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3"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90"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90" fillId="2" borderId="92" xfId="0" applyFont="1" applyFill="1" applyBorder="1" applyAlignment="1" applyProtection="1">
      <alignment horizontal="center" vertical="center"/>
    </xf>
    <xf numFmtId="49" fontId="90"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90" fillId="2" borderId="110" xfId="0" applyNumberFormat="1" applyFont="1" applyFill="1" applyBorder="1" applyAlignment="1" applyProtection="1">
      <alignment horizontal="left" vertical="center"/>
      <protection locked="0"/>
    </xf>
    <xf numFmtId="0" fontId="85" fillId="2" borderId="0" xfId="0" applyFont="1" applyFill="1" applyAlignment="1" applyProtection="1">
      <alignment vertical="center"/>
      <protection locked="0"/>
    </xf>
    <xf numFmtId="0" fontId="104" fillId="0" borderId="6" xfId="0" applyFont="1" applyFill="1" applyBorder="1" applyAlignment="1" applyProtection="1">
      <alignment horizontal="center" vertical="center" wrapText="1"/>
      <protection locked="0"/>
    </xf>
    <xf numFmtId="0" fontId="93" fillId="15"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4" fillId="15" borderId="0" xfId="0" applyFont="1" applyFill="1" applyAlignment="1" applyProtection="1">
      <alignment vertical="center"/>
      <protection locked="0"/>
    </xf>
    <xf numFmtId="0" fontId="66" fillId="15"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83" fillId="12" borderId="0" xfId="0" applyFont="1" applyFill="1" applyAlignment="1" applyProtection="1">
      <alignment vertical="center"/>
      <protection locked="0"/>
    </xf>
    <xf numFmtId="0" fontId="66" fillId="12" borderId="0" xfId="0" applyFont="1" applyFill="1" applyAlignment="1" applyProtection="1">
      <alignment vertical="center" wrapText="1"/>
      <protection locked="0"/>
    </xf>
    <xf numFmtId="0" fontId="83"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91" fillId="3" borderId="13" xfId="53" applyFont="1" applyFill="1" applyBorder="1" applyAlignment="1" applyProtection="1">
      <alignment horizontal="left" vertical="center"/>
      <protection locked="0"/>
    </xf>
    <xf numFmtId="0" fontId="91" fillId="3" borderId="14" xfId="53" applyFont="1" applyFill="1" applyBorder="1" applyAlignment="1" applyProtection="1">
      <alignment vertical="center"/>
    </xf>
    <xf numFmtId="0" fontId="91" fillId="7" borderId="0" xfId="53" applyFont="1" applyFill="1" applyBorder="1" applyAlignment="1" applyProtection="1">
      <alignment vertical="center"/>
    </xf>
    <xf numFmtId="0" fontId="54" fillId="7" borderId="0" xfId="0" applyFont="1" applyFill="1" applyAlignment="1" applyProtection="1">
      <alignment vertical="center"/>
      <protection locked="0"/>
    </xf>
    <xf numFmtId="0" fontId="91" fillId="2" borderId="0" xfId="53" applyFont="1" applyFill="1" applyBorder="1" applyAlignment="1" applyProtection="1">
      <alignment vertical="center"/>
    </xf>
    <xf numFmtId="0" fontId="91" fillId="2" borderId="82" xfId="0" applyFont="1" applyFill="1" applyBorder="1" applyAlignment="1" applyProtection="1">
      <alignment vertical="center"/>
    </xf>
    <xf numFmtId="0" fontId="91" fillId="2" borderId="83" xfId="0" applyFont="1" applyFill="1" applyBorder="1" applyAlignment="1" applyProtection="1">
      <alignment vertical="center"/>
    </xf>
    <xf numFmtId="180" fontId="74" fillId="2" borderId="74" xfId="0" applyNumberFormat="1" applyFont="1" applyFill="1" applyBorder="1" applyAlignment="1" applyProtection="1">
      <alignment horizontal="center" vertical="center"/>
    </xf>
    <xf numFmtId="0" fontId="74" fillId="2" borderId="6" xfId="0" applyFont="1" applyFill="1" applyBorder="1" applyAlignment="1" applyProtection="1">
      <alignment horizontal="center" vertical="center"/>
    </xf>
    <xf numFmtId="0" fontId="7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4" fillId="2" borderId="13" xfId="0" applyFont="1" applyFill="1" applyBorder="1" applyAlignment="1" applyProtection="1">
      <alignment vertical="center"/>
    </xf>
    <xf numFmtId="180" fontId="74" fillId="2" borderId="7" xfId="0" applyNumberFormat="1"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4" fillId="2" borderId="15" xfId="0" applyFont="1" applyFill="1" applyBorder="1" applyAlignment="1" applyProtection="1">
      <alignment vertical="center"/>
    </xf>
    <xf numFmtId="0" fontId="54" fillId="2" borderId="6" xfId="53" applyFont="1" applyFill="1" applyBorder="1" applyAlignment="1" applyProtection="1">
      <alignment horizontal="right" vertical="center"/>
    </xf>
    <xf numFmtId="0" fontId="54" fillId="2" borderId="13" xfId="53"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3" applyNumberFormat="1" applyFont="1" applyFill="1" applyBorder="1" applyAlignment="1" applyProtection="1">
      <alignment horizontal="center" vertical="center"/>
    </xf>
    <xf numFmtId="10" fontId="54" fillId="2" borderId="7" xfId="53" applyNumberFormat="1" applyFont="1" applyFill="1" applyBorder="1" applyAlignment="1" applyProtection="1">
      <alignment horizontal="center" vertical="center"/>
    </xf>
    <xf numFmtId="0" fontId="54" fillId="2" borderId="7" xfId="53" applyNumberFormat="1" applyFont="1" applyFill="1" applyBorder="1" applyAlignment="1" applyProtection="1">
      <alignment horizontal="center" vertical="center"/>
    </xf>
    <xf numFmtId="9" fontId="54" fillId="2" borderId="7" xfId="53" applyNumberFormat="1" applyFont="1" applyFill="1" applyBorder="1" applyAlignment="1" applyProtection="1">
      <alignment horizontal="center" vertical="center"/>
    </xf>
    <xf numFmtId="178" fontId="54" fillId="2" borderId="7" xfId="53" applyNumberFormat="1" applyFont="1" applyFill="1" applyBorder="1" applyAlignment="1" applyProtection="1">
      <alignment horizontal="center" vertical="center"/>
    </xf>
    <xf numFmtId="178" fontId="54" fillId="2" borderId="7" xfId="53" applyNumberFormat="1" applyFont="1" applyFill="1" applyBorder="1" applyAlignment="1" applyProtection="1">
      <alignment vertical="center"/>
    </xf>
    <xf numFmtId="0" fontId="54" fillId="2" borderId="38" xfId="0" applyFont="1" applyFill="1" applyBorder="1" applyAlignment="1" applyProtection="1">
      <alignment vertical="center"/>
    </xf>
    <xf numFmtId="0" fontId="85" fillId="3" borderId="13" xfId="53"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4" fillId="2" borderId="13" xfId="53" applyFont="1" applyFill="1" applyBorder="1" applyAlignment="1" applyProtection="1">
      <alignment vertical="center"/>
    </xf>
    <xf numFmtId="178" fontId="74" fillId="2" borderId="7" xfId="53" applyNumberFormat="1" applyFont="1" applyFill="1" applyBorder="1" applyAlignment="1" applyProtection="1">
      <alignment horizontal="center" vertical="center"/>
    </xf>
    <xf numFmtId="0" fontId="74" fillId="2" borderId="7" xfId="53" applyFont="1" applyFill="1" applyBorder="1" applyAlignment="1" applyProtection="1">
      <alignment vertical="center"/>
    </xf>
    <xf numFmtId="178" fontId="74" fillId="2" borderId="7" xfId="53" applyNumberFormat="1" applyFont="1" applyFill="1" applyBorder="1" applyAlignment="1" applyProtection="1">
      <alignment vertical="center"/>
    </xf>
    <xf numFmtId="10" fontId="74" fillId="2" borderId="7" xfId="53" applyNumberFormat="1" applyFont="1" applyFill="1" applyBorder="1" applyAlignment="1" applyProtection="1">
      <alignment horizontal="center" vertical="center"/>
    </xf>
    <xf numFmtId="0" fontId="74" fillId="2" borderId="7" xfId="0" applyFont="1" applyFill="1" applyBorder="1" applyAlignment="1" applyProtection="1">
      <alignment horizontal="right" vertical="center"/>
    </xf>
    <xf numFmtId="0" fontId="64" fillId="2" borderId="15" xfId="0" applyFont="1" applyFill="1" applyBorder="1" applyAlignment="1" applyProtection="1">
      <alignment vertical="center"/>
    </xf>
    <xf numFmtId="178" fontId="74" fillId="2" borderId="0" xfId="0" applyNumberFormat="1" applyFont="1" applyFill="1" applyBorder="1" applyAlignment="1" applyProtection="1">
      <alignment horizontal="center" vertical="center"/>
    </xf>
    <xf numFmtId="178" fontId="74" fillId="2" borderId="15" xfId="53" applyNumberFormat="1" applyFont="1" applyFill="1" applyBorder="1" applyAlignment="1" applyProtection="1">
      <alignment vertical="center"/>
    </xf>
    <xf numFmtId="10" fontId="74" fillId="2" borderId="12" xfId="0" applyNumberFormat="1" applyFont="1" applyFill="1" applyBorder="1" applyAlignment="1" applyProtection="1">
      <alignment horizontal="center" vertical="center"/>
    </xf>
    <xf numFmtId="0" fontId="54" fillId="2" borderId="7" xfId="53"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8" fontId="54" fillId="2" borderId="15" xfId="53"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4" fillId="2" borderId="7" xfId="53" applyFont="1" applyFill="1" applyBorder="1" applyAlignment="1" applyProtection="1">
      <alignment vertical="center" wrapText="1"/>
    </xf>
    <xf numFmtId="178" fontId="74" fillId="2" borderId="14" xfId="0" applyNumberFormat="1" applyFont="1" applyFill="1" applyBorder="1" applyAlignment="1" applyProtection="1">
      <alignment horizontal="center" vertical="center" wrapText="1"/>
    </xf>
    <xf numFmtId="0" fontId="64" fillId="2" borderId="13" xfId="0" applyFont="1" applyFill="1" applyBorder="1" applyAlignment="1" applyProtection="1">
      <alignment vertical="center"/>
    </xf>
    <xf numFmtId="0" fontId="54" fillId="2" borderId="13" xfId="53"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4" fillId="2" borderId="75" xfId="53" applyFont="1" applyFill="1" applyBorder="1" applyAlignment="1" applyProtection="1">
      <alignment vertical="center"/>
    </xf>
    <xf numFmtId="178" fontId="74" fillId="2" borderId="10" xfId="0" applyNumberFormat="1" applyFont="1" applyFill="1" applyBorder="1" applyAlignment="1" applyProtection="1">
      <alignment horizontal="center" vertical="center"/>
    </xf>
    <xf numFmtId="0" fontId="74" fillId="2" borderId="10" xfId="0" applyFont="1" applyFill="1" applyBorder="1" applyAlignment="1" applyProtection="1">
      <alignment vertical="center"/>
    </xf>
    <xf numFmtId="178" fontId="74" fillId="2" borderId="10" xfId="0" applyNumberFormat="1" applyFont="1" applyFill="1" applyBorder="1" applyAlignment="1" applyProtection="1">
      <alignment vertical="center"/>
    </xf>
    <xf numFmtId="10" fontId="74" fillId="2" borderId="10" xfId="0" applyNumberFormat="1" applyFont="1" applyFill="1" applyBorder="1" applyAlignment="1" applyProtection="1">
      <alignment horizontal="center" vertical="center"/>
    </xf>
    <xf numFmtId="178" fontId="74" fillId="2" borderId="75" xfId="0" applyNumberFormat="1" applyFont="1" applyFill="1" applyBorder="1" applyAlignment="1" applyProtection="1">
      <alignment vertical="center"/>
    </xf>
    <xf numFmtId="178" fontId="74" fillId="2" borderId="90" xfId="0" applyNumberFormat="1" applyFont="1" applyFill="1" applyBorder="1" applyAlignment="1" applyProtection="1">
      <alignment vertical="center"/>
    </xf>
    <xf numFmtId="0" fontId="74" fillId="2" borderId="107" xfId="0" applyFont="1" applyFill="1" applyBorder="1" applyAlignment="1" applyProtection="1">
      <alignment vertical="center"/>
    </xf>
    <xf numFmtId="0" fontId="74" fillId="2" borderId="18" xfId="0" applyFont="1" applyFill="1" applyBorder="1" applyAlignment="1" applyProtection="1">
      <alignment vertical="center"/>
    </xf>
    <xf numFmtId="180" fontId="91" fillId="2" borderId="77" xfId="0" applyNumberFormat="1" applyFont="1" applyFill="1" applyBorder="1" applyAlignment="1" applyProtection="1">
      <alignment horizontal="center" vertical="center"/>
    </xf>
    <xf numFmtId="0" fontId="91" fillId="2" borderId="115" xfId="0" applyFont="1" applyFill="1" applyBorder="1" applyAlignment="1" applyProtection="1">
      <alignment vertical="center"/>
    </xf>
    <xf numFmtId="0" fontId="91" fillId="2" borderId="0" xfId="53" applyFont="1" applyFill="1" applyBorder="1" applyAlignment="1" applyProtection="1">
      <alignment horizontal="center" vertical="center"/>
    </xf>
    <xf numFmtId="0" fontId="91" fillId="2" borderId="84" xfId="0" applyFont="1" applyFill="1" applyBorder="1" applyAlignment="1" applyProtection="1">
      <alignment vertical="center"/>
    </xf>
    <xf numFmtId="0" fontId="74" fillId="15"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5"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74" fillId="2" borderId="87" xfId="0" applyFont="1" applyFill="1" applyBorder="1" applyAlignment="1" applyProtection="1">
      <alignment vertical="center"/>
    </xf>
    <xf numFmtId="0" fontId="90"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4" fillId="2" borderId="87" xfId="0" applyFont="1" applyFill="1" applyBorder="1" applyAlignment="1" applyProtection="1">
      <alignment vertical="center"/>
    </xf>
    <xf numFmtId="178" fontId="74" fillId="2" borderId="91" xfId="0" applyNumberFormat="1" applyFont="1" applyFill="1" applyBorder="1" applyAlignment="1" applyProtection="1">
      <alignment vertical="center"/>
    </xf>
    <xf numFmtId="0" fontId="74" fillId="2" borderId="72" xfId="0" applyFont="1" applyFill="1" applyBorder="1" applyAlignment="1" applyProtection="1">
      <alignment vertical="center"/>
    </xf>
    <xf numFmtId="49" fontId="69" fillId="13" borderId="146" xfId="0" applyNumberFormat="1" applyFont="1" applyFill="1" applyBorder="1" applyAlignment="1" applyProtection="1">
      <alignment horizontal="right"/>
      <protection locked="0"/>
    </xf>
    <xf numFmtId="0" fontId="105" fillId="2" borderId="73" xfId="53" applyFont="1" applyFill="1" applyBorder="1" applyAlignment="1" applyProtection="1">
      <alignment vertical="center"/>
    </xf>
    <xf numFmtId="49" fontId="48" fillId="2" borderId="0" xfId="53" applyNumberFormat="1" applyFont="1" applyFill="1" applyBorder="1" applyAlignment="1" applyProtection="1">
      <alignment horizontal="right" vertical="center"/>
    </xf>
    <xf numFmtId="190" fontId="48" fillId="2" borderId="7" xfId="53" applyNumberFormat="1" applyFont="1" applyFill="1" applyBorder="1" applyAlignment="1" applyProtection="1">
      <alignment horizontal="right" vertical="center"/>
    </xf>
    <xf numFmtId="0" fontId="29" fillId="3" borderId="13" xfId="53" applyFont="1" applyFill="1" applyBorder="1" applyAlignment="1" applyProtection="1">
      <alignment vertical="center"/>
      <protection locked="0"/>
    </xf>
    <xf numFmtId="0" fontId="48" fillId="2" borderId="13" xfId="53" applyFont="1" applyFill="1" applyBorder="1" applyAlignment="1" applyProtection="1">
      <alignment horizontal="right" vertical="center"/>
    </xf>
    <xf numFmtId="0" fontId="48" fillId="2" borderId="14" xfId="53" applyFont="1" applyFill="1" applyBorder="1" applyAlignment="1" applyProtection="1">
      <alignment vertical="center"/>
    </xf>
    <xf numFmtId="0" fontId="48" fillId="3" borderId="7" xfId="53" applyFont="1" applyFill="1" applyBorder="1" applyAlignment="1" applyProtection="1">
      <alignment vertical="center"/>
      <protection locked="0"/>
    </xf>
    <xf numFmtId="0" fontId="29" fillId="3" borderId="8" xfId="53"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85" fillId="3" borderId="8" xfId="53" applyFont="1" applyFill="1" applyBorder="1" applyAlignment="1" applyProtection="1">
      <alignment horizontal="right" vertical="center"/>
      <protection locked="0"/>
    </xf>
    <xf numFmtId="0" fontId="85" fillId="12" borderId="14" xfId="0" applyFont="1" applyFill="1" applyBorder="1" applyAlignment="1" applyProtection="1">
      <alignment vertical="center"/>
      <protection locked="0"/>
    </xf>
    <xf numFmtId="0" fontId="85"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5" borderId="0" xfId="0" applyFont="1" applyFill="1" applyProtection="1">
      <alignment vertical="center"/>
    </xf>
    <xf numFmtId="0" fontId="54" fillId="0" borderId="0" xfId="0" applyFont="1" applyProtection="1">
      <alignment vertical="center"/>
    </xf>
    <xf numFmtId="0" fontId="10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3" fillId="2" borderId="12" xfId="0" applyFont="1" applyFill="1" applyBorder="1" applyProtection="1">
      <alignment vertical="center"/>
    </xf>
    <xf numFmtId="0" fontId="93" fillId="3" borderId="12" xfId="0" applyFont="1" applyFill="1" applyBorder="1" applyAlignment="1" applyProtection="1">
      <alignment horizontal="center" vertical="center" wrapText="1"/>
      <protection locked="0"/>
    </xf>
    <xf numFmtId="0" fontId="93" fillId="2" borderId="12" xfId="0" applyNumberFormat="1" applyFont="1" applyFill="1" applyBorder="1" applyProtection="1">
      <alignment vertical="center"/>
    </xf>
    <xf numFmtId="0" fontId="95" fillId="2" borderId="108" xfId="0" applyFont="1" applyFill="1" applyBorder="1" applyAlignment="1" applyProtection="1">
      <alignment horizontal="center" vertical="center"/>
    </xf>
    <xf numFmtId="0" fontId="95" fillId="2" borderId="109" xfId="0" applyFont="1" applyFill="1" applyBorder="1" applyAlignment="1" applyProtection="1">
      <alignment horizontal="center" vertical="center"/>
    </xf>
    <xf numFmtId="0" fontId="54" fillId="2" borderId="114" xfId="0" applyFont="1" applyFill="1" applyBorder="1" applyAlignment="1" applyProtection="1">
      <alignment horizontal="center" vertical="center"/>
    </xf>
    <xf numFmtId="0" fontId="64" fillId="2" borderId="12" xfId="0" applyFont="1" applyFill="1" applyBorder="1" applyAlignment="1" applyProtection="1">
      <alignment vertical="center" wrapText="1"/>
    </xf>
    <xf numFmtId="0" fontId="64" fillId="2" borderId="12" xfId="0" applyFont="1" applyFill="1" applyBorder="1" applyAlignment="1" applyProtection="1">
      <alignment horizontal="center" vertical="center" wrapText="1"/>
    </xf>
    <xf numFmtId="0" fontId="24" fillId="13"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0" borderId="12" xfId="0" applyFont="1" applyBorder="1" applyAlignment="1" applyProtection="1">
      <alignment horizontal="center" vertical="center"/>
      <protection locked="0"/>
    </xf>
    <xf numFmtId="0" fontId="64"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4" fillId="0" borderId="78" xfId="0" applyFont="1" applyBorder="1" applyAlignment="1" applyProtection="1">
      <alignment horizontal="center" vertical="center"/>
      <protection locked="0"/>
    </xf>
    <xf numFmtId="0" fontId="64" fillId="0" borderId="16" xfId="0" applyFont="1" applyBorder="1" applyAlignment="1" applyProtection="1">
      <alignment horizontal="center" vertical="center"/>
      <protection locked="0"/>
    </xf>
    <xf numFmtId="0" fontId="74" fillId="2" borderId="13" xfId="0" applyFont="1" applyFill="1" applyBorder="1" applyAlignment="1" applyProtection="1">
      <alignment horizontal="right" vertical="center"/>
    </xf>
    <xf numFmtId="0" fontId="64" fillId="2" borderId="14" xfId="0" applyFont="1" applyFill="1" applyBorder="1" applyProtection="1">
      <alignment vertical="center"/>
    </xf>
    <xf numFmtId="0" fontId="64" fillId="2" borderId="16" xfId="0" applyFont="1" applyFill="1" applyBorder="1" applyAlignment="1" applyProtection="1">
      <alignment horizontal="center" vertical="center"/>
    </xf>
    <xf numFmtId="0" fontId="74" fillId="2" borderId="92" xfId="0" applyFont="1" applyFill="1" applyBorder="1" applyAlignment="1" applyProtection="1">
      <alignment horizontal="right" vertical="center"/>
    </xf>
    <xf numFmtId="0" fontId="64" fillId="2" borderId="0" xfId="0" applyFont="1" applyFill="1" applyProtection="1">
      <alignment vertical="center"/>
    </xf>
    <xf numFmtId="179" fontId="64"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4" fillId="2" borderId="106" xfId="0" applyFont="1" applyFill="1" applyBorder="1" applyAlignment="1" applyProtection="1">
      <alignment vertical="center"/>
    </xf>
    <xf numFmtId="0" fontId="64"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4"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4" fillId="2" borderId="70" xfId="0" applyFont="1" applyFill="1" applyBorder="1" applyAlignment="1" applyProtection="1">
      <alignment vertical="center"/>
    </xf>
    <xf numFmtId="0" fontId="64" fillId="2" borderId="7" xfId="0" applyFont="1" applyFill="1" applyBorder="1" applyProtection="1">
      <alignment vertical="center"/>
    </xf>
    <xf numFmtId="0" fontId="64" fillId="2" borderId="13" xfId="0" applyFont="1" applyFill="1" applyBorder="1" applyAlignment="1" applyProtection="1">
      <alignment horizontal="right" vertical="center"/>
    </xf>
    <xf numFmtId="0" fontId="64" fillId="2" borderId="10" xfId="0" applyFont="1" applyFill="1" applyBorder="1" applyProtection="1">
      <alignment vertical="center"/>
    </xf>
    <xf numFmtId="0" fontId="64" fillId="2" borderId="10" xfId="0" applyFont="1" applyFill="1" applyBorder="1" applyAlignment="1" applyProtection="1">
      <alignment horizontal="center" vertical="center"/>
    </xf>
    <xf numFmtId="0" fontId="64" fillId="2" borderId="11" xfId="0" applyFont="1" applyFill="1" applyBorder="1" applyAlignment="1" applyProtection="1">
      <alignment horizontal="center" vertical="center"/>
    </xf>
    <xf numFmtId="0" fontId="64"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4" fillId="2" borderId="108" xfId="0" applyFont="1" applyFill="1" applyBorder="1" applyAlignment="1" applyProtection="1">
      <alignment vertical="center"/>
    </xf>
    <xf numFmtId="0" fontId="64" fillId="2" borderId="100" xfId="0" applyFont="1" applyFill="1" applyBorder="1" applyProtection="1">
      <alignment vertical="center"/>
    </xf>
    <xf numFmtId="0" fontId="64" fillId="2" borderId="99" xfId="0" applyFont="1" applyFill="1" applyBorder="1" applyProtection="1">
      <alignment vertical="center"/>
    </xf>
    <xf numFmtId="181" fontId="107" fillId="2" borderId="123" xfId="0" applyNumberFormat="1" applyFont="1" applyFill="1" applyBorder="1" applyAlignment="1" applyProtection="1">
      <alignment horizontal="center" vertical="center"/>
    </xf>
    <xf numFmtId="0" fontId="74" fillId="2" borderId="67" xfId="0" applyFont="1" applyFill="1" applyBorder="1" applyAlignment="1" applyProtection="1">
      <alignment horizontal="left" vertical="center" wrapText="1"/>
    </xf>
    <xf numFmtId="0" fontId="64" fillId="2" borderId="84" xfId="0" applyFont="1" applyFill="1" applyBorder="1" applyAlignment="1" applyProtection="1">
      <alignment horizontal="center" vertical="center"/>
    </xf>
    <xf numFmtId="0" fontId="74" fillId="2" borderId="110" xfId="0" applyFont="1" applyFill="1" applyBorder="1" applyAlignment="1" applyProtection="1">
      <alignment horizontal="left" vertical="center" wrapText="1"/>
    </xf>
    <xf numFmtId="0" fontId="64" fillId="2" borderId="102" xfId="0" applyFont="1" applyFill="1" applyBorder="1" applyAlignment="1" applyProtection="1">
      <alignment horizontal="right" vertical="center"/>
    </xf>
    <xf numFmtId="0" fontId="64" fillId="2" borderId="87" xfId="0" applyFont="1" applyFill="1" applyBorder="1" applyAlignment="1" applyProtection="1">
      <alignment horizontal="center" vertical="center"/>
    </xf>
    <xf numFmtId="0" fontId="95" fillId="0" borderId="6" xfId="0" applyFont="1" applyBorder="1" applyAlignment="1" applyProtection="1">
      <alignment horizontal="center" vertical="center"/>
      <protection locked="0"/>
    </xf>
    <xf numFmtId="0" fontId="95" fillId="0" borderId="7" xfId="0" applyFont="1" applyFill="1" applyBorder="1" applyAlignment="1" applyProtection="1">
      <alignment horizontal="center" vertical="center"/>
      <protection locked="0"/>
    </xf>
    <xf numFmtId="0" fontId="9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4" fillId="2" borderId="106" xfId="0" applyFont="1" applyFill="1" applyBorder="1" applyAlignment="1" applyProtection="1">
      <alignment horizontal="left" vertical="center"/>
    </xf>
    <xf numFmtId="0" fontId="64" fillId="2" borderId="73" xfId="0" applyFont="1" applyFill="1" applyBorder="1" applyProtection="1">
      <alignment vertical="center"/>
    </xf>
    <xf numFmtId="0" fontId="64" fillId="2" borderId="66" xfId="0" applyFont="1" applyFill="1" applyBorder="1" applyAlignment="1" applyProtection="1">
      <alignment horizontal="center" vertical="center"/>
    </xf>
    <xf numFmtId="0" fontId="7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4" fillId="3" borderId="7" xfId="0" applyFont="1" applyFill="1" applyBorder="1" applyAlignment="1" applyProtection="1">
      <alignment horizontal="center" vertical="center"/>
      <protection locked="0"/>
    </xf>
    <xf numFmtId="0" fontId="87" fillId="13"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4" fillId="2" borderId="114" xfId="0" applyFont="1" applyFill="1" applyBorder="1" applyAlignment="1" applyProtection="1">
      <alignment horizontal="left" vertical="center"/>
    </xf>
    <xf numFmtId="0" fontId="64" fillId="2" borderId="103" xfId="0" applyFont="1" applyFill="1" applyBorder="1" applyAlignment="1" applyProtection="1">
      <alignment horizontal="right" vertical="center"/>
    </xf>
    <xf numFmtId="0" fontId="74" fillId="2" borderId="102" xfId="0" applyFont="1" applyFill="1" applyBorder="1" applyAlignment="1" applyProtection="1">
      <alignment horizontal="center" vertical="center"/>
    </xf>
    <xf numFmtId="181" fontId="64"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4" fillId="2" borderId="89" xfId="0" applyFont="1" applyFill="1" applyBorder="1" applyAlignment="1" applyProtection="1">
      <alignment horizontal="left" vertical="center"/>
    </xf>
    <xf numFmtId="0" fontId="64" fillId="2" borderId="96" xfId="0" applyFont="1" applyFill="1" applyBorder="1" applyAlignment="1" applyProtection="1">
      <alignment horizontal="right" vertical="center"/>
    </xf>
    <xf numFmtId="0" fontId="74" fillId="2" borderId="75" xfId="0" applyFont="1" applyFill="1" applyBorder="1" applyAlignment="1" applyProtection="1">
      <alignment horizontal="center" vertical="center"/>
    </xf>
    <xf numFmtId="181" fontId="64"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4" fillId="2" borderId="67" xfId="0" applyFont="1" applyFill="1" applyBorder="1" applyAlignment="1" applyProtection="1">
      <alignment horizontal="center" vertical="center" wrapText="1"/>
    </xf>
    <xf numFmtId="0" fontId="64" fillId="2" borderId="95" xfId="0" applyFont="1" applyFill="1" applyBorder="1" applyAlignment="1" applyProtection="1">
      <alignment horizontal="left" vertical="center"/>
    </xf>
    <xf numFmtId="0" fontId="74" fillId="0" borderId="5" xfId="0" applyFont="1" applyFill="1" applyBorder="1" applyAlignment="1" applyProtection="1">
      <alignment horizontal="center" vertical="center"/>
      <protection locked="0"/>
    </xf>
    <xf numFmtId="0" fontId="64" fillId="3" borderId="108" xfId="0" applyFont="1" applyFill="1" applyBorder="1" applyProtection="1">
      <alignment vertical="center"/>
      <protection locked="0"/>
    </xf>
    <xf numFmtId="0" fontId="64" fillId="2" borderId="123" xfId="0" applyFont="1" applyFill="1" applyBorder="1" applyProtection="1">
      <alignment vertical="center"/>
    </xf>
    <xf numFmtId="0" fontId="64" fillId="2" borderId="0" xfId="0" applyFont="1" applyFill="1" applyBorder="1" applyAlignment="1" applyProtection="1">
      <alignment horizontal="left" vertical="center"/>
      <protection locked="0"/>
    </xf>
    <xf numFmtId="0" fontId="74" fillId="2" borderId="76" xfId="0" applyFont="1" applyFill="1" applyBorder="1" applyAlignment="1" applyProtection="1">
      <alignment horizontal="center" vertical="center" wrapText="1"/>
    </xf>
    <xf numFmtId="0" fontId="64" fillId="2" borderId="14" xfId="0" applyFont="1" applyFill="1" applyBorder="1" applyAlignment="1" applyProtection="1">
      <alignment horizontal="left" vertical="center"/>
    </xf>
    <xf numFmtId="0" fontId="74" fillId="0" borderId="8" xfId="0" applyFont="1" applyFill="1" applyBorder="1" applyAlignment="1" applyProtection="1">
      <alignment horizontal="center" vertical="center"/>
      <protection locked="0"/>
    </xf>
    <xf numFmtId="0" fontId="64" fillId="2" borderId="0" xfId="0" applyFont="1" applyFill="1" applyProtection="1">
      <alignment vertical="center"/>
      <protection locked="0"/>
    </xf>
    <xf numFmtId="0" fontId="74" fillId="2" borderId="79" xfId="0" applyFont="1" applyFill="1" applyBorder="1" applyAlignment="1" applyProtection="1">
      <alignment horizontal="center" vertical="center" wrapText="1"/>
    </xf>
    <xf numFmtId="0" fontId="64" fillId="2" borderId="96" xfId="0" applyFont="1" applyFill="1" applyBorder="1" applyAlignment="1" applyProtection="1">
      <alignment horizontal="left" vertical="center"/>
    </xf>
    <xf numFmtId="0" fontId="74" fillId="0" borderId="10" xfId="0" applyFont="1" applyFill="1" applyBorder="1" applyAlignment="1" applyProtection="1">
      <alignment horizontal="center" vertical="center"/>
      <protection locked="0"/>
    </xf>
    <xf numFmtId="0" fontId="64" fillId="0" borderId="123" xfId="0" applyFont="1" applyFill="1" applyBorder="1" applyProtection="1">
      <alignment vertical="center"/>
      <protection locked="0"/>
    </xf>
    <xf numFmtId="0" fontId="95" fillId="0" borderId="3" xfId="0" applyFont="1" applyFill="1" applyBorder="1" applyAlignment="1" applyProtection="1">
      <alignment horizontal="center" vertical="center"/>
      <protection locked="0"/>
    </xf>
    <xf numFmtId="0" fontId="95" fillId="0" borderId="4" xfId="0" applyFont="1" applyFill="1" applyBorder="1" applyAlignment="1" applyProtection="1">
      <alignment horizontal="center" vertical="center"/>
      <protection locked="0"/>
    </xf>
    <xf numFmtId="0" fontId="9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07"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90" fillId="2" borderId="93" xfId="0" applyFont="1" applyFill="1" applyBorder="1" applyAlignment="1" applyProtection="1">
      <alignment horizontal="left" vertical="center" wrapText="1"/>
    </xf>
    <xf numFmtId="0" fontId="90" fillId="2" borderId="38" xfId="0" applyFont="1" applyFill="1" applyBorder="1" applyAlignment="1" applyProtection="1">
      <alignment horizontal="left" vertical="center" wrapText="1"/>
    </xf>
    <xf numFmtId="0" fontId="90"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90" fillId="2" borderId="82" xfId="0" applyFont="1" applyFill="1" applyBorder="1" applyAlignment="1" applyProtection="1">
      <alignment horizontal="center" vertical="center" wrapText="1"/>
    </xf>
    <xf numFmtId="0" fontId="90" fillId="2" borderId="83" xfId="0" applyFont="1" applyFill="1" applyBorder="1" applyAlignment="1" applyProtection="1">
      <alignment horizontal="center" vertical="center" wrapText="1"/>
    </xf>
    <xf numFmtId="0" fontId="90"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90" fillId="2" borderId="70" xfId="0" applyFont="1" applyFill="1" applyBorder="1" applyAlignment="1" applyProtection="1">
      <alignment horizontal="left" vertical="center" wrapText="1"/>
    </xf>
    <xf numFmtId="0" fontId="90" fillId="2" borderId="39" xfId="0" applyFont="1" applyFill="1" applyBorder="1" applyAlignment="1" applyProtection="1">
      <alignment horizontal="left" vertical="center" wrapText="1"/>
    </xf>
    <xf numFmtId="0" fontId="90" fillId="2" borderId="103" xfId="0" applyFont="1" applyFill="1" applyBorder="1" applyAlignment="1" applyProtection="1">
      <alignment horizontal="left" vertical="center" wrapText="1"/>
    </xf>
    <xf numFmtId="0" fontId="90"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83"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84"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83"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84"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90"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90"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3" fillId="3" borderId="12" xfId="0" applyFont="1" applyFill="1" applyBorder="1" applyAlignment="1" applyProtection="1">
      <alignment horizontal="center" vertical="center"/>
      <protection locked="0"/>
    </xf>
    <xf numFmtId="0" fontId="95" fillId="2" borderId="123"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49" fillId="15"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193" fontId="111" fillId="2" borderId="7" xfId="0" applyNumberFormat="1" applyFont="1" applyFill="1" applyBorder="1" applyAlignment="1" applyProtection="1">
      <alignment horizontal="center" vertical="center" wrapText="1"/>
    </xf>
    <xf numFmtId="0" fontId="111"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38"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0" fontId="54"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84"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65" xfId="0" applyFont="1" applyFill="1" applyBorder="1" applyAlignment="1" applyProtection="1">
      <alignment horizontal="left" vertical="center" wrapText="1"/>
    </xf>
    <xf numFmtId="0" fontId="112" fillId="2" borderId="102" xfId="0" applyFont="1" applyFill="1" applyBorder="1" applyAlignment="1" applyProtection="1">
      <alignment horizontal="left" vertical="center" wrapText="1"/>
    </xf>
    <xf numFmtId="0" fontId="112" fillId="2" borderId="39" xfId="0" applyFont="1" applyFill="1" applyBorder="1" applyAlignment="1" applyProtection="1">
      <alignment horizontal="left" vertical="center" wrapText="1"/>
    </xf>
    <xf numFmtId="0" fontId="112" fillId="2" borderId="103" xfId="0" applyFont="1" applyFill="1" applyBorder="1" applyAlignment="1" applyProtection="1">
      <alignment horizontal="left" vertical="center" wrapText="1"/>
    </xf>
    <xf numFmtId="0" fontId="103" fillId="2" borderId="7" xfId="0" applyFont="1" applyFill="1" applyBorder="1" applyAlignment="1">
      <alignment horizontal="left" vertical="center" wrapText="1"/>
    </xf>
    <xf numFmtId="0" fontId="54" fillId="15" borderId="0" xfId="0" applyFont="1" applyFill="1" applyAlignment="1" applyProtection="1">
      <alignment horizontal="left" vertical="center"/>
      <protection locked="0"/>
    </xf>
    <xf numFmtId="0" fontId="49" fillId="15"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90"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90"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4" fillId="2" borderId="84" xfId="56" applyFont="1" applyFill="1" applyBorder="1" applyAlignment="1" applyProtection="1">
      <alignment horizontal="left" vertical="center" wrapText="1"/>
    </xf>
    <xf numFmtId="0" fontId="64" fillId="2" borderId="87" xfId="56"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4" fillId="2" borderId="7" xfId="56" applyFont="1" applyFill="1" applyBorder="1" applyAlignment="1" applyProtection="1">
      <alignment horizontal="left" vertical="center" wrapText="1"/>
    </xf>
    <xf numFmtId="0" fontId="64" fillId="13" borderId="7" xfId="56"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4"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4" fillId="2" borderId="15" xfId="0" applyFont="1" applyFill="1" applyBorder="1" applyAlignment="1" applyProtection="1">
      <alignment horizontal="left" vertical="center"/>
    </xf>
    <xf numFmtId="0" fontId="54" fillId="13"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90"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90"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4" fillId="2" borderId="91" xfId="56"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6" applyFont="1" applyFill="1" applyAlignment="1" applyProtection="1">
      <alignment horizontal="left"/>
    </xf>
    <xf numFmtId="0" fontId="54" fillId="2" borderId="84" xfId="56" applyFont="1" applyFill="1" applyBorder="1" applyAlignment="1" applyProtection="1">
      <alignment horizontal="left" vertical="center" wrapText="1"/>
    </xf>
    <xf numFmtId="0" fontId="54" fillId="2" borderId="87" xfId="56"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10" fontId="84"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90"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6" applyFont="1" applyFill="1" applyBorder="1" applyAlignment="1" applyProtection="1">
      <alignment horizontal="left" vertical="center" wrapText="1"/>
    </xf>
    <xf numFmtId="0" fontId="74" fillId="2" borderId="82" xfId="0" applyFont="1" applyFill="1" applyBorder="1" applyAlignment="1" applyProtection="1">
      <alignment horizontal="center" vertical="center"/>
    </xf>
    <xf numFmtId="0" fontId="74" fillId="2" borderId="83" xfId="0" applyFont="1" applyFill="1" applyBorder="1" applyAlignment="1" applyProtection="1">
      <alignment horizontal="center" vertical="center"/>
    </xf>
    <xf numFmtId="0" fontId="74"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74" fillId="2" borderId="8" xfId="0" applyFont="1" applyFill="1" applyBorder="1" applyAlignment="1" applyProtection="1">
      <alignment horizontal="left" vertical="center"/>
    </xf>
    <xf numFmtId="0" fontId="115" fillId="2" borderId="6"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69" xfId="0" applyFont="1" applyFill="1" applyBorder="1" applyAlignment="1" applyProtection="1">
      <alignment horizontal="left" vertical="center" wrapText="1"/>
    </xf>
    <xf numFmtId="0" fontId="74" fillId="3" borderId="86"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xf>
    <xf numFmtId="0" fontId="64" fillId="10" borderId="8"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115" fillId="2" borderId="75" xfId="0" applyFont="1" applyFill="1" applyBorder="1" applyAlignment="1" applyProtection="1">
      <alignment horizontal="left" vertical="center" wrapText="1"/>
    </xf>
    <xf numFmtId="0" fontId="114" fillId="2" borderId="75"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64" fillId="2" borderId="8" xfId="0" applyFont="1" applyFill="1" applyBorder="1" applyAlignment="1" applyProtection="1">
      <alignment horizontal="left" vertical="center"/>
    </xf>
    <xf numFmtId="0" fontId="64" fillId="2" borderId="6" xfId="0" applyFont="1" applyFill="1" applyBorder="1" applyAlignment="1" applyProtection="1">
      <alignment horizontal="left" vertical="center"/>
    </xf>
    <xf numFmtId="0" fontId="74" fillId="2" borderId="6" xfId="0" applyFont="1" applyFill="1" applyBorder="1" applyAlignment="1" applyProtection="1">
      <alignment horizontal="left" vertical="center"/>
    </xf>
    <xf numFmtId="0" fontId="90" fillId="2" borderId="8" xfId="0" applyFont="1" applyFill="1" applyBorder="1" applyAlignment="1" applyProtection="1">
      <alignment horizontal="left" vertical="center"/>
    </xf>
    <xf numFmtId="0" fontId="74" fillId="2" borderId="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74" fillId="2" borderId="9" xfId="0"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115" fillId="2" borderId="10" xfId="0" applyFont="1" applyFill="1" applyBorder="1" applyAlignment="1" applyProtection="1">
      <alignment vertical="center" wrapText="1"/>
    </xf>
    <xf numFmtId="0" fontId="64"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74" fillId="2" borderId="13" xfId="0" applyFont="1" applyFill="1" applyBorder="1" applyAlignment="1" applyProtection="1">
      <alignment horizontal="center" vertical="center"/>
    </xf>
    <xf numFmtId="0" fontId="74" fillId="2" borderId="15" xfId="0" applyFont="1" applyFill="1" applyBorder="1" applyAlignment="1" applyProtection="1">
      <alignment horizontal="center" vertical="center"/>
    </xf>
    <xf numFmtId="0" fontId="64" fillId="3" borderId="12" xfId="0" applyFont="1" applyFill="1" applyBorder="1" applyAlignment="1" applyProtection="1">
      <alignment horizontal="left" vertical="center" wrapText="1"/>
      <protection locked="0"/>
    </xf>
    <xf numFmtId="0" fontId="64" fillId="3" borderId="13" xfId="0" applyFont="1" applyFill="1" applyBorder="1" applyAlignment="1" applyProtection="1">
      <alignment horizontal="left" vertical="center" wrapText="1"/>
      <protection locked="0"/>
    </xf>
    <xf numFmtId="0" fontId="64" fillId="3" borderId="14" xfId="0" applyFont="1" applyFill="1" applyBorder="1" applyAlignment="1" applyProtection="1">
      <alignment horizontal="left" vertical="center" wrapText="1"/>
      <protection locked="0"/>
    </xf>
    <xf numFmtId="0" fontId="64" fillId="3" borderId="7" xfId="0" applyFont="1" applyFill="1" applyBorder="1" applyAlignment="1" applyProtection="1">
      <alignment horizontal="left" vertical="center" wrapText="1"/>
      <protection locked="0"/>
    </xf>
    <xf numFmtId="0" fontId="64" fillId="3" borderId="16" xfId="0" applyFont="1" applyFill="1" applyBorder="1" applyAlignment="1" applyProtection="1">
      <alignment horizontal="left" vertical="center" wrapText="1"/>
      <protection locked="0"/>
    </xf>
    <xf numFmtId="0" fontId="64" fillId="2" borderId="7" xfId="0" applyFont="1" applyFill="1" applyBorder="1" applyAlignment="1" applyProtection="1">
      <alignment horizontal="left" vertical="center" wrapText="1"/>
      <protection locked="0"/>
    </xf>
    <xf numFmtId="0" fontId="64" fillId="2" borderId="13" xfId="0" applyFont="1" applyFill="1" applyBorder="1" applyAlignment="1" applyProtection="1">
      <alignment horizontal="left" vertical="center" wrapText="1"/>
    </xf>
    <xf numFmtId="0" fontId="64" fillId="2" borderId="14"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64"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6"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5" borderId="0" xfId="0" applyFont="1" applyFill="1" applyProtection="1">
      <alignment vertical="center"/>
      <protection locked="0"/>
    </xf>
    <xf numFmtId="0" fontId="24" fillId="2" borderId="0" xfId="56" applyFont="1" applyFill="1" applyAlignment="1" applyProtection="1">
      <alignment vertical="center" wrapText="1"/>
      <protection locked="0"/>
    </xf>
    <xf numFmtId="0" fontId="24" fillId="2" borderId="0" xfId="56" applyFont="1" applyFill="1" applyProtection="1">
      <protection locked="0"/>
    </xf>
    <xf numFmtId="0" fontId="116" fillId="15" borderId="0" xfId="0" applyFont="1" applyFill="1" applyProtection="1">
      <alignment vertical="center"/>
    </xf>
    <xf numFmtId="0" fontId="24" fillId="0" borderId="6" xfId="0" applyFont="1" applyFill="1" applyBorder="1" applyProtection="1">
      <alignment vertical="center"/>
      <protection locked="0"/>
    </xf>
    <xf numFmtId="0" fontId="95" fillId="15" borderId="0" xfId="0" applyFont="1" applyFill="1" applyProtection="1">
      <alignment vertical="center"/>
    </xf>
    <xf numFmtId="0" fontId="74" fillId="2" borderId="14" xfId="0" applyFont="1" applyFill="1" applyBorder="1" applyAlignment="1" applyProtection="1">
      <alignment horizontal="center" vertical="center"/>
    </xf>
    <xf numFmtId="0" fontId="24" fillId="15" borderId="0" xfId="0" applyFont="1" applyFill="1" applyProtection="1">
      <alignment vertical="center"/>
    </xf>
    <xf numFmtId="0" fontId="105"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79" fillId="3" borderId="38" xfId="0" applyFont="1" applyFill="1" applyBorder="1" applyAlignment="1" applyProtection="1">
      <alignment horizontal="left" vertical="center" wrapText="1"/>
      <protection locked="0"/>
    </xf>
    <xf numFmtId="0" fontId="54" fillId="15" borderId="38" xfId="0" applyFont="1" applyFill="1" applyBorder="1" applyAlignment="1" applyProtection="1">
      <alignment horizontal="center" vertical="center" wrapText="1"/>
    </xf>
    <xf numFmtId="0" fontId="54" fillId="15" borderId="38" xfId="0" applyFont="1" applyFill="1" applyBorder="1" applyAlignment="1" applyProtection="1">
      <alignment horizontal="center" vertical="center"/>
    </xf>
    <xf numFmtId="0" fontId="54" fillId="15" borderId="92" xfId="0" applyFont="1" applyFill="1" applyBorder="1" applyAlignment="1" applyProtection="1">
      <alignment horizontal="left" vertical="center" wrapText="1"/>
      <protection locked="0"/>
    </xf>
    <xf numFmtId="0" fontId="54" fillId="15" borderId="0" xfId="0" applyFont="1" applyFill="1" applyBorder="1" applyAlignment="1" applyProtection="1">
      <alignment horizontal="left" vertical="center" wrapText="1"/>
      <protection locked="0"/>
    </xf>
    <xf numFmtId="0" fontId="54" fillId="15" borderId="0" xfId="0" applyFont="1" applyFill="1" applyBorder="1" applyAlignment="1" applyProtection="1">
      <alignment horizontal="center" vertical="center" wrapText="1"/>
      <protection locked="0"/>
    </xf>
    <xf numFmtId="0" fontId="54" fillId="15" borderId="0" xfId="0" applyFont="1" applyFill="1" applyBorder="1" applyAlignment="1" applyProtection="1">
      <alignment horizontal="center" vertical="center"/>
      <protection locked="0"/>
    </xf>
    <xf numFmtId="0" fontId="54" fillId="15" borderId="102" xfId="0" applyFont="1" applyFill="1" applyBorder="1" applyAlignment="1" applyProtection="1">
      <alignment horizontal="left" vertical="center" wrapText="1"/>
      <protection locked="0"/>
    </xf>
    <xf numFmtId="0" fontId="54" fillId="15" borderId="39" xfId="0" applyFont="1" applyFill="1" applyBorder="1" applyAlignment="1" applyProtection="1">
      <alignment horizontal="left" vertical="center" wrapText="1"/>
      <protection locked="0"/>
    </xf>
    <xf numFmtId="0" fontId="54" fillId="15" borderId="39" xfId="0" applyFont="1" applyFill="1" applyBorder="1" applyAlignment="1" applyProtection="1">
      <alignment horizontal="center" vertical="center" wrapText="1"/>
      <protection locked="0"/>
    </xf>
    <xf numFmtId="0" fontId="54" fillId="15" borderId="39" xfId="0" applyFont="1" applyFill="1" applyBorder="1" applyAlignment="1" applyProtection="1">
      <alignment horizontal="center" vertical="center"/>
      <protection locked="0"/>
    </xf>
    <xf numFmtId="0" fontId="90" fillId="15" borderId="39" xfId="0" applyFont="1" applyFill="1" applyBorder="1" applyAlignment="1" applyProtection="1">
      <alignment horizontal="left" vertical="center"/>
      <protection locked="0"/>
    </xf>
    <xf numFmtId="0" fontId="54" fillId="15" borderId="39" xfId="0" applyFont="1" applyFill="1" applyBorder="1" applyProtection="1">
      <alignment vertical="center"/>
      <protection locked="0"/>
    </xf>
    <xf numFmtId="0" fontId="90" fillId="15" borderId="0" xfId="0" applyFont="1" applyFill="1" applyAlignment="1" applyProtection="1">
      <alignment horizontal="left" vertical="center"/>
      <protection locked="0"/>
    </xf>
    <xf numFmtId="2" fontId="54" fillId="15" borderId="0" xfId="0" applyNumberFormat="1" applyFont="1" applyFill="1" applyAlignment="1" applyProtection="1">
      <alignment vertical="center" wrapText="1"/>
      <protection locked="0"/>
    </xf>
    <xf numFmtId="0" fontId="90" fillId="15" borderId="0" xfId="0" applyFont="1" applyFill="1" applyAlignment="1" applyProtection="1">
      <alignment vertical="center" wrapText="1"/>
      <protection locked="0"/>
    </xf>
    <xf numFmtId="0" fontId="54" fillId="15" borderId="0" xfId="0" applyFont="1" applyFill="1" applyAlignment="1" applyProtection="1">
      <alignment vertical="center" wrapText="1"/>
      <protection locked="0"/>
    </xf>
    <xf numFmtId="0" fontId="54" fillId="15" borderId="94" xfId="0" applyFont="1" applyFill="1" applyBorder="1" applyProtection="1">
      <alignment vertical="center"/>
    </xf>
    <xf numFmtId="0" fontId="54" fillId="15" borderId="65" xfId="0" applyFont="1" applyFill="1" applyBorder="1" applyProtection="1">
      <alignment vertical="center"/>
      <protection locked="0"/>
    </xf>
    <xf numFmtId="0" fontId="54" fillId="15" borderId="103" xfId="0" applyFont="1" applyFill="1" applyBorder="1" applyProtection="1">
      <alignment vertical="center"/>
      <protection locked="0"/>
    </xf>
    <xf numFmtId="0" fontId="54" fillId="15" borderId="39" xfId="0" applyFont="1" applyFill="1" applyBorder="1" applyAlignment="1" applyProtection="1">
      <alignment horizontal="right" vertical="center"/>
      <protection locked="0"/>
    </xf>
    <xf numFmtId="0" fontId="117" fillId="0" borderId="0" xfId="66" applyAlignment="1" applyProtection="1">
      <alignment horizontal="left"/>
      <protection locked="0"/>
    </xf>
    <xf numFmtId="0" fontId="118" fillId="2" borderId="7" xfId="66" applyFont="1" applyFill="1" applyBorder="1" applyAlignment="1" applyProtection="1">
      <alignment horizontal="left" vertical="center" wrapText="1"/>
    </xf>
    <xf numFmtId="0" fontId="118" fillId="7" borderId="0" xfId="66" applyFont="1" applyFill="1" applyBorder="1" applyAlignment="1" applyProtection="1">
      <alignment horizontal="left" vertical="center" wrapText="1"/>
      <protection locked="0"/>
    </xf>
    <xf numFmtId="0" fontId="117" fillId="7" borderId="0" xfId="66" applyFill="1" applyBorder="1" applyAlignment="1" applyProtection="1">
      <alignment horizontal="left"/>
      <protection locked="0"/>
    </xf>
    <xf numFmtId="0" fontId="117" fillId="7" borderId="0" xfId="66" applyFill="1" applyAlignment="1" applyProtection="1">
      <alignment horizontal="left"/>
      <protection locked="0"/>
    </xf>
    <xf numFmtId="14" fontId="118" fillId="2" borderId="7" xfId="66" applyNumberFormat="1" applyFont="1" applyFill="1" applyBorder="1" applyAlignment="1" applyProtection="1">
      <alignment horizontal="left" vertical="center" wrapText="1"/>
    </xf>
    <xf numFmtId="0" fontId="118" fillId="0" borderId="7" xfId="66" applyFont="1" applyFill="1" applyBorder="1" applyAlignment="1" applyProtection="1">
      <alignment horizontal="left" vertical="center" wrapText="1"/>
      <protection locked="0"/>
    </xf>
    <xf numFmtId="0" fontId="118" fillId="7" borderId="7" xfId="66" applyFont="1" applyFill="1" applyBorder="1" applyAlignment="1" applyProtection="1">
      <alignment horizontal="left" vertical="center" wrapText="1"/>
      <protection locked="0"/>
    </xf>
    <xf numFmtId="0" fontId="117" fillId="2" borderId="7" xfId="66" applyFill="1" applyBorder="1" applyAlignment="1" applyProtection="1">
      <alignment horizontal="left"/>
    </xf>
    <xf numFmtId="9" fontId="117" fillId="7" borderId="7" xfId="66" applyNumberFormat="1" applyFill="1" applyBorder="1" applyAlignment="1" applyProtection="1">
      <alignment horizontal="left"/>
      <protection locked="0"/>
    </xf>
    <xf numFmtId="0" fontId="117" fillId="2" borderId="7" xfId="66" applyFill="1" applyBorder="1" applyAlignment="1" applyProtection="1">
      <alignment horizontal="left" vertical="center"/>
    </xf>
    <xf numFmtId="0" fontId="118" fillId="2" borderId="12" xfId="66" applyFont="1" applyFill="1" applyBorder="1" applyAlignment="1" applyProtection="1">
      <alignment horizontal="left" vertical="center" wrapText="1"/>
    </xf>
    <xf numFmtId="0" fontId="0" fillId="0" borderId="7" xfId="66" applyFont="1" applyFill="1" applyBorder="1" applyAlignment="1" applyProtection="1">
      <alignment horizontal="left"/>
      <protection locked="0"/>
    </xf>
    <xf numFmtId="0" fontId="118" fillId="0" borderId="12" xfId="66" applyFont="1" applyFill="1" applyBorder="1" applyAlignment="1" applyProtection="1">
      <alignment horizontal="left" vertical="center" wrapText="1"/>
      <protection locked="0"/>
    </xf>
    <xf numFmtId="0" fontId="117" fillId="0" borderId="7" xfId="66" applyBorder="1" applyAlignment="1" applyProtection="1">
      <alignment horizontal="left"/>
      <protection locked="0"/>
    </xf>
    <xf numFmtId="0" fontId="118" fillId="0" borderId="7" xfId="66"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64" fillId="0" borderId="0" xfId="0" applyFont="1" applyFill="1" applyAlignment="1" applyProtection="1">
      <alignment vertical="center"/>
      <protection locked="0"/>
    </xf>
    <xf numFmtId="0" fontId="64" fillId="0" borderId="0" xfId="0" applyFont="1" applyAlignment="1" applyProtection="1">
      <alignment vertical="center"/>
      <protection locked="0"/>
    </xf>
    <xf numFmtId="0" fontId="64" fillId="0" borderId="0" xfId="0" applyFont="1" applyAlignment="1" applyProtection="1">
      <alignment vertical="center" wrapText="1"/>
      <protection locked="0"/>
    </xf>
    <xf numFmtId="0" fontId="64" fillId="0" borderId="0" xfId="0" applyFont="1" applyFill="1" applyAlignment="1" applyProtection="1">
      <alignment vertical="center" wrapText="1"/>
      <protection locked="0"/>
    </xf>
    <xf numFmtId="0" fontId="64" fillId="0" borderId="0" xfId="0" applyNumberFormat="1" applyFont="1" applyFill="1" applyAlignment="1" applyProtection="1">
      <alignment vertical="center" wrapText="1"/>
      <protection locked="0"/>
    </xf>
    <xf numFmtId="0" fontId="64" fillId="15" borderId="0" xfId="0" applyFont="1" applyFill="1" applyAlignment="1" applyProtection="1">
      <alignment vertical="center" wrapText="1"/>
      <protection locked="0"/>
    </xf>
    <xf numFmtId="0" fontId="64" fillId="15" borderId="0" xfId="0" applyNumberFormat="1" applyFont="1" applyFill="1" applyAlignment="1" applyProtection="1">
      <alignment vertical="center" wrapText="1"/>
      <protection locked="0"/>
    </xf>
    <xf numFmtId="0" fontId="64" fillId="15" borderId="0" xfId="0" applyNumberFormat="1" applyFont="1" applyFill="1" applyAlignment="1" applyProtection="1">
      <alignment vertical="center"/>
      <protection locked="0"/>
    </xf>
    <xf numFmtId="0" fontId="77" fillId="2" borderId="163" xfId="0" applyFont="1" applyFill="1" applyBorder="1" applyAlignment="1" applyProtection="1">
      <alignment vertical="center"/>
    </xf>
    <xf numFmtId="0" fontId="77" fillId="2" borderId="164" xfId="0" applyFont="1" applyFill="1" applyBorder="1" applyAlignment="1" applyProtection="1">
      <alignment vertical="center"/>
    </xf>
    <xf numFmtId="0" fontId="109" fillId="15" borderId="164" xfId="0" applyFont="1" applyFill="1" applyBorder="1" applyAlignment="1" applyProtection="1">
      <alignment vertical="center" wrapText="1"/>
      <protection locked="0"/>
    </xf>
    <xf numFmtId="0" fontId="90" fillId="2" borderId="108" xfId="0" applyFont="1" applyFill="1" applyBorder="1" applyAlignment="1" applyProtection="1">
      <alignment vertical="center" wrapText="1"/>
    </xf>
    <xf numFmtId="0" fontId="90" fillId="2" borderId="99" xfId="0" applyFont="1" applyFill="1" applyBorder="1" applyAlignment="1" applyProtection="1">
      <alignment vertical="center" wrapText="1"/>
    </xf>
    <xf numFmtId="0" fontId="90" fillId="2" borderId="123" xfId="0" applyFont="1" applyFill="1" applyBorder="1" applyAlignment="1" applyProtection="1">
      <alignment vertical="center"/>
    </xf>
    <xf numFmtId="0" fontId="90" fillId="2" borderId="0" xfId="0" applyFont="1" applyFill="1" applyBorder="1" applyAlignment="1" applyProtection="1">
      <alignment vertical="center" wrapText="1"/>
    </xf>
    <xf numFmtId="0" fontId="54" fillId="2" borderId="109" xfId="0" applyFont="1" applyFill="1" applyBorder="1" applyAlignment="1" applyProtection="1">
      <alignment vertical="center"/>
    </xf>
    <xf numFmtId="0" fontId="90"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90"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90"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4" fillId="15" borderId="0" xfId="0" applyFont="1" applyFill="1" applyBorder="1" applyAlignment="1" applyProtection="1">
      <alignment vertical="center" wrapText="1"/>
      <protection locked="0"/>
    </xf>
    <xf numFmtId="0" fontId="90"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9" fillId="15" borderId="0" xfId="0" applyFont="1" applyFill="1" applyBorder="1" applyAlignment="1" applyProtection="1">
      <alignment vertical="center" wrapText="1"/>
      <protection locked="0"/>
    </xf>
    <xf numFmtId="0" fontId="77" fillId="2" borderId="165" xfId="0" applyFont="1" applyFill="1" applyBorder="1" applyAlignment="1" applyProtection="1">
      <alignment vertical="center"/>
    </xf>
    <xf numFmtId="0" fontId="90" fillId="2" borderId="106" xfId="0" applyFont="1" applyFill="1" applyBorder="1" applyAlignment="1" applyProtection="1">
      <alignment vertical="center" wrapText="1"/>
    </xf>
    <xf numFmtId="0" fontId="90" fillId="2" borderId="124" xfId="0" applyFont="1" applyFill="1" applyBorder="1" applyAlignment="1" applyProtection="1">
      <alignment vertical="center" wrapText="1"/>
    </xf>
    <xf numFmtId="0" fontId="90" fillId="2" borderId="159" xfId="0" applyFont="1" applyFill="1" applyBorder="1" applyAlignment="1" applyProtection="1">
      <alignment vertical="center" wrapText="1"/>
    </xf>
    <xf numFmtId="0" fontId="90" fillId="2" borderId="146"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90" fillId="2" borderId="146"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90" fillId="2" borderId="147" xfId="0" applyFont="1" applyFill="1" applyBorder="1" applyAlignment="1" applyProtection="1">
      <alignment vertical="center" wrapText="1"/>
    </xf>
    <xf numFmtId="0" fontId="54" fillId="2" borderId="11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0" fillId="2" borderId="147"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90" fillId="2" borderId="148"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90" fillId="2" borderId="148"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9" fillId="15" borderId="164" xfId="0" applyNumberFormat="1" applyFont="1" applyFill="1" applyBorder="1" applyAlignment="1" applyProtection="1">
      <alignment vertical="center" wrapText="1"/>
      <protection locked="0"/>
    </xf>
    <xf numFmtId="0" fontId="64" fillId="15" borderId="0" xfId="0" applyNumberFormat="1" applyFont="1" applyFill="1" applyBorder="1" applyAlignment="1" applyProtection="1">
      <alignment vertical="center" wrapText="1"/>
      <protection locked="0"/>
    </xf>
    <xf numFmtId="49" fontId="64" fillId="15" borderId="0" xfId="0" applyNumberFormat="1" applyFont="1" applyFill="1" applyBorder="1" applyAlignment="1" applyProtection="1">
      <alignment vertical="center" wrapText="1"/>
      <protection locked="0"/>
    </xf>
    <xf numFmtId="0" fontId="109" fillId="15" borderId="0" xfId="0" applyNumberFormat="1" applyFont="1" applyFill="1" applyBorder="1" applyAlignment="1" applyProtection="1">
      <alignment vertical="center" wrapText="1"/>
      <protection locked="0"/>
    </xf>
    <xf numFmtId="0" fontId="109" fillId="15" borderId="65" xfId="0" applyNumberFormat="1" applyFont="1" applyFill="1" applyBorder="1" applyAlignment="1" applyProtection="1">
      <alignment vertical="center" wrapText="1"/>
      <protection locked="0"/>
    </xf>
    <xf numFmtId="0" fontId="110" fillId="15" borderId="0" xfId="0" applyFont="1" applyFill="1" applyAlignment="1" applyProtection="1">
      <alignment vertical="center" wrapText="1"/>
      <protection locked="0"/>
    </xf>
    <xf numFmtId="0" fontId="110" fillId="15" borderId="0" xfId="0" applyNumberFormat="1" applyFont="1" applyFill="1" applyAlignment="1" applyProtection="1">
      <alignment vertical="center" wrapText="1"/>
      <protection locked="0"/>
    </xf>
    <xf numFmtId="0" fontId="109" fillId="15" borderId="166" xfId="0" applyFont="1" applyFill="1" applyBorder="1" applyAlignment="1" applyProtection="1">
      <alignment vertical="center" wrapText="1"/>
      <protection locked="0"/>
    </xf>
    <xf numFmtId="0" fontId="110" fillId="15" borderId="0" xfId="0" applyNumberFormat="1" applyFont="1" applyFill="1" applyAlignment="1" applyProtection="1">
      <alignment vertical="center"/>
      <protection locked="0"/>
    </xf>
    <xf numFmtId="0" fontId="110" fillId="15" borderId="0" xfId="0" applyFont="1" applyFill="1" applyAlignment="1" applyProtection="1">
      <alignment vertical="center"/>
      <protection locked="0"/>
    </xf>
    <xf numFmtId="0" fontId="64" fillId="0" borderId="0" xfId="0" applyFont="1" applyAlignment="1" applyProtection="1">
      <alignment vertical="center"/>
    </xf>
    <xf numFmtId="0" fontId="64"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6"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4" fillId="2" borderId="97" xfId="0" applyFont="1" applyFill="1" applyBorder="1" applyAlignment="1" applyProtection="1">
      <alignment vertical="center" wrapText="1"/>
    </xf>
    <xf numFmtId="14" fontId="64" fillId="2" borderId="101" xfId="0" applyNumberFormat="1" applyFont="1" applyFill="1" applyBorder="1" applyAlignment="1" applyProtection="1">
      <alignment horizontal="center" vertical="center"/>
    </xf>
    <xf numFmtId="0" fontId="64" fillId="2" borderId="0" xfId="0" applyFont="1" applyFill="1" applyAlignment="1" applyProtection="1">
      <alignment vertical="center"/>
      <protection locked="0"/>
    </xf>
    <xf numFmtId="179" fontId="64" fillId="2" borderId="0" xfId="0" applyNumberFormat="1" applyFont="1" applyFill="1" applyAlignment="1" applyProtection="1">
      <alignment vertical="center"/>
      <protection locked="0"/>
    </xf>
    <xf numFmtId="0" fontId="64" fillId="2" borderId="0" xfId="0" applyFont="1" applyFill="1" applyAlignment="1" applyProtection="1">
      <alignment vertical="center" wrapText="1"/>
    </xf>
    <xf numFmtId="0" fontId="64" fillId="2" borderId="0" xfId="0" applyFont="1" applyFill="1" applyAlignment="1" applyProtection="1">
      <alignment vertical="center"/>
    </xf>
    <xf numFmtId="0" fontId="64" fillId="2" borderId="109" xfId="0" applyFont="1" applyFill="1" applyBorder="1" applyAlignment="1" applyProtection="1">
      <alignment vertical="center"/>
    </xf>
    <xf numFmtId="179" fontId="64" fillId="2" borderId="109" xfId="0" applyNumberFormat="1" applyFont="1" applyFill="1" applyBorder="1" applyAlignment="1" applyProtection="1">
      <alignment vertical="center"/>
    </xf>
    <xf numFmtId="0" fontId="64" fillId="2" borderId="3" xfId="53" applyFont="1" applyFill="1" applyBorder="1" applyAlignment="1" applyProtection="1">
      <alignment vertical="center" wrapText="1"/>
    </xf>
    <xf numFmtId="0" fontId="64" fillId="2" borderId="4" xfId="53" applyFont="1" applyFill="1" applyBorder="1" applyAlignment="1" applyProtection="1">
      <alignment vertical="center" wrapText="1"/>
    </xf>
    <xf numFmtId="0" fontId="64" fillId="2" borderId="74" xfId="53" applyFont="1" applyFill="1" applyBorder="1" applyAlignment="1" applyProtection="1">
      <alignment vertical="center" wrapText="1"/>
    </xf>
    <xf numFmtId="182" fontId="68" fillId="2" borderId="3" xfId="53" applyNumberFormat="1"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179" fontId="64" fillId="2" borderId="4" xfId="0" applyNumberFormat="1" applyFont="1" applyFill="1" applyBorder="1" applyAlignment="1" applyProtection="1">
      <alignment horizontal="center" vertical="center" wrapText="1"/>
    </xf>
    <xf numFmtId="178" fontId="54" fillId="2" borderId="6" xfId="53" applyNumberFormat="1" applyFont="1" applyFill="1" applyBorder="1" applyAlignment="1" applyProtection="1">
      <alignment horizontal="left" vertical="center"/>
    </xf>
    <xf numFmtId="178" fontId="64" fillId="2" borderId="7" xfId="53" applyNumberFormat="1" applyFont="1" applyFill="1" applyBorder="1" applyAlignment="1" applyProtection="1">
      <alignment vertical="center"/>
    </xf>
    <xf numFmtId="178" fontId="64" fillId="13" borderId="13" xfId="53" applyNumberFormat="1" applyFont="1" applyFill="1" applyBorder="1" applyAlignment="1" applyProtection="1">
      <alignment vertical="center"/>
      <protection locked="0"/>
    </xf>
    <xf numFmtId="178" fontId="54" fillId="2" borderId="6" xfId="53"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9" fontId="68" fillId="2" borderId="7" xfId="53" applyNumberFormat="1" applyFont="1" applyFill="1" applyBorder="1" applyAlignment="1" applyProtection="1">
      <alignment horizontal="center" vertical="center"/>
    </xf>
    <xf numFmtId="182" fontId="68" fillId="2" borderId="7" xfId="53"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64" fillId="0" borderId="7" xfId="0" applyNumberFormat="1" applyFont="1" applyFill="1" applyBorder="1" applyAlignment="1" applyProtection="1">
      <alignment horizontal="center" vertical="center"/>
      <protection locked="0"/>
    </xf>
    <xf numFmtId="178" fontId="64" fillId="2" borderId="6" xfId="53" applyNumberFormat="1" applyFont="1" applyFill="1" applyBorder="1" applyAlignment="1" applyProtection="1">
      <alignment horizontal="left" vertical="center" wrapText="1"/>
      <protection locked="0"/>
    </xf>
    <xf numFmtId="178" fontId="64" fillId="2" borderId="13" xfId="53" applyNumberFormat="1" applyFont="1" applyFill="1" applyBorder="1" applyAlignment="1" applyProtection="1">
      <alignment vertical="center"/>
    </xf>
    <xf numFmtId="181" fontId="66" fillId="2" borderId="7" xfId="0" applyNumberFormat="1" applyFont="1" applyFill="1" applyBorder="1" applyAlignment="1" applyProtection="1">
      <alignment horizontal="center" vertical="center"/>
      <protection locked="0"/>
    </xf>
    <xf numFmtId="0" fontId="74" fillId="2" borderId="9" xfId="53" applyFont="1" applyFill="1" applyBorder="1" applyAlignment="1" applyProtection="1">
      <alignment vertical="center" wrapText="1"/>
    </xf>
    <xf numFmtId="0" fontId="74" fillId="2" borderId="10" xfId="53" applyFont="1" applyFill="1" applyBorder="1" applyAlignment="1" applyProtection="1">
      <alignment vertical="center"/>
    </xf>
    <xf numFmtId="0" fontId="74" fillId="2" borderId="9" xfId="53" applyFont="1" applyFill="1" applyBorder="1" applyAlignment="1" applyProtection="1">
      <alignment vertical="center"/>
    </xf>
    <xf numFmtId="0" fontId="74" fillId="2" borderId="10" xfId="53" applyFont="1" applyFill="1" applyBorder="1" applyAlignment="1" applyProtection="1">
      <alignment horizontal="center" vertical="center"/>
    </xf>
    <xf numFmtId="181" fontId="74" fillId="2" borderId="10" xfId="53" applyNumberFormat="1" applyFont="1" applyFill="1" applyBorder="1" applyAlignment="1" applyProtection="1">
      <alignment vertical="center"/>
    </xf>
    <xf numFmtId="0" fontId="90"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4" fillId="7" borderId="0" xfId="0" applyFont="1" applyFill="1" applyAlignment="1" applyProtection="1">
      <alignment vertical="center"/>
    </xf>
    <xf numFmtId="0" fontId="64" fillId="7" borderId="0" xfId="0" applyFont="1" applyFill="1" applyAlignment="1" applyProtection="1">
      <alignment vertical="center"/>
      <protection locked="0"/>
    </xf>
    <xf numFmtId="179" fontId="64" fillId="7" borderId="0" xfId="0" applyNumberFormat="1" applyFont="1" applyFill="1" applyAlignment="1" applyProtection="1">
      <alignment vertical="center"/>
      <protection locked="0"/>
    </xf>
    <xf numFmtId="185" fontId="68" fillId="2" borderId="3" xfId="53" applyNumberFormat="1" applyFont="1" applyFill="1" applyBorder="1" applyAlignment="1" applyProtection="1">
      <alignment vertical="center" wrapText="1"/>
    </xf>
    <xf numFmtId="185" fontId="68" fillId="0" borderId="5" xfId="53"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5" fontId="68" fillId="2" borderId="6" xfId="53" applyNumberFormat="1" applyFont="1" applyFill="1" applyBorder="1" applyAlignment="1" applyProtection="1">
      <alignment vertical="center" wrapText="1"/>
    </xf>
    <xf numFmtId="185" fontId="64" fillId="0" borderId="8" xfId="53" applyNumberFormat="1" applyFont="1" applyFill="1" applyBorder="1" applyAlignment="1" applyProtection="1">
      <alignment horizontal="center" vertical="center"/>
      <protection locked="0"/>
    </xf>
    <xf numFmtId="0" fontId="95" fillId="7" borderId="0" xfId="0" applyFont="1" applyFill="1" applyAlignment="1" applyProtection="1">
      <alignment vertical="center"/>
    </xf>
    <xf numFmtId="185" fontId="64" fillId="2" borderId="6" xfId="53" applyNumberFormat="1" applyFont="1" applyFill="1" applyBorder="1" applyAlignment="1" applyProtection="1">
      <alignment vertical="center" wrapText="1"/>
    </xf>
    <xf numFmtId="185" fontId="68" fillId="2" borderId="8" xfId="53" applyNumberFormat="1" applyFont="1" applyFill="1" applyBorder="1" applyAlignment="1" applyProtection="1">
      <alignment horizontal="center" vertical="center"/>
    </xf>
    <xf numFmtId="185" fontId="68" fillId="2" borderId="9" xfId="53" applyNumberFormat="1" applyFont="1" applyFill="1" applyBorder="1" applyAlignment="1" applyProtection="1">
      <alignment vertical="center" wrapText="1"/>
    </xf>
    <xf numFmtId="185" fontId="68" fillId="2" borderId="11" xfId="53" applyNumberFormat="1" applyFont="1" applyFill="1" applyBorder="1" applyAlignment="1" applyProtection="1">
      <alignment horizontal="center" vertical="center"/>
    </xf>
    <xf numFmtId="0" fontId="64" fillId="2" borderId="99" xfId="0" applyFont="1" applyFill="1" applyBorder="1" applyAlignment="1" applyProtection="1">
      <alignment horizontal="center" vertical="center"/>
    </xf>
    <xf numFmtId="0" fontId="64" fillId="7" borderId="101" xfId="0" applyFont="1" applyFill="1" applyBorder="1" applyAlignment="1" applyProtection="1">
      <alignment horizontal="center" vertical="center"/>
      <protection locked="0"/>
    </xf>
    <xf numFmtId="0" fontId="64" fillId="2" borderId="3" xfId="0" applyFont="1" applyFill="1" applyBorder="1" applyAlignment="1" applyProtection="1">
      <alignment vertical="center" wrapText="1"/>
    </xf>
    <xf numFmtId="0" fontId="25" fillId="0" borderId="5" xfId="53"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79" fontId="64" fillId="7" borderId="0" xfId="0" applyNumberFormat="1" applyFont="1" applyFill="1" applyAlignment="1" applyProtection="1">
      <alignment horizontal="center" vertical="center"/>
      <protection locked="0"/>
    </xf>
    <xf numFmtId="0" fontId="64" fillId="2" borderId="6" xfId="0" applyFont="1" applyFill="1" applyBorder="1" applyAlignment="1" applyProtection="1">
      <alignment vertical="center" wrapText="1"/>
    </xf>
    <xf numFmtId="0" fontId="25" fillId="0" borderId="8" xfId="53" applyNumberFormat="1" applyFont="1" applyFill="1" applyBorder="1" applyAlignment="1" applyProtection="1">
      <alignment horizontal="center" vertical="center"/>
      <protection locked="0"/>
    </xf>
    <xf numFmtId="0" fontId="95" fillId="7" borderId="0" xfId="0" applyFont="1" applyFill="1" applyAlignment="1" applyProtection="1">
      <alignment horizontal="center" vertical="center"/>
      <protection locked="0"/>
    </xf>
    <xf numFmtId="0" fontId="64" fillId="2" borderId="9" xfId="0" applyFont="1" applyFill="1" applyBorder="1" applyAlignment="1" applyProtection="1">
      <alignment vertical="center" wrapText="1"/>
    </xf>
    <xf numFmtId="0" fontId="25" fillId="0" borderId="11" xfId="53" applyNumberFormat="1" applyFont="1" applyFill="1" applyBorder="1" applyAlignment="1" applyProtection="1">
      <alignment horizontal="center" vertical="center"/>
      <protection locked="0"/>
    </xf>
    <xf numFmtId="0" fontId="95" fillId="7" borderId="0" xfId="0" applyFont="1" applyFill="1" applyAlignment="1" applyProtection="1">
      <alignment horizontal="left" vertical="center"/>
    </xf>
    <xf numFmtId="0" fontId="64" fillId="2" borderId="110" xfId="0" applyFont="1" applyFill="1" applyBorder="1" applyAlignment="1" applyProtection="1">
      <alignment vertical="center" wrapText="1"/>
    </xf>
    <xf numFmtId="0" fontId="25" fillId="0" borderId="85" xfId="53" applyNumberFormat="1" applyFont="1" applyFill="1" applyBorder="1" applyAlignment="1" applyProtection="1">
      <alignment horizontal="center" vertical="center"/>
      <protection locked="0"/>
    </xf>
    <xf numFmtId="0" fontId="68" fillId="2" borderId="8" xfId="53" applyNumberFormat="1" applyFont="1" applyFill="1" applyBorder="1" applyAlignment="1" applyProtection="1">
      <alignment horizontal="center" vertical="center"/>
    </xf>
    <xf numFmtId="0" fontId="95" fillId="7" borderId="0" xfId="0" applyFont="1" applyFill="1" applyAlignment="1" applyProtection="1">
      <alignment horizontal="left" vertical="center"/>
      <protection locked="0"/>
    </xf>
    <xf numFmtId="0" fontId="64" fillId="2" borderId="68" xfId="0" applyFont="1" applyFill="1" applyBorder="1" applyAlignment="1" applyProtection="1">
      <alignment vertical="center" wrapText="1"/>
    </xf>
    <xf numFmtId="0" fontId="25" fillId="0" borderId="69" xfId="53"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5"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4"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4" fillId="2" borderId="5" xfId="0" applyNumberFormat="1" applyFont="1" applyFill="1" applyBorder="1" applyAlignment="1" applyProtection="1">
      <alignment horizontal="center" vertical="center"/>
    </xf>
    <xf numFmtId="0" fontId="64" fillId="2" borderId="68" xfId="0" applyFont="1" applyFill="1" applyBorder="1" applyAlignment="1" applyProtection="1">
      <alignment horizontal="left" vertical="center" wrapText="1"/>
    </xf>
    <xf numFmtId="10" fontId="64"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64" fillId="2" borderId="69" xfId="0" applyNumberFormat="1" applyFont="1" applyFill="1" applyBorder="1" applyAlignment="1" applyProtection="1">
      <alignment horizontal="center" vertical="center"/>
    </xf>
    <xf numFmtId="0" fontId="64" fillId="2" borderId="68" xfId="0" applyFont="1" applyFill="1" applyBorder="1" applyAlignment="1" applyProtection="1">
      <alignment horizontal="right" vertical="center" wrapText="1"/>
    </xf>
    <xf numFmtId="10" fontId="64" fillId="13" borderId="69" xfId="0" applyNumberFormat="1" applyFont="1" applyFill="1" applyBorder="1" applyAlignment="1" applyProtection="1">
      <alignment horizontal="center" vertical="center"/>
      <protection locked="0"/>
    </xf>
    <xf numFmtId="0" fontId="64" fillId="2" borderId="9" xfId="0" applyFont="1" applyFill="1" applyBorder="1" applyAlignment="1" applyProtection="1">
      <alignment horizontal="right" vertical="center" wrapText="1"/>
    </xf>
    <xf numFmtId="10" fontId="64"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64" fillId="2" borderId="76" xfId="0" applyFont="1" applyFill="1" applyBorder="1" applyAlignment="1" applyProtection="1">
      <alignment vertical="center" wrapText="1"/>
    </xf>
    <xf numFmtId="10" fontId="64" fillId="0" borderId="88" xfId="0" applyNumberFormat="1" applyFont="1" applyFill="1" applyBorder="1" applyAlignment="1" applyProtection="1">
      <alignment horizontal="center" vertical="center"/>
      <protection locked="0"/>
    </xf>
    <xf numFmtId="0" fontId="64" fillId="2" borderId="67" xfId="0" applyFont="1" applyFill="1" applyBorder="1" applyAlignment="1" applyProtection="1">
      <alignment vertical="center" wrapText="1"/>
    </xf>
    <xf numFmtId="10" fontId="64" fillId="2" borderId="81" xfId="0" applyNumberFormat="1" applyFont="1" applyFill="1" applyBorder="1" applyAlignment="1" applyProtection="1">
      <alignment horizontal="center" vertical="center"/>
    </xf>
    <xf numFmtId="10" fontId="64" fillId="2" borderId="11" xfId="0" applyNumberFormat="1" applyFont="1" applyFill="1" applyBorder="1" applyAlignment="1" applyProtection="1">
      <alignment horizontal="center" vertical="center"/>
    </xf>
    <xf numFmtId="183" fontId="64" fillId="2" borderId="81" xfId="0" applyNumberFormat="1" applyFont="1" applyFill="1" applyBorder="1" applyAlignment="1" applyProtection="1">
      <alignment horizontal="center" vertical="center"/>
    </xf>
    <xf numFmtId="0" fontId="64" fillId="13" borderId="8"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64" fillId="0" borderId="6" xfId="0" applyFont="1" applyBorder="1" applyAlignment="1" applyProtection="1">
      <alignment horizontal="right" vertical="center" wrapText="1"/>
      <protection locked="0"/>
    </xf>
    <xf numFmtId="0" fontId="64" fillId="0" borderId="8" xfId="0" applyFont="1" applyBorder="1" applyAlignment="1" applyProtection="1">
      <alignment horizontal="center" vertical="center"/>
      <protection locked="0"/>
    </xf>
    <xf numFmtId="0" fontId="64" fillId="0" borderId="9" xfId="0" applyFont="1" applyBorder="1" applyAlignment="1" applyProtection="1">
      <alignment horizontal="right" vertical="center" wrapText="1"/>
      <protection locked="0"/>
    </xf>
    <xf numFmtId="0" fontId="64"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4" fillId="2" borderId="0" xfId="0" applyFont="1" applyFill="1" applyAlignment="1" applyProtection="1">
      <alignment horizontal="center" vertical="center"/>
      <protection locked="0"/>
    </xf>
    <xf numFmtId="0" fontId="64" fillId="2" borderId="123" xfId="0" applyFont="1" applyFill="1" applyBorder="1" applyAlignment="1" applyProtection="1">
      <alignment vertical="center"/>
    </xf>
    <xf numFmtId="0" fontId="64" fillId="2" borderId="108"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4" fillId="2" borderId="3" xfId="53" applyNumberFormat="1" applyFont="1" applyFill="1" applyBorder="1" applyAlignment="1" applyProtection="1">
      <alignment horizontal="center" vertical="center" wrapText="1"/>
    </xf>
    <xf numFmtId="0" fontId="64" fillId="2" borderId="4" xfId="53" applyFont="1" applyFill="1" applyBorder="1" applyAlignment="1" applyProtection="1">
      <alignment horizontal="center" vertical="center" wrapText="1"/>
    </xf>
    <xf numFmtId="179" fontId="64" fillId="2" borderId="4" xfId="53" applyNumberFormat="1" applyFont="1" applyFill="1" applyBorder="1" applyAlignment="1" applyProtection="1">
      <alignment horizontal="center" vertical="center" wrapText="1"/>
    </xf>
    <xf numFmtId="0" fontId="64" fillId="3" borderId="4" xfId="53" applyFont="1" applyFill="1" applyBorder="1" applyAlignment="1" applyProtection="1">
      <alignment horizontal="center" vertical="center" wrapText="1"/>
      <protection locked="0"/>
    </xf>
    <xf numFmtId="0" fontId="64" fillId="2" borderId="74" xfId="53" applyFont="1" applyFill="1" applyBorder="1" applyAlignment="1" applyProtection="1">
      <alignment horizontal="center" vertical="center" wrapText="1"/>
    </xf>
    <xf numFmtId="179" fontId="54" fillId="2" borderId="6" xfId="53" applyNumberFormat="1" applyFont="1" applyFill="1" applyBorder="1" applyAlignment="1" applyProtection="1">
      <alignment horizontal="center" vertical="center"/>
    </xf>
    <xf numFmtId="178" fontId="54" fillId="0" borderId="7" xfId="53" applyNumberFormat="1" applyFont="1" applyFill="1" applyBorder="1" applyAlignment="1" applyProtection="1">
      <alignment horizontal="center" vertical="center"/>
      <protection locked="0"/>
    </xf>
    <xf numFmtId="0" fontId="64" fillId="2" borderId="7" xfId="53" applyNumberFormat="1" applyFont="1" applyFill="1" applyBorder="1" applyAlignment="1" applyProtection="1">
      <alignment horizontal="center" vertical="center"/>
    </xf>
    <xf numFmtId="10" fontId="54" fillId="0" borderId="7" xfId="53" applyNumberFormat="1" applyFont="1" applyFill="1" applyBorder="1" applyAlignment="1" applyProtection="1">
      <alignment horizontal="center" vertical="center"/>
      <protection locked="0"/>
    </xf>
    <xf numFmtId="0" fontId="64" fillId="2" borderId="13" xfId="0" applyNumberFormat="1" applyFont="1" applyFill="1" applyBorder="1" applyAlignment="1" applyProtection="1">
      <alignment horizontal="center" vertical="center"/>
    </xf>
    <xf numFmtId="178" fontId="64" fillId="0" borderId="7" xfId="53" applyNumberFormat="1" applyFont="1" applyFill="1" applyBorder="1" applyAlignment="1" applyProtection="1">
      <alignment horizontal="center" vertical="center"/>
      <protection locked="0"/>
    </xf>
    <xf numFmtId="10" fontId="64" fillId="0" borderId="7" xfId="53" applyNumberFormat="1" applyFont="1" applyFill="1" applyBorder="1" applyAlignment="1" applyProtection="1">
      <alignment horizontal="center" vertical="center"/>
      <protection locked="0"/>
    </xf>
    <xf numFmtId="178" fontId="64" fillId="2" borderId="7" xfId="53" applyNumberFormat="1" applyFont="1" applyFill="1" applyBorder="1" applyAlignment="1" applyProtection="1">
      <alignment horizontal="center" vertical="center"/>
    </xf>
    <xf numFmtId="10" fontId="64" fillId="2" borderId="7" xfId="53" applyNumberFormat="1" applyFont="1" applyFill="1" applyBorder="1" applyAlignment="1" applyProtection="1">
      <alignment horizontal="center" vertical="center"/>
    </xf>
    <xf numFmtId="0" fontId="74" fillId="2" borderId="11" xfId="53" applyFont="1" applyFill="1" applyBorder="1" applyAlignment="1" applyProtection="1">
      <alignment vertical="center"/>
    </xf>
    <xf numFmtId="185" fontId="64" fillId="2" borderId="9" xfId="0" applyNumberFormat="1" applyFont="1" applyFill="1" applyBorder="1" applyAlignment="1" applyProtection="1">
      <alignment horizontal="center" vertical="center"/>
    </xf>
    <xf numFmtId="0" fontId="64" fillId="2" borderId="10" xfId="53" applyNumberFormat="1" applyFont="1" applyFill="1" applyBorder="1" applyAlignment="1" applyProtection="1">
      <alignment horizontal="center" vertical="center"/>
    </xf>
    <xf numFmtId="10" fontId="64" fillId="2" borderId="10" xfId="53"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4"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64" fillId="2" borderId="3" xfId="53" applyFont="1" applyFill="1" applyBorder="1" applyAlignment="1" applyProtection="1">
      <alignment horizontal="center" vertical="center" wrapText="1"/>
    </xf>
    <xf numFmtId="0" fontId="64" fillId="2" borderId="73" xfId="53" applyFont="1" applyFill="1" applyBorder="1" applyAlignment="1" applyProtection="1">
      <alignment horizontal="center" vertical="center" wrapText="1"/>
    </xf>
    <xf numFmtId="0" fontId="64" fillId="2" borderId="81" xfId="53" applyFont="1" applyFill="1" applyBorder="1" applyAlignment="1" applyProtection="1">
      <alignment horizontal="center" vertical="center" wrapText="1"/>
    </xf>
    <xf numFmtId="0" fontId="64"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4" fillId="2" borderId="6" xfId="53" applyNumberFormat="1" applyFont="1" applyFill="1" applyBorder="1" applyAlignment="1" applyProtection="1">
      <alignment horizontal="center" vertical="center"/>
    </xf>
    <xf numFmtId="179" fontId="64" fillId="2" borderId="7" xfId="0" applyNumberFormat="1" applyFont="1" applyFill="1" applyBorder="1" applyAlignment="1" applyProtection="1">
      <alignment horizontal="center" vertical="center"/>
    </xf>
    <xf numFmtId="0" fontId="64" fillId="2" borderId="8" xfId="53" applyNumberFormat="1" applyFont="1" applyFill="1" applyBorder="1" applyAlignment="1" applyProtection="1">
      <alignment horizontal="center" vertical="center"/>
    </xf>
    <xf numFmtId="179" fontId="64" fillId="0" borderId="6" xfId="0" applyNumberFormat="1" applyFont="1" applyBorder="1" applyAlignment="1" applyProtection="1">
      <alignment horizontal="center" vertical="center"/>
      <protection locked="0"/>
    </xf>
    <xf numFmtId="181" fontId="64" fillId="0" borderId="7" xfId="0" applyNumberFormat="1" applyFont="1" applyBorder="1" applyAlignment="1" applyProtection="1">
      <alignment vertical="center"/>
      <protection locked="0"/>
    </xf>
    <xf numFmtId="181" fontId="64"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4" fillId="0" borderId="13" xfId="0" applyNumberFormat="1" applyFont="1" applyFill="1" applyBorder="1" applyAlignment="1" applyProtection="1">
      <alignment horizontal="center" vertical="center"/>
      <protection locked="0"/>
    </xf>
    <xf numFmtId="179" fontId="64" fillId="0" borderId="6" xfId="0" applyNumberFormat="1" applyFont="1" applyBorder="1" applyAlignment="1" applyProtection="1">
      <alignment vertical="center"/>
      <protection locked="0"/>
    </xf>
    <xf numFmtId="9" fontId="64" fillId="2" borderId="13" xfId="0" applyNumberFormat="1" applyFont="1" applyFill="1" applyBorder="1" applyAlignment="1" applyProtection="1">
      <alignment horizontal="center" vertical="center"/>
    </xf>
    <xf numFmtId="0" fontId="64" fillId="2" borderId="6" xfId="0" applyFont="1" applyFill="1" applyBorder="1" applyAlignment="1" applyProtection="1">
      <alignment vertical="center"/>
    </xf>
    <xf numFmtId="181" fontId="64" fillId="2" borderId="7" xfId="0" applyNumberFormat="1" applyFont="1" applyFill="1" applyBorder="1" applyAlignment="1" applyProtection="1">
      <alignment vertical="center"/>
    </xf>
    <xf numFmtId="181" fontId="64" fillId="2" borderId="13" xfId="0" applyNumberFormat="1" applyFont="1" applyFill="1" applyBorder="1" applyAlignment="1" applyProtection="1">
      <alignment vertical="center"/>
    </xf>
    <xf numFmtId="9" fontId="64" fillId="2" borderId="75" xfId="0" applyNumberFormat="1" applyFont="1" applyFill="1" applyBorder="1" applyAlignment="1" applyProtection="1">
      <alignment horizontal="center" vertical="center"/>
    </xf>
    <xf numFmtId="179" fontId="64" fillId="2" borderId="9" xfId="53" applyNumberFormat="1" applyFont="1" applyFill="1" applyBorder="1" applyAlignment="1" applyProtection="1">
      <alignment horizontal="center" vertical="center"/>
    </xf>
    <xf numFmtId="179" fontId="64" fillId="2" borderId="96" xfId="53" applyNumberFormat="1" applyFont="1" applyFill="1" applyBorder="1" applyAlignment="1" applyProtection="1">
      <alignment horizontal="center" vertical="center"/>
    </xf>
    <xf numFmtId="0" fontId="64" fillId="2" borderId="91" xfId="53" applyNumberFormat="1" applyFont="1" applyFill="1" applyBorder="1" applyAlignment="1" applyProtection="1">
      <alignment horizontal="center" vertical="center"/>
    </xf>
    <xf numFmtId="0" fontId="64" fillId="2" borderId="9" xfId="0" applyFont="1" applyFill="1" applyBorder="1" applyAlignment="1" applyProtection="1">
      <alignment vertical="center"/>
    </xf>
    <xf numFmtId="0" fontId="64" fillId="2" borderId="10" xfId="0" applyFont="1" applyFill="1" applyBorder="1" applyAlignment="1" applyProtection="1">
      <alignment vertical="center"/>
    </xf>
    <xf numFmtId="0" fontId="64" fillId="2" borderId="75" xfId="0" applyFont="1" applyFill="1" applyBorder="1" applyAlignment="1" applyProtection="1">
      <alignment vertical="center"/>
    </xf>
    <xf numFmtId="0" fontId="64" fillId="2" borderId="73" xfId="0" applyFont="1" applyFill="1" applyBorder="1" applyAlignment="1" applyProtection="1">
      <alignment vertical="center"/>
    </xf>
    <xf numFmtId="0" fontId="64" fillId="2" borderId="106" xfId="0" applyFont="1" applyFill="1" applyBorder="1" applyAlignment="1" applyProtection="1">
      <alignment vertical="center"/>
    </xf>
    <xf numFmtId="0" fontId="64" fillId="2" borderId="95" xfId="0" applyFont="1" applyFill="1" applyBorder="1" applyAlignment="1" applyProtection="1">
      <alignment horizontal="center" vertical="center" wrapText="1"/>
    </xf>
    <xf numFmtId="181" fontId="64" fillId="0" borderId="8" xfId="0" applyNumberFormat="1" applyFont="1" applyBorder="1" applyAlignment="1" applyProtection="1">
      <alignment vertical="center"/>
      <protection locked="0"/>
    </xf>
    <xf numFmtId="0" fontId="64" fillId="0" borderId="14" xfId="0" applyFont="1" applyBorder="1" applyAlignment="1" applyProtection="1">
      <alignment vertical="center"/>
      <protection locked="0"/>
    </xf>
    <xf numFmtId="181" fontId="64" fillId="0" borderId="13" xfId="0" applyNumberFormat="1" applyFont="1" applyBorder="1" applyAlignment="1" applyProtection="1">
      <alignment vertical="center"/>
      <protection locked="0"/>
    </xf>
    <xf numFmtId="0" fontId="64" fillId="2" borderId="6" xfId="0" applyFont="1" applyFill="1" applyBorder="1" applyAlignment="1" applyProtection="1">
      <alignment horizontal="center" vertical="center"/>
    </xf>
    <xf numFmtId="0" fontId="64" fillId="0" borderId="14" xfId="0" applyFont="1" applyBorder="1" applyAlignment="1" applyProtection="1">
      <alignment horizontal="center" vertical="center"/>
      <protection locked="0"/>
    </xf>
    <xf numFmtId="181" fontId="64" fillId="2" borderId="8" xfId="0" applyNumberFormat="1" applyFont="1" applyFill="1" applyBorder="1" applyAlignment="1" applyProtection="1">
      <alignment vertical="center"/>
    </xf>
    <xf numFmtId="0" fontId="64" fillId="2" borderId="14" xfId="0" applyFont="1" applyFill="1" applyBorder="1" applyAlignment="1" applyProtection="1">
      <alignment vertical="center"/>
    </xf>
    <xf numFmtId="181" fontId="64" fillId="2" borderId="7" xfId="0" applyNumberFormat="1" applyFont="1" applyFill="1" applyBorder="1" applyAlignment="1" applyProtection="1">
      <alignment horizontal="center" vertical="center"/>
    </xf>
    <xf numFmtId="0" fontId="64" fillId="2" borderId="11" xfId="0" applyFont="1" applyFill="1" applyBorder="1" applyAlignment="1" applyProtection="1">
      <alignment vertical="center"/>
    </xf>
    <xf numFmtId="0" fontId="64" fillId="2" borderId="96" xfId="0" applyFont="1" applyFill="1" applyBorder="1" applyAlignment="1" applyProtection="1">
      <alignment vertical="center"/>
    </xf>
    <xf numFmtId="0" fontId="64" fillId="2" borderId="124" xfId="0" applyFont="1" applyFill="1" applyBorder="1" applyAlignment="1" applyProtection="1">
      <alignment vertical="center"/>
    </xf>
    <xf numFmtId="0" fontId="64" fillId="2" borderId="14" xfId="0" applyFont="1" applyFill="1" applyBorder="1" applyAlignment="1" applyProtection="1">
      <alignment horizontal="center" vertical="center" wrapText="1"/>
      <protection locked="0"/>
    </xf>
    <xf numFmtId="0" fontId="64" fillId="0" borderId="6" xfId="0" applyFont="1" applyBorder="1" applyAlignment="1" applyProtection="1">
      <alignment horizontal="center" vertical="center"/>
      <protection locked="0"/>
    </xf>
    <xf numFmtId="0" fontId="64" fillId="3" borderId="14" xfId="0" applyFont="1" applyFill="1" applyBorder="1" applyAlignment="1" applyProtection="1">
      <alignment horizontal="center" vertical="center"/>
      <protection locked="0"/>
    </xf>
    <xf numFmtId="0" fontId="64" fillId="0" borderId="7" xfId="0" applyNumberFormat="1" applyFont="1" applyBorder="1" applyAlignment="1" applyProtection="1">
      <alignment horizontal="center" vertical="center"/>
      <protection locked="0"/>
    </xf>
    <xf numFmtId="10" fontId="64" fillId="0" borderId="7" xfId="0" applyNumberFormat="1" applyFont="1" applyBorder="1" applyAlignment="1" applyProtection="1">
      <alignment horizontal="center" vertical="center"/>
      <protection locked="0"/>
    </xf>
    <xf numFmtId="191" fontId="64" fillId="0" borderId="7" xfId="0" applyNumberFormat="1" applyFont="1" applyBorder="1" applyAlignment="1" applyProtection="1">
      <alignment horizontal="center" vertical="center"/>
      <protection locked="0"/>
    </xf>
    <xf numFmtId="181" fontId="64" fillId="0" borderId="8" xfId="0" applyNumberFormat="1" applyFont="1" applyBorder="1" applyAlignment="1" applyProtection="1">
      <alignment horizontal="center" vertical="center"/>
      <protection locked="0"/>
    </xf>
    <xf numFmtId="0" fontId="24"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4" fillId="0" borderId="7" xfId="0" applyNumberFormat="1" applyFont="1" applyFill="1" applyBorder="1" applyAlignment="1" applyProtection="1">
      <alignment horizontal="center" vertical="center"/>
      <protection locked="0"/>
    </xf>
    <xf numFmtId="191" fontId="64" fillId="0" borderId="7" xfId="0" applyNumberFormat="1" applyFont="1" applyFill="1" applyBorder="1" applyAlignment="1" applyProtection="1">
      <alignment horizontal="center" vertical="center"/>
      <protection locked="0"/>
    </xf>
    <xf numFmtId="181" fontId="64" fillId="0" borderId="8" xfId="0" applyNumberFormat="1" applyFont="1" applyFill="1" applyBorder="1" applyAlignment="1" applyProtection="1">
      <alignment horizontal="center" vertical="center"/>
      <protection locked="0"/>
    </xf>
    <xf numFmtId="10" fontId="64" fillId="2" borderId="7" xfId="0" applyNumberFormat="1" applyFont="1" applyFill="1" applyBorder="1" applyAlignment="1" applyProtection="1">
      <alignment horizontal="center" vertical="center"/>
    </xf>
    <xf numFmtId="191" fontId="64" fillId="2" borderId="7" xfId="0" applyNumberFormat="1" applyFont="1" applyFill="1" applyBorder="1" applyAlignment="1" applyProtection="1">
      <alignment horizontal="center" vertical="center"/>
    </xf>
    <xf numFmtId="181" fontId="64" fillId="2" borderId="8" xfId="0" applyNumberFormat="1" applyFont="1" applyFill="1" applyBorder="1" applyAlignment="1" applyProtection="1">
      <alignment horizontal="center" vertical="center"/>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right" vertical="center" wrapText="1"/>
    </xf>
    <xf numFmtId="0" fontId="64" fillId="2" borderId="7" xfId="53" applyFont="1" applyFill="1" applyBorder="1" applyAlignment="1" applyProtection="1">
      <alignment horizontal="center" vertical="center" wrapText="1"/>
    </xf>
    <xf numFmtId="0" fontId="64" fillId="2" borderId="7" xfId="0" applyFont="1" applyFill="1" applyBorder="1" applyAlignment="1" applyProtection="1">
      <alignment horizontal="right" vertical="center"/>
    </xf>
    <xf numFmtId="179" fontId="54" fillId="15"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4" fillId="0" borderId="0" xfId="0" applyFont="1" applyProtection="1">
      <alignment vertical="center"/>
      <protection locked="0"/>
    </xf>
    <xf numFmtId="0" fontId="64" fillId="0" borderId="0" xfId="0" applyFont="1" applyFill="1" applyProtection="1">
      <alignment vertical="center"/>
      <protection locked="0"/>
    </xf>
    <xf numFmtId="185" fontId="71" fillId="2" borderId="7" xfId="53" applyNumberFormat="1" applyFont="1" applyFill="1" applyBorder="1" applyAlignment="1" applyProtection="1">
      <alignment horizontal="center" vertical="center"/>
    </xf>
    <xf numFmtId="0" fontId="64" fillId="7" borderId="0" xfId="0" applyFont="1" applyFill="1" applyProtection="1">
      <alignment vertical="center"/>
      <protection locked="0"/>
    </xf>
    <xf numFmtId="0" fontId="64" fillId="2" borderId="82" xfId="0" applyFont="1" applyFill="1" applyBorder="1" applyProtection="1">
      <alignment vertical="center"/>
    </xf>
    <xf numFmtId="0" fontId="64" fillId="2" borderId="83" xfId="0" applyFont="1" applyFill="1" applyBorder="1" applyProtection="1">
      <alignment vertical="center"/>
    </xf>
    <xf numFmtId="0" fontId="74" fillId="2" borderId="12" xfId="0" applyFont="1" applyFill="1" applyBorder="1" applyAlignment="1" applyProtection="1">
      <alignment horizontal="center" vertical="center"/>
    </xf>
    <xf numFmtId="0" fontId="74" fillId="2" borderId="12" xfId="0" applyFont="1" applyFill="1" applyBorder="1" applyAlignment="1" applyProtection="1">
      <alignment vertical="center"/>
    </xf>
    <xf numFmtId="0" fontId="64" fillId="2" borderId="68" xfId="0" applyFont="1" applyFill="1" applyBorder="1" applyProtection="1">
      <alignment vertical="center"/>
    </xf>
    <xf numFmtId="0" fontId="74" fillId="2" borderId="95"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185" fontId="71" fillId="2" borderId="5" xfId="53" applyNumberFormat="1" applyFont="1" applyFill="1" applyBorder="1" applyAlignment="1" applyProtection="1">
      <alignment horizontal="center" vertical="center"/>
    </xf>
    <xf numFmtId="0" fontId="64" fillId="2" borderId="110" xfId="0" applyFont="1" applyFill="1" applyBorder="1" applyProtection="1">
      <alignment vertical="center"/>
    </xf>
    <xf numFmtId="0" fontId="64" fillId="2" borderId="68" xfId="0" applyFont="1" applyFill="1" applyBorder="1" applyAlignment="1" applyProtection="1">
      <alignment vertical="center"/>
    </xf>
    <xf numFmtId="0" fontId="64" fillId="2" borderId="7" xfId="0" applyFont="1" applyFill="1" applyBorder="1" applyAlignment="1" applyProtection="1">
      <alignment vertical="center"/>
    </xf>
    <xf numFmtId="185" fontId="64" fillId="2" borderId="8" xfId="0" applyNumberFormat="1" applyFont="1" applyFill="1" applyBorder="1" applyAlignment="1" applyProtection="1">
      <alignment vertical="center"/>
    </xf>
    <xf numFmtId="0" fontId="64" fillId="2" borderId="79" xfId="0" applyFont="1" applyFill="1" applyBorder="1" applyAlignment="1" applyProtection="1">
      <alignment vertical="center"/>
    </xf>
    <xf numFmtId="0" fontId="64" fillId="2" borderId="76" xfId="0" applyFont="1" applyFill="1" applyBorder="1" applyProtection="1">
      <alignment vertical="center"/>
    </xf>
    <xf numFmtId="0" fontId="64" fillId="2" borderId="12" xfId="0" applyFont="1" applyFill="1" applyBorder="1" applyProtection="1">
      <alignment vertical="center"/>
    </xf>
    <xf numFmtId="0" fontId="64" fillId="2" borderId="82" xfId="0" applyFont="1" applyFill="1" applyBorder="1" applyAlignment="1" applyProtection="1">
      <alignment horizontal="center" vertical="center"/>
    </xf>
    <xf numFmtId="0" fontId="64" fillId="2" borderId="83" xfId="0" applyFont="1" applyFill="1" applyBorder="1" applyAlignment="1" applyProtection="1">
      <alignment horizontal="center" vertical="center"/>
    </xf>
    <xf numFmtId="0" fontId="64" fillId="2" borderId="95" xfId="0" applyFont="1" applyFill="1" applyBorder="1" applyAlignment="1" applyProtection="1">
      <alignment horizontal="center" vertical="center"/>
    </xf>
    <xf numFmtId="185" fontId="74" fillId="2" borderId="5" xfId="53" applyNumberFormat="1" applyFont="1" applyFill="1" applyBorder="1" applyAlignment="1" applyProtection="1">
      <alignment horizontal="center" vertical="center"/>
    </xf>
    <xf numFmtId="0" fontId="64" fillId="2" borderId="89" xfId="0" applyFont="1" applyFill="1" applyBorder="1" applyProtection="1">
      <alignment vertical="center"/>
    </xf>
    <xf numFmtId="0" fontId="64" fillId="2" borderId="96" xfId="0" applyFont="1" applyFill="1" applyBorder="1" applyProtection="1">
      <alignment vertical="center"/>
    </xf>
    <xf numFmtId="0" fontId="64" fillId="2" borderId="12" xfId="0" applyFont="1" applyFill="1" applyBorder="1" applyAlignment="1" applyProtection="1">
      <alignment vertical="center"/>
    </xf>
    <xf numFmtId="0" fontId="64" fillId="2" borderId="8" xfId="0" applyFont="1" applyFill="1" applyBorder="1" applyAlignment="1" applyProtection="1">
      <alignment vertical="center"/>
    </xf>
    <xf numFmtId="0" fontId="64" fillId="7" borderId="0" xfId="0" applyFont="1" applyFill="1" applyBorder="1" applyProtection="1">
      <alignment vertical="center"/>
      <protection locked="0"/>
    </xf>
    <xf numFmtId="0" fontId="64" fillId="2" borderId="76" xfId="0" applyFont="1" applyFill="1" applyBorder="1" applyAlignment="1" applyProtection="1">
      <alignment vertical="center"/>
    </xf>
    <xf numFmtId="0" fontId="64" fillId="2" borderId="78" xfId="0" applyFont="1" applyFill="1" applyBorder="1" applyAlignment="1" applyProtection="1">
      <alignment vertical="center"/>
    </xf>
    <xf numFmtId="0" fontId="64" fillId="0" borderId="8" xfId="0" applyFont="1" applyFill="1" applyBorder="1" applyAlignment="1" applyProtection="1">
      <alignment vertical="center"/>
      <protection locked="0"/>
    </xf>
    <xf numFmtId="0" fontId="64" fillId="2" borderId="69" xfId="0" applyFont="1" applyFill="1" applyBorder="1" applyAlignment="1" applyProtection="1">
      <alignment vertical="center"/>
    </xf>
    <xf numFmtId="0" fontId="74" fillId="2" borderId="82" xfId="0" applyFont="1" applyFill="1" applyBorder="1" applyProtection="1">
      <alignment vertical="center"/>
    </xf>
    <xf numFmtId="0" fontId="64" fillId="2" borderId="80" xfId="0" applyFont="1" applyFill="1" applyBorder="1" applyProtection="1">
      <alignment vertical="center"/>
    </xf>
    <xf numFmtId="0" fontId="74" fillId="2" borderId="80" xfId="0" applyFont="1" applyFill="1" applyBorder="1" applyAlignment="1" applyProtection="1">
      <alignment horizontal="center" vertical="center"/>
    </xf>
    <xf numFmtId="185" fontId="71" fillId="2" borderId="66" xfId="53" applyNumberFormat="1" applyFont="1" applyFill="1" applyBorder="1" applyAlignment="1" applyProtection="1">
      <alignment horizontal="center" vertical="center"/>
    </xf>
    <xf numFmtId="185" fontId="71" fillId="2" borderId="83" xfId="53" applyNumberFormat="1" applyFont="1" applyFill="1" applyBorder="1" applyAlignment="1" applyProtection="1">
      <alignment horizontal="center" vertical="center"/>
    </xf>
    <xf numFmtId="185" fontId="71" fillId="2" borderId="84" xfId="53" applyNumberFormat="1" applyFont="1" applyFill="1" applyBorder="1" applyAlignment="1" applyProtection="1">
      <alignment horizontal="center" vertical="center"/>
    </xf>
    <xf numFmtId="0" fontId="74" fillId="2" borderId="145" xfId="0" applyFont="1" applyFill="1" applyBorder="1" applyAlignment="1" applyProtection="1">
      <alignment horizontal="right" vertical="center"/>
    </xf>
    <xf numFmtId="0" fontId="64" fillId="2" borderId="16" xfId="0" applyFont="1" applyFill="1" applyBorder="1" applyAlignment="1" applyProtection="1">
      <alignment vertical="center"/>
    </xf>
    <xf numFmtId="0" fontId="64" fillId="2" borderId="0" xfId="0" applyFont="1" applyFill="1" applyBorder="1" applyAlignment="1" applyProtection="1">
      <alignment vertical="center"/>
    </xf>
    <xf numFmtId="0" fontId="74" fillId="2" borderId="16" xfId="0" applyFont="1" applyFill="1" applyBorder="1" applyAlignment="1" applyProtection="1">
      <alignment horizontal="center" vertical="center"/>
    </xf>
    <xf numFmtId="185" fontId="68" fillId="2" borderId="16" xfId="53" applyNumberFormat="1"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70" xfId="0" applyFont="1" applyFill="1" applyBorder="1" applyProtection="1">
      <alignment vertical="center"/>
    </xf>
    <xf numFmtId="178" fontId="84" fillId="0" borderId="7" xfId="53" applyNumberFormat="1" applyFont="1" applyFill="1" applyBorder="1" applyAlignment="1" applyProtection="1">
      <alignment vertical="center"/>
      <protection locked="0" hidden="1"/>
    </xf>
    <xf numFmtId="185" fontId="64"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4" fillId="2" borderId="70" xfId="0" applyFont="1" applyFill="1" applyBorder="1" applyAlignment="1" applyProtection="1">
      <alignment vertical="center"/>
    </xf>
    <xf numFmtId="178" fontId="121" fillId="0" borderId="7" xfId="53" applyNumberFormat="1" applyFont="1" applyFill="1" applyBorder="1" applyAlignment="1" applyProtection="1">
      <alignment vertical="center"/>
      <protection locked="0"/>
    </xf>
    <xf numFmtId="0" fontId="64" fillId="0" borderId="94" xfId="0" applyFont="1" applyFill="1" applyBorder="1" applyProtection="1">
      <alignment vertical="center"/>
      <protection locked="0"/>
    </xf>
    <xf numFmtId="0" fontId="64" fillId="0" borderId="69" xfId="0" applyFont="1" applyFill="1" applyBorder="1" applyProtection="1">
      <alignment vertical="center"/>
      <protection locked="0"/>
    </xf>
    <xf numFmtId="178" fontId="64" fillId="0" borderId="14" xfId="53" applyNumberFormat="1" applyFont="1" applyFill="1" applyBorder="1" applyAlignment="1" applyProtection="1">
      <alignment vertical="center"/>
      <protection locked="0"/>
    </xf>
    <xf numFmtId="185" fontId="74" fillId="2" borderId="7" xfId="0" applyNumberFormat="1" applyFont="1" applyFill="1" applyBorder="1" applyAlignment="1" applyProtection="1">
      <alignment vertical="center"/>
    </xf>
    <xf numFmtId="185" fontId="74" fillId="2" borderId="7" xfId="0" applyNumberFormat="1" applyFont="1" applyFill="1" applyBorder="1" applyAlignment="1" applyProtection="1">
      <alignment horizontal="center" vertical="center"/>
    </xf>
    <xf numFmtId="185" fontId="74" fillId="2" borderId="8" xfId="0" applyNumberFormat="1" applyFont="1" applyFill="1" applyBorder="1" applyAlignment="1" applyProtection="1">
      <alignment vertical="center"/>
    </xf>
    <xf numFmtId="185" fontId="74" fillId="2" borderId="9" xfId="0" applyNumberFormat="1" applyFont="1" applyFill="1" applyBorder="1" applyAlignment="1" applyProtection="1">
      <alignment vertical="center"/>
    </xf>
    <xf numFmtId="0" fontId="64" fillId="2" borderId="87" xfId="0" applyFont="1" applyFill="1" applyBorder="1" applyProtection="1">
      <alignment vertical="center"/>
    </xf>
    <xf numFmtId="0" fontId="64" fillId="2" borderId="94" xfId="0" applyFont="1" applyFill="1" applyBorder="1" applyProtection="1">
      <alignment vertical="center"/>
    </xf>
    <xf numFmtId="0" fontId="64" fillId="2" borderId="69" xfId="0" applyFont="1" applyFill="1" applyBorder="1" applyProtection="1">
      <alignment vertical="center"/>
    </xf>
    <xf numFmtId="0" fontId="74" fillId="2" borderId="94" xfId="0" applyFont="1" applyFill="1" applyBorder="1" applyAlignment="1" applyProtection="1">
      <alignment horizontal="left" vertical="center"/>
    </xf>
    <xf numFmtId="0" fontId="64" fillId="2" borderId="107" xfId="0" applyFont="1" applyFill="1" applyBorder="1" applyAlignment="1" applyProtection="1">
      <alignment vertical="center"/>
    </xf>
    <xf numFmtId="0" fontId="64" fillId="2" borderId="75" xfId="0" applyFont="1" applyFill="1" applyBorder="1" applyProtection="1">
      <alignment vertical="center"/>
    </xf>
    <xf numFmtId="179" fontId="74" fillId="2" borderId="96" xfId="0" applyNumberFormat="1" applyFont="1" applyFill="1" applyBorder="1" applyAlignment="1" applyProtection="1">
      <alignment vertical="center"/>
    </xf>
    <xf numFmtId="179" fontId="74" fillId="2" borderId="10" xfId="0" applyNumberFormat="1" applyFont="1" applyFill="1" applyBorder="1" applyAlignment="1" applyProtection="1">
      <alignment vertical="center"/>
    </xf>
    <xf numFmtId="179" fontId="74" fillId="2" borderId="11" xfId="0" applyNumberFormat="1" applyFont="1" applyFill="1" applyBorder="1" applyAlignment="1" applyProtection="1">
      <alignment vertical="center"/>
    </xf>
    <xf numFmtId="0" fontId="64" fillId="2" borderId="16" xfId="0" applyFont="1" applyFill="1" applyBorder="1" applyProtection="1">
      <alignment vertical="center"/>
    </xf>
    <xf numFmtId="179" fontId="64" fillId="2" borderId="16" xfId="0" applyNumberFormat="1" applyFont="1" applyFill="1" applyBorder="1" applyProtection="1">
      <alignment vertical="center"/>
    </xf>
    <xf numFmtId="185" fontId="64" fillId="0" borderId="0" xfId="0" applyNumberFormat="1" applyFont="1" applyProtection="1">
      <alignment vertical="center"/>
      <protection locked="0"/>
    </xf>
    <xf numFmtId="0" fontId="64" fillId="2" borderId="8" xfId="0" applyFont="1" applyFill="1" applyBorder="1" applyAlignment="1" applyProtection="1">
      <alignment horizontal="center" vertical="center"/>
    </xf>
    <xf numFmtId="0" fontId="64" fillId="2" borderId="69" xfId="0" applyFont="1" applyFill="1" applyBorder="1" applyAlignment="1" applyProtection="1">
      <alignment horizontal="center" vertical="center"/>
    </xf>
    <xf numFmtId="0" fontId="64" fillId="0" borderId="11" xfId="0" applyFont="1" applyFill="1" applyBorder="1" applyAlignment="1" applyProtection="1">
      <alignment horizontal="center" vertical="center"/>
      <protection locked="0"/>
    </xf>
    <xf numFmtId="0" fontId="64" fillId="2" borderId="84" xfId="0" applyFont="1" applyFill="1" applyBorder="1" applyProtection="1">
      <alignment vertical="center"/>
    </xf>
    <xf numFmtId="0" fontId="74" fillId="2" borderId="67" xfId="0" applyFont="1" applyFill="1" applyBorder="1" applyAlignment="1" applyProtection="1">
      <alignment horizontal="center" vertical="center"/>
    </xf>
    <xf numFmtId="0" fontId="74" fillId="2" borderId="81" xfId="0" applyFont="1" applyFill="1" applyBorder="1" applyAlignment="1" applyProtection="1">
      <alignment horizontal="center" vertical="center"/>
    </xf>
    <xf numFmtId="179" fontId="74" fillId="13" borderId="8" xfId="0" applyNumberFormat="1" applyFont="1" applyFill="1" applyBorder="1" applyAlignment="1" applyProtection="1">
      <alignment horizontal="center" vertical="center"/>
      <protection locked="0"/>
    </xf>
    <xf numFmtId="0" fontId="64" fillId="2" borderId="3"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179" fontId="64" fillId="2" borderId="8" xfId="0" applyNumberFormat="1" applyFont="1" applyFill="1" applyBorder="1" applyAlignment="1" applyProtection="1">
      <alignment horizontal="center" vertical="center"/>
    </xf>
    <xf numFmtId="0" fontId="64" fillId="2" borderId="6" xfId="0" applyFont="1" applyFill="1" applyBorder="1" applyProtection="1">
      <alignment vertical="center"/>
    </xf>
    <xf numFmtId="0" fontId="64" fillId="2" borderId="8" xfId="0" applyFont="1" applyFill="1" applyBorder="1" applyProtection="1">
      <alignment vertical="center"/>
    </xf>
    <xf numFmtId="0" fontId="64" fillId="0" borderId="6" xfId="0" applyFont="1" applyBorder="1" applyProtection="1">
      <alignment vertical="center"/>
      <protection locked="0"/>
    </xf>
    <xf numFmtId="0" fontId="64" fillId="0" borderId="7" xfId="0" applyFont="1" applyBorder="1" applyProtection="1">
      <alignment vertical="center"/>
      <protection locked="0"/>
    </xf>
    <xf numFmtId="0" fontId="64" fillId="0" borderId="68" xfId="0" applyFont="1" applyBorder="1" applyProtection="1">
      <alignment vertical="center"/>
      <protection locked="0"/>
    </xf>
    <xf numFmtId="0" fontId="64" fillId="0" borderId="12" xfId="0" applyFont="1" applyBorder="1" applyProtection="1">
      <alignment vertical="center"/>
      <protection locked="0"/>
    </xf>
    <xf numFmtId="185" fontId="74" fillId="2" borderId="122" xfId="0" applyNumberFormat="1" applyFont="1" applyFill="1" applyBorder="1" applyAlignment="1" applyProtection="1">
      <alignment vertical="center"/>
    </xf>
    <xf numFmtId="0" fontId="74" fillId="2" borderId="9" xfId="0" applyFont="1" applyFill="1" applyBorder="1" applyProtection="1">
      <alignment vertical="center"/>
    </xf>
    <xf numFmtId="0" fontId="74" fillId="2" borderId="10" xfId="0" applyFont="1" applyFill="1" applyBorder="1" applyProtection="1">
      <alignment vertical="center"/>
    </xf>
    <xf numFmtId="0" fontId="74" fillId="2" borderId="11" xfId="0" applyFont="1" applyFill="1" applyBorder="1" applyProtection="1">
      <alignment vertical="center"/>
    </xf>
    <xf numFmtId="0" fontId="64" fillId="2" borderId="11" xfId="0" applyFont="1" applyFill="1" applyBorder="1" applyProtection="1">
      <alignment vertical="center"/>
    </xf>
    <xf numFmtId="0" fontId="64" fillId="2" borderId="13" xfId="0" applyFont="1" applyFill="1" applyBorder="1" applyProtection="1">
      <alignment vertical="center"/>
    </xf>
    <xf numFmtId="185" fontId="64"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64" fillId="0" borderId="0" xfId="0" applyFont="1" applyFill="1" applyAlignment="1" applyProtection="1">
      <alignment horizontal="center" vertical="center" wrapText="1"/>
    </xf>
    <xf numFmtId="0" fontId="66" fillId="0" borderId="0" xfId="0" applyFont="1" applyAlignment="1" applyProtection="1">
      <alignment horizontal="center" vertical="center" wrapText="1"/>
    </xf>
    <xf numFmtId="0" fontId="64"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64"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3" borderId="7" xfId="0" applyFont="1" applyFill="1" applyBorder="1" applyAlignment="1" applyProtection="1">
      <alignment horizontal="center" vertical="center" wrapText="1"/>
      <protection locked="0"/>
    </xf>
    <xf numFmtId="0" fontId="83"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83"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3"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64" fillId="0" borderId="7"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185" fontId="64" fillId="2" borderId="7" xfId="0" applyNumberFormat="1" applyFont="1" applyFill="1" applyBorder="1" applyAlignment="1" applyProtection="1">
      <alignment horizontal="center" vertical="center" wrapText="1"/>
    </xf>
    <xf numFmtId="185" fontId="64" fillId="0" borderId="16" xfId="0" applyNumberFormat="1" applyFont="1" applyFill="1" applyBorder="1" applyAlignment="1" applyProtection="1">
      <alignment horizontal="center" vertical="center" wrapText="1"/>
      <protection locked="0"/>
    </xf>
    <xf numFmtId="185" fontId="64" fillId="2" borderId="16" xfId="0" applyNumberFormat="1" applyFont="1" applyFill="1" applyBorder="1" applyAlignment="1" applyProtection="1">
      <alignment horizontal="center" vertical="center" wrapText="1"/>
    </xf>
    <xf numFmtId="185" fontId="64" fillId="2" borderId="12" xfId="0" applyNumberFormat="1" applyFont="1" applyFill="1" applyBorder="1" applyAlignment="1" applyProtection="1">
      <alignment horizontal="center" vertical="center" wrapText="1"/>
    </xf>
    <xf numFmtId="0" fontId="64" fillId="3" borderId="16" xfId="0" applyFont="1" applyFill="1" applyBorder="1" applyAlignment="1" applyProtection="1">
      <alignment horizontal="center" vertical="center" wrapText="1"/>
      <protection locked="0"/>
    </xf>
    <xf numFmtId="0" fontId="83" fillId="2" borderId="15" xfId="0" applyFont="1" applyFill="1" applyBorder="1" applyAlignment="1" applyProtection="1">
      <alignment horizontal="center" vertical="center"/>
    </xf>
    <xf numFmtId="0" fontId="54" fillId="13" borderId="102" xfId="0" applyFont="1" applyFill="1" applyBorder="1" applyAlignment="1" applyProtection="1">
      <alignment horizontal="left" vertical="center"/>
      <protection locked="0"/>
    </xf>
    <xf numFmtId="0" fontId="54" fillId="13" borderId="13" xfId="0" applyFont="1" applyFill="1" applyBorder="1" applyAlignment="1" applyProtection="1">
      <alignment horizontal="left" vertical="center"/>
      <protection locked="0"/>
    </xf>
    <xf numFmtId="0" fontId="54" fillId="13" borderId="15" xfId="0" applyFont="1" applyFill="1" applyBorder="1" applyAlignment="1" applyProtection="1">
      <alignment horizontal="left" vertical="center"/>
      <protection locked="0"/>
    </xf>
    <xf numFmtId="0" fontId="83"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64"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83"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83"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64" fillId="0" borderId="7" xfId="0" applyNumberFormat="1" applyFont="1" applyBorder="1" applyAlignment="1" applyProtection="1">
      <alignment horizontal="center" vertical="center" wrapText="1"/>
      <protection locked="0"/>
    </xf>
    <xf numFmtId="0" fontId="122"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64" fillId="0" borderId="16" xfId="0" applyNumberFormat="1" applyFont="1" applyBorder="1" applyAlignment="1" applyProtection="1">
      <alignment horizontal="center" vertical="center" wrapText="1"/>
      <protection locked="0"/>
    </xf>
    <xf numFmtId="0" fontId="64"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83"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25"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64" fillId="2" borderId="8" xfId="0" applyNumberFormat="1" applyFont="1" applyFill="1" applyBorder="1" applyAlignment="1" applyProtection="1">
      <alignment horizontal="center" vertical="center" wrapText="1"/>
    </xf>
    <xf numFmtId="185" fontId="64" fillId="0" borderId="7" xfId="0" applyNumberFormat="1" applyFont="1" applyFill="1" applyBorder="1" applyAlignment="1" applyProtection="1">
      <alignment horizontal="center" vertical="center" wrapText="1"/>
      <protection locked="0"/>
    </xf>
    <xf numFmtId="0" fontId="64" fillId="0" borderId="7" xfId="0" applyFont="1" applyBorder="1" applyAlignment="1" applyProtection="1">
      <alignment vertical="center" wrapText="1"/>
      <protection locked="0"/>
    </xf>
    <xf numFmtId="0" fontId="64" fillId="0" borderId="13" xfId="0" applyFont="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xf>
    <xf numFmtId="185" fontId="64" fillId="0" borderId="0" xfId="0" applyNumberFormat="1" applyFont="1" applyFill="1" applyBorder="1" applyAlignment="1" applyProtection="1">
      <alignment horizontal="center" vertical="center" wrapText="1"/>
    </xf>
    <xf numFmtId="0" fontId="66" fillId="0" borderId="0" xfId="0" applyFont="1" applyAlignment="1" applyProtection="1">
      <alignment horizontal="center" vertical="center"/>
    </xf>
    <xf numFmtId="0" fontId="90"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9"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4"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5" borderId="168" xfId="0" applyFont="1" applyFill="1" applyBorder="1" applyAlignment="1" applyProtection="1">
      <alignment vertical="center" wrapText="1"/>
      <protection locked="0"/>
    </xf>
    <xf numFmtId="0" fontId="54" fillId="15" borderId="39" xfId="0" applyFont="1" applyFill="1" applyBorder="1" applyAlignment="1" applyProtection="1">
      <alignment vertical="center" wrapText="1"/>
    </xf>
    <xf numFmtId="0" fontId="54" fillId="15"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5" borderId="13" xfId="0" applyFont="1" applyFill="1" applyBorder="1" applyAlignment="1" applyProtection="1">
      <alignment vertical="center"/>
      <protection locked="0"/>
    </xf>
    <xf numFmtId="0" fontId="54" fillId="15" borderId="15" xfId="0" applyFont="1" applyFill="1" applyBorder="1" applyAlignment="1" applyProtection="1">
      <alignment vertical="center" wrapText="1"/>
    </xf>
    <xf numFmtId="0" fontId="54" fillId="15" borderId="94" xfId="0" applyFont="1" applyFill="1" applyBorder="1" applyAlignment="1" applyProtection="1">
      <alignment vertical="center" wrapText="1"/>
    </xf>
    <xf numFmtId="0" fontId="54" fillId="15" borderId="13" xfId="0" applyFont="1" applyFill="1" applyBorder="1" applyAlignment="1" applyProtection="1">
      <alignment vertical="center" wrapText="1"/>
      <protection locked="0"/>
    </xf>
    <xf numFmtId="0" fontId="54" fillId="14"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4"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4" borderId="104" xfId="0" applyFont="1" applyFill="1" applyBorder="1" applyAlignment="1" applyProtection="1">
      <alignment vertical="center" wrapText="1"/>
    </xf>
    <xf numFmtId="0" fontId="54" fillId="3" borderId="104" xfId="0" applyFont="1" applyFill="1" applyBorder="1" applyAlignment="1" applyProtection="1">
      <alignment horizontal="left" vertical="center"/>
      <protection locked="0"/>
    </xf>
    <xf numFmtId="0" fontId="54" fillId="3" borderId="105" xfId="0" applyFont="1" applyFill="1" applyBorder="1" applyAlignment="1" applyProtection="1">
      <alignment vertical="center" wrapText="1"/>
    </xf>
    <xf numFmtId="0" fontId="54" fillId="14" borderId="149" xfId="0" applyFont="1" applyFill="1" applyBorder="1" applyAlignment="1" applyProtection="1">
      <alignment horizontal="center" vertical="center" wrapText="1"/>
    </xf>
    <xf numFmtId="0" fontId="54" fillId="3" borderId="150"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4" borderId="16" xfId="0" applyFont="1" applyFill="1" applyBorder="1" applyAlignment="1" applyProtection="1">
      <alignment horizontal="left" vertical="center"/>
    </xf>
    <xf numFmtId="0" fontId="54" fillId="13" borderId="103" xfId="0" applyFont="1" applyFill="1" applyBorder="1" applyAlignment="1" applyProtection="1">
      <alignment horizontal="center" vertical="center" wrapText="1"/>
      <protection locked="0"/>
    </xf>
    <xf numFmtId="0" fontId="54" fillId="15"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4"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5" borderId="15" xfId="0" applyFont="1" applyFill="1" applyBorder="1" applyAlignment="1" applyProtection="1">
      <alignment vertical="center" wrapText="1"/>
      <protection locked="0"/>
    </xf>
    <xf numFmtId="0" fontId="54" fillId="15"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4"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4" borderId="39" xfId="0" applyFont="1" applyFill="1" applyBorder="1" applyAlignment="1" applyProtection="1">
      <alignment vertical="center" wrapText="1"/>
    </xf>
    <xf numFmtId="187" fontId="54" fillId="0" borderId="7" xfId="0" applyNumberFormat="1" applyFont="1" applyFill="1" applyBorder="1" applyAlignment="1" applyProtection="1">
      <alignment horizontal="center" vertical="center" shrinkToFit="1"/>
      <protection locked="0"/>
    </xf>
    <xf numFmtId="187" fontId="54" fillId="14" borderId="7" xfId="0" applyNumberFormat="1" applyFont="1" applyFill="1" applyBorder="1" applyAlignment="1" applyProtection="1">
      <alignment horizontal="center" vertical="center" shrinkToFit="1"/>
      <protection locked="0"/>
    </xf>
    <xf numFmtId="178" fontId="54" fillId="3" borderId="7" xfId="53"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5" borderId="13" xfId="0" applyNumberFormat="1" applyFont="1" applyFill="1" applyBorder="1" applyAlignment="1" applyProtection="1">
      <alignment horizontal="left" vertical="center"/>
      <protection locked="0"/>
    </xf>
    <xf numFmtId="49" fontId="32" fillId="15" borderId="15" xfId="0" applyNumberFormat="1" applyFont="1" applyFill="1" applyBorder="1" applyAlignment="1" applyProtection="1">
      <alignment horizontal="left" vertical="center"/>
      <protection locked="0"/>
    </xf>
    <xf numFmtId="0" fontId="54" fillId="3" borderId="116"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5" borderId="104" xfId="0" applyNumberFormat="1" applyFont="1" applyFill="1" applyBorder="1" applyAlignment="1" applyProtection="1">
      <alignment horizontal="left" vertical="center"/>
      <protection locked="0"/>
    </xf>
    <xf numFmtId="49" fontId="32" fillId="15" borderId="105"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22"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6"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3"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7" fontId="32" fillId="0" borderId="8" xfId="0" applyNumberFormat="1" applyFont="1" applyFill="1" applyBorder="1" applyAlignment="1" applyProtection="1">
      <alignment vertical="center" shrinkToFit="1"/>
      <protection locked="0"/>
    </xf>
    <xf numFmtId="0" fontId="54" fillId="2" borderId="106" xfId="0" applyFont="1" applyFill="1" applyBorder="1" applyAlignment="1" applyProtection="1">
      <alignment vertical="center" wrapText="1"/>
    </xf>
    <xf numFmtId="18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51"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20"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3" borderId="102" xfId="0" applyFont="1" applyFill="1" applyBorder="1" applyAlignment="1" applyProtection="1">
      <alignment vertical="center"/>
      <protection locked="0"/>
    </xf>
    <xf numFmtId="0" fontId="54" fillId="13" borderId="103" xfId="0" applyFont="1" applyFill="1" applyBorder="1" applyAlignment="1" applyProtection="1">
      <alignment vertical="center" wrapText="1"/>
    </xf>
    <xf numFmtId="0" fontId="54" fillId="13"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84" fillId="2" borderId="7" xfId="0" applyNumberFormat="1" applyFont="1" applyFill="1" applyBorder="1" applyAlignment="1" applyProtection="1">
      <alignment horizontal="center" vertical="center" wrapText="1"/>
      <protection locked="0"/>
    </xf>
    <xf numFmtId="0" fontId="54" fillId="14"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4"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85" fillId="2" borderId="167" xfId="0" applyFont="1" applyFill="1" applyBorder="1" applyAlignment="1" applyProtection="1">
      <alignment vertical="center"/>
    </xf>
    <xf numFmtId="0" fontId="90" fillId="2" borderId="167" xfId="0" applyFont="1" applyFill="1" applyBorder="1" applyAlignment="1" applyProtection="1">
      <alignment vertical="center" wrapText="1"/>
    </xf>
    <xf numFmtId="0" fontId="90" fillId="2" borderId="13" xfId="0" applyFont="1" applyFill="1" applyBorder="1" applyAlignment="1" applyProtection="1">
      <alignment vertical="center"/>
    </xf>
    <xf numFmtId="0" fontId="54" fillId="0" borderId="7" xfId="0" applyFont="1" applyBorder="1" applyAlignment="1" applyProtection="1">
      <alignment vertical="center" wrapText="1"/>
      <protection locked="0"/>
    </xf>
    <xf numFmtId="0" fontId="54" fillId="2" borderId="123"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84"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5"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5" borderId="150"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90" fillId="2" borderId="167" xfId="0" applyFont="1" applyFill="1" applyBorder="1" applyAlignment="1" applyProtection="1">
      <alignment vertical="center" wrapText="1"/>
      <protection locked="0"/>
    </xf>
    <xf numFmtId="0" fontId="90" fillId="2" borderId="169" xfId="0" applyFont="1" applyFill="1" applyBorder="1" applyAlignment="1" applyProtection="1">
      <alignment vertical="center" wrapText="1"/>
      <protection locked="0"/>
    </xf>
    <xf numFmtId="0" fontId="90"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90"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6"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24"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6"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3"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3" fillId="2" borderId="0" xfId="0" applyNumberFormat="1" applyFont="1" applyFill="1" applyBorder="1" applyAlignment="1" applyProtection="1">
      <alignment horizontal="center" vertical="center" wrapText="1"/>
    </xf>
    <xf numFmtId="0" fontId="124" fillId="0" borderId="0" xfId="59" applyFont="1" applyFill="1" applyAlignment="1">
      <alignment horizontal="left" vertical="center"/>
    </xf>
    <xf numFmtId="0" fontId="125" fillId="0" borderId="0" xfId="59" applyFont="1" applyAlignment="1">
      <alignment horizontal="left" vertical="center"/>
    </xf>
    <xf numFmtId="0" fontId="124" fillId="0" borderId="0" xfId="59" applyFont="1" applyAlignment="1">
      <alignment horizontal="left" vertical="center"/>
    </xf>
    <xf numFmtId="0" fontId="126" fillId="0" borderId="0" xfId="59" applyFont="1" applyAlignment="1">
      <alignment horizontal="left" vertical="center"/>
    </xf>
    <xf numFmtId="0" fontId="127" fillId="0" borderId="0" xfId="59" applyFont="1" applyAlignment="1">
      <alignment horizontal="left" vertical="center"/>
    </xf>
    <xf numFmtId="14" fontId="127" fillId="0" borderId="0" xfId="59" applyNumberFormat="1" applyFont="1" applyAlignment="1">
      <alignment horizontal="left" vertical="center"/>
    </xf>
    <xf numFmtId="0" fontId="128" fillId="0" borderId="0" xfId="59" applyFont="1" applyAlignment="1">
      <alignment horizontal="left" vertical="center"/>
    </xf>
    <xf numFmtId="0" fontId="129" fillId="3" borderId="12" xfId="59" applyFont="1" applyFill="1" applyBorder="1" applyAlignment="1">
      <alignment horizontal="left" vertical="center"/>
    </xf>
    <xf numFmtId="0" fontId="130" fillId="0" borderId="7" xfId="59" applyFont="1" applyBorder="1" applyAlignment="1">
      <alignment horizontal="left" vertical="center"/>
    </xf>
    <xf numFmtId="0" fontId="130" fillId="0" borderId="13" xfId="59" applyFont="1" applyBorder="1" applyAlignment="1">
      <alignment horizontal="left" vertical="center"/>
    </xf>
    <xf numFmtId="0" fontId="129" fillId="3" borderId="173" xfId="59" applyFont="1" applyFill="1" applyBorder="1" applyAlignment="1">
      <alignment horizontal="left" vertical="center"/>
    </xf>
    <xf numFmtId="0" fontId="130" fillId="0" borderId="7" xfId="59" applyFont="1" applyFill="1" applyBorder="1" applyAlignment="1">
      <alignment horizontal="left" vertical="center"/>
    </xf>
    <xf numFmtId="193" fontId="130" fillId="0" borderId="7" xfId="59" applyNumberFormat="1" applyFont="1" applyFill="1" applyBorder="1" applyAlignment="1">
      <alignment horizontal="left" vertical="center"/>
    </xf>
    <xf numFmtId="193" fontId="131" fillId="0" borderId="13" xfId="59" applyNumberFormat="1" applyFont="1" applyFill="1" applyBorder="1" applyAlignment="1">
      <alignment horizontal="left" vertical="center"/>
    </xf>
    <xf numFmtId="0" fontId="130" fillId="0" borderId="174" xfId="59" applyFont="1" applyFill="1" applyBorder="1" applyAlignment="1">
      <alignment horizontal="left" vertical="center"/>
    </xf>
    <xf numFmtId="187" fontId="130" fillId="0" borderId="7" xfId="59" applyNumberFormat="1" applyFont="1" applyFill="1" applyBorder="1" applyAlignment="1">
      <alignment horizontal="left" vertical="center"/>
    </xf>
    <xf numFmtId="0" fontId="131" fillId="0" borderId="7" xfId="59" applyFont="1" applyFill="1" applyBorder="1" applyAlignment="1">
      <alignment horizontal="left" vertical="center"/>
    </xf>
    <xf numFmtId="193" fontId="130" fillId="0" borderId="13" xfId="59" applyNumberFormat="1" applyFont="1" applyFill="1" applyBorder="1" applyAlignment="1">
      <alignment horizontal="left" vertical="center"/>
    </xf>
    <xf numFmtId="0" fontId="131" fillId="0" borderId="0" xfId="59" applyFont="1" applyFill="1" applyAlignment="1">
      <alignment horizontal="left" vertical="center"/>
    </xf>
    <xf numFmtId="0" fontId="129" fillId="3" borderId="7" xfId="59" applyFont="1" applyFill="1" applyBorder="1" applyAlignment="1">
      <alignment horizontal="left" vertical="center"/>
    </xf>
    <xf numFmtId="0" fontId="130" fillId="0" borderId="174" xfId="59" applyFont="1" applyBorder="1" applyAlignment="1">
      <alignment horizontal="left" vertical="center"/>
    </xf>
    <xf numFmtId="0" fontId="129" fillId="0" borderId="7" xfId="59" applyFont="1" applyFill="1" applyBorder="1" applyAlignment="1">
      <alignment horizontal="left" vertical="center"/>
    </xf>
    <xf numFmtId="0" fontId="127" fillId="0" borderId="7" xfId="59" applyFont="1" applyBorder="1" applyAlignment="1">
      <alignment horizontal="left" vertical="center"/>
    </xf>
    <xf numFmtId="187" fontId="130" fillId="0" borderId="13" xfId="59" applyNumberFormat="1" applyFont="1" applyFill="1" applyBorder="1" applyAlignment="1">
      <alignment horizontal="left" vertical="center"/>
    </xf>
    <xf numFmtId="0" fontId="127" fillId="0" borderId="174" xfId="59" applyFont="1" applyBorder="1" applyAlignment="1">
      <alignment horizontal="left" vertical="center"/>
    </xf>
    <xf numFmtId="0" fontId="132" fillId="0" borderId="7" xfId="59" applyFont="1" applyBorder="1" applyAlignment="1">
      <alignment horizontal="left" vertical="center"/>
    </xf>
    <xf numFmtId="187" fontId="132" fillId="0" borderId="7" xfId="0" applyNumberFormat="1" applyFont="1" applyFill="1" applyBorder="1" applyAlignment="1">
      <alignment horizontal="left" vertical="center"/>
    </xf>
    <xf numFmtId="14" fontId="127" fillId="0" borderId="7" xfId="59" applyNumberFormat="1" applyFont="1" applyBorder="1" applyAlignment="1">
      <alignment horizontal="left" vertical="center"/>
    </xf>
    <xf numFmtId="14" fontId="127" fillId="0" borderId="13" xfId="59" applyNumberFormat="1" applyFont="1" applyBorder="1" applyAlignment="1">
      <alignment horizontal="left" vertical="center"/>
    </xf>
    <xf numFmtId="14" fontId="124" fillId="0" borderId="0" xfId="59" applyNumberFormat="1" applyFont="1" applyAlignment="1">
      <alignment horizontal="left" vertical="center"/>
    </xf>
    <xf numFmtId="14" fontId="124" fillId="0" borderId="175" xfId="59" applyNumberFormat="1" applyFont="1" applyBorder="1" applyAlignment="1">
      <alignment horizontal="left" vertical="center"/>
    </xf>
    <xf numFmtId="0" fontId="124" fillId="0" borderId="0" xfId="59" applyFont="1" applyBorder="1" applyAlignment="1">
      <alignment horizontal="left" vertical="center"/>
    </xf>
    <xf numFmtId="0" fontId="133" fillId="0" borderId="0" xfId="59"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13" borderId="7" xfId="0" applyFont="1" applyFill="1" applyBorder="1" applyAlignment="1" applyProtection="1">
      <alignment horizontal="center" vertical="center" wrapText="1"/>
    </xf>
    <xf numFmtId="0" fontId="135" fillId="2" borderId="7" xfId="0" applyFont="1" applyFill="1" applyBorder="1" applyAlignment="1" applyProtection="1">
      <alignment horizontal="center" vertical="center" wrapText="1"/>
    </xf>
    <xf numFmtId="0" fontId="136" fillId="19" borderId="7" xfId="0" applyFont="1" applyFill="1" applyBorder="1" applyAlignment="1" applyProtection="1">
      <alignment horizontal="center" vertical="center"/>
    </xf>
    <xf numFmtId="0" fontId="137" fillId="0" borderId="7" xfId="0" applyFont="1" applyFill="1" applyBorder="1" applyAlignment="1" applyProtection="1">
      <alignment horizontal="center" vertical="center"/>
    </xf>
    <xf numFmtId="0" fontId="123" fillId="0" borderId="0" xfId="0" applyFont="1" applyProtection="1">
      <alignment vertical="center"/>
    </xf>
    <xf numFmtId="0" fontId="125"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3"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5" borderId="15" xfId="0" applyFont="1" applyFill="1" applyBorder="1" applyAlignment="1" applyProtection="1">
      <alignment vertical="center"/>
    </xf>
    <xf numFmtId="0" fontId="0" fillId="15"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3" fillId="0" borderId="0" xfId="0" applyFont="1" applyAlignment="1" applyProtection="1">
      <alignment horizontal="left" vertical="center"/>
    </xf>
    <xf numFmtId="185"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8"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39"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15"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24" fillId="0" borderId="0" xfId="0" applyFont="1" applyProtection="1">
      <alignment vertical="center"/>
    </xf>
    <xf numFmtId="0" fontId="93"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89"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2"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6" fontId="144"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93" fillId="0" borderId="118" xfId="0" applyFont="1" applyFill="1" applyBorder="1" applyAlignment="1" applyProtection="1">
      <alignment horizontal="center" vertical="center" wrapText="1"/>
    </xf>
    <xf numFmtId="0" fontId="93" fillId="0" borderId="7" xfId="0" applyFont="1" applyFill="1" applyBorder="1" applyAlignment="1" applyProtection="1">
      <alignment horizontal="center" vertical="center" wrapText="1"/>
    </xf>
    <xf numFmtId="0" fontId="93" fillId="0" borderId="7" xfId="0" applyFont="1" applyFill="1" applyBorder="1" applyAlignment="1" applyProtection="1">
      <alignment horizontal="left" vertical="center" wrapText="1"/>
    </xf>
    <xf numFmtId="0" fontId="91" fillId="0" borderId="7" xfId="0" applyFont="1" applyFill="1" applyBorder="1" applyAlignment="1" applyProtection="1">
      <alignment horizontal="center" vertical="center" wrapText="1"/>
    </xf>
    <xf numFmtId="0" fontId="93" fillId="0" borderId="13" xfId="0" applyFont="1" applyFill="1" applyBorder="1" applyAlignment="1" applyProtection="1">
      <alignment horizontal="center" vertical="center" wrapText="1"/>
    </xf>
    <xf numFmtId="0" fontId="93" fillId="0" borderId="15" xfId="0" applyFont="1" applyFill="1" applyBorder="1" applyAlignment="1" applyProtection="1">
      <alignment horizontal="center" vertical="center" wrapText="1"/>
    </xf>
    <xf numFmtId="0" fontId="9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1" fillId="0" borderId="0" xfId="0" applyFont="1" applyProtection="1">
      <alignment vertical="center"/>
      <protection locked="0"/>
    </xf>
    <xf numFmtId="0" fontId="93" fillId="0" borderId="14" xfId="0" applyFont="1" applyFill="1" applyBorder="1" applyAlignment="1" applyProtection="1">
      <alignment horizontal="center" vertical="center" wrapText="1"/>
    </xf>
    <xf numFmtId="0" fontId="24" fillId="0" borderId="0" xfId="64" applyFont="1">
      <alignment vertical="center"/>
    </xf>
    <xf numFmtId="0" fontId="139" fillId="0" borderId="0" xfId="64" applyFont="1" applyProtection="1">
      <alignment vertical="center"/>
    </xf>
    <xf numFmtId="0" fontId="24" fillId="0" borderId="0" xfId="64" applyFont="1" applyProtection="1">
      <alignment vertical="center"/>
    </xf>
    <xf numFmtId="0" fontId="141" fillId="0" borderId="0" xfId="64" applyFont="1" applyAlignment="1" applyProtection="1">
      <alignment horizontal="left" vertical="center" wrapText="1"/>
    </xf>
    <xf numFmtId="0" fontId="139" fillId="0" borderId="0" xfId="64" applyFont="1" applyAlignment="1" applyProtection="1">
      <alignment horizontal="center" vertical="center"/>
    </xf>
    <xf numFmtId="0" fontId="139" fillId="0" borderId="1" xfId="64" applyFont="1" applyBorder="1" applyAlignment="1" applyProtection="1">
      <alignment horizontal="center" vertical="center"/>
    </xf>
    <xf numFmtId="0" fontId="91" fillId="0" borderId="78" xfId="64" applyFont="1" applyFill="1" applyBorder="1" applyAlignment="1" applyProtection="1">
      <alignment horizontal="left" vertical="center" wrapText="1"/>
    </xf>
    <xf numFmtId="0" fontId="89" fillId="0" borderId="16" xfId="64" applyFont="1" applyFill="1" applyBorder="1" applyAlignment="1" applyProtection="1">
      <alignment horizontal="left" vertical="center" wrapText="1"/>
    </xf>
    <xf numFmtId="0" fontId="91" fillId="0" borderId="16" xfId="64" applyFont="1" applyFill="1" applyBorder="1" applyAlignment="1" applyProtection="1">
      <alignment horizontal="center" vertical="center" wrapText="1"/>
    </xf>
    <xf numFmtId="0" fontId="91" fillId="0" borderId="16" xfId="64" applyFont="1" applyFill="1" applyBorder="1" applyAlignment="1" applyProtection="1">
      <alignment horizontal="left" vertical="center" wrapText="1"/>
    </xf>
    <xf numFmtId="0" fontId="115" fillId="0" borderId="7" xfId="64" applyFont="1" applyFill="1" applyBorder="1" applyAlignment="1" applyProtection="1">
      <alignment horizontal="left" vertical="center" wrapText="1"/>
    </xf>
    <xf numFmtId="0" fontId="91" fillId="0" borderId="7" xfId="64" applyFont="1" applyFill="1" applyBorder="1" applyAlignment="1" applyProtection="1">
      <alignment horizontal="center" vertical="center" wrapText="1"/>
    </xf>
    <xf numFmtId="0" fontId="91" fillId="0" borderId="12" xfId="64" applyFont="1" applyFill="1" applyBorder="1" applyAlignment="1" applyProtection="1">
      <alignment vertical="center" wrapText="1"/>
    </xf>
    <xf numFmtId="0" fontId="145" fillId="0" borderId="7" xfId="64" applyFont="1" applyFill="1" applyBorder="1" applyAlignment="1" applyProtection="1">
      <alignment horizontal="left" vertical="center" wrapText="1"/>
    </xf>
    <xf numFmtId="0" fontId="91" fillId="0" borderId="16" xfId="64" applyFont="1" applyFill="1" applyBorder="1" applyAlignment="1" applyProtection="1">
      <alignment vertical="center" wrapText="1"/>
    </xf>
    <xf numFmtId="0" fontId="93" fillId="0" borderId="13" xfId="64" applyFont="1" applyFill="1" applyBorder="1" applyAlignment="1" applyProtection="1">
      <alignment vertical="center" wrapText="1"/>
    </xf>
    <xf numFmtId="0" fontId="114" fillId="0" borderId="7" xfId="64" applyFont="1" applyFill="1" applyBorder="1" applyAlignment="1" applyProtection="1">
      <alignment horizontal="left" vertical="center" wrapText="1"/>
    </xf>
    <xf numFmtId="0" fontId="93" fillId="0" borderId="7" xfId="64" applyFont="1" applyFill="1" applyBorder="1" applyAlignment="1" applyProtection="1">
      <alignment horizontal="center" vertical="center" wrapText="1"/>
    </xf>
    <xf numFmtId="0" fontId="91" fillId="0" borderId="12" xfId="64" applyFont="1" applyFill="1" applyBorder="1" applyAlignment="1" applyProtection="1">
      <alignment horizontal="left" vertical="center" wrapText="1"/>
    </xf>
    <xf numFmtId="0" fontId="89" fillId="0" borderId="7" xfId="64" applyFont="1" applyFill="1" applyBorder="1" applyAlignment="1" applyProtection="1">
      <alignment horizontal="left" vertical="center" wrapText="1"/>
    </xf>
    <xf numFmtId="0" fontId="91" fillId="0" borderId="14" xfId="64" applyFont="1" applyFill="1" applyBorder="1" applyAlignment="1" applyProtection="1">
      <alignment horizontal="center" vertical="center" wrapText="1"/>
    </xf>
    <xf numFmtId="0" fontId="93" fillId="0" borderId="14" xfId="64" applyFont="1" applyFill="1" applyBorder="1" applyAlignment="1" applyProtection="1">
      <alignment horizontal="center" vertical="center" wrapText="1"/>
    </xf>
    <xf numFmtId="0" fontId="87" fillId="0" borderId="7" xfId="64" applyFont="1" applyBorder="1" applyAlignment="1">
      <alignment horizontal="center" vertical="center"/>
    </xf>
    <xf numFmtId="0" fontId="91" fillId="0" borderId="78" xfId="64" applyFont="1" applyFill="1" applyBorder="1" applyAlignment="1" applyProtection="1">
      <alignment vertical="center" wrapText="1"/>
    </xf>
    <xf numFmtId="0" fontId="91" fillId="0" borderId="116" xfId="64" applyFont="1" applyFill="1" applyBorder="1" applyAlignment="1" applyProtection="1">
      <alignment horizontal="left" vertical="center" wrapText="1"/>
    </xf>
    <xf numFmtId="0" fontId="115" fillId="0" borderId="2" xfId="64" applyFont="1" applyFill="1" applyBorder="1" applyAlignment="1" applyProtection="1">
      <alignment horizontal="left" vertical="center" wrapText="1"/>
    </xf>
    <xf numFmtId="0" fontId="93" fillId="0" borderId="2" xfId="64" applyFont="1" applyFill="1" applyBorder="1" applyAlignment="1" applyProtection="1">
      <alignment horizontal="center" vertical="center" wrapText="1"/>
    </xf>
    <xf numFmtId="0" fontId="19" fillId="0" borderId="0" xfId="64" applyFont="1" applyProtection="1">
      <alignment vertical="center"/>
    </xf>
    <xf numFmtId="0" fontId="24" fillId="0" borderId="0" xfId="64" applyFont="1" applyProtection="1">
      <alignment vertical="center"/>
      <protection locked="0"/>
    </xf>
    <xf numFmtId="0" fontId="141" fillId="0" borderId="0" xfId="64" applyFont="1" applyProtection="1">
      <alignment vertical="center"/>
      <protection locked="0"/>
    </xf>
    <xf numFmtId="0" fontId="146" fillId="0" borderId="0" xfId="0" applyFont="1" applyBorder="1" applyAlignment="1">
      <alignment horizontal="center" vertical="center"/>
    </xf>
    <xf numFmtId="0" fontId="24"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87"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59" applyFont="1">
      <alignment vertical="center"/>
    </xf>
    <xf numFmtId="0" fontId="117" fillId="0" borderId="0" xfId="59">
      <alignment vertical="center"/>
    </xf>
    <xf numFmtId="0" fontId="151" fillId="0" borderId="0" xfId="59" applyFont="1" applyAlignment="1" applyProtection="1">
      <alignment horizontal="left" vertical="top" wrapText="1"/>
    </xf>
    <xf numFmtId="0" fontId="150" fillId="0" borderId="0" xfId="59" applyFont="1" applyAlignment="1">
      <alignment vertical="top" wrapText="1"/>
    </xf>
    <xf numFmtId="0" fontId="151" fillId="0" borderId="0" xfId="59" applyFont="1">
      <alignment vertical="center"/>
    </xf>
    <xf numFmtId="0" fontId="124" fillId="0" borderId="1" xfId="0" applyFont="1" applyBorder="1" applyProtection="1">
      <alignment vertical="center"/>
    </xf>
    <xf numFmtId="0" fontId="124" fillId="0" borderId="119" xfId="0" applyFont="1" applyBorder="1" applyProtection="1">
      <alignment vertical="center"/>
    </xf>
    <xf numFmtId="0" fontId="124" fillId="0" borderId="0" xfId="0" applyFont="1" applyBorder="1" applyProtection="1">
      <alignment vertical="center"/>
    </xf>
    <xf numFmtId="0" fontId="124" fillId="0" borderId="0" xfId="65" applyFont="1" applyBorder="1" applyAlignment="1" applyProtection="1">
      <alignment vertical="center" wrapText="1"/>
    </xf>
    <xf numFmtId="0" fontId="124" fillId="0" borderId="0" xfId="0" applyFont="1" applyAlignment="1" applyProtection="1">
      <alignment horizontal="left" vertical="center"/>
    </xf>
    <xf numFmtId="0" fontId="124" fillId="0" borderId="0" xfId="0" applyFont="1" applyProtection="1">
      <alignment vertical="center"/>
    </xf>
    <xf numFmtId="0" fontId="124" fillId="0" borderId="2" xfId="65" applyFont="1" applyBorder="1" applyAlignment="1" applyProtection="1">
      <alignment horizontal="left" vertical="center" wrapText="1"/>
    </xf>
    <xf numFmtId="0" fontId="89" fillId="0" borderId="2" xfId="0" applyFont="1" applyBorder="1" applyAlignment="1" applyProtection="1">
      <alignment horizontal="left" vertical="center"/>
    </xf>
    <xf numFmtId="0" fontId="124" fillId="0" borderId="118" xfId="65" applyFont="1" applyBorder="1" applyAlignment="1" applyProtection="1">
      <alignment vertical="center" wrapText="1"/>
    </xf>
    <xf numFmtId="0" fontId="124" fillId="0" borderId="118" xfId="0" applyFont="1" applyBorder="1" applyAlignment="1" applyProtection="1">
      <alignment horizontal="left" vertical="center"/>
    </xf>
    <xf numFmtId="0" fontId="124" fillId="0" borderId="7" xfId="65" applyFont="1" applyBorder="1" applyAlignment="1" applyProtection="1">
      <alignment vertical="center" wrapText="1"/>
    </xf>
    <xf numFmtId="0" fontId="124" fillId="0" borderId="7" xfId="0" applyFont="1" applyBorder="1" applyAlignment="1" applyProtection="1">
      <alignment horizontal="left" vertical="center"/>
    </xf>
    <xf numFmtId="0" fontId="124" fillId="0" borderId="2" xfId="65" applyFont="1" applyBorder="1" applyAlignment="1" applyProtection="1">
      <alignment vertical="center" wrapText="1"/>
    </xf>
    <xf numFmtId="0" fontId="124" fillId="0" borderId="2" xfId="0" applyFont="1" applyBorder="1" applyAlignment="1" applyProtection="1">
      <alignment horizontal="left" vertical="center"/>
    </xf>
    <xf numFmtId="176" fontId="124" fillId="0" borderId="2" xfId="0" applyNumberFormat="1" applyFont="1" applyBorder="1" applyAlignment="1" applyProtection="1">
      <alignment horizontal="left" vertical="center"/>
    </xf>
    <xf numFmtId="0" fontId="124" fillId="0" borderId="16" xfId="65" applyFont="1" applyBorder="1" applyAlignment="1" applyProtection="1">
      <alignment vertical="center" wrapText="1"/>
    </xf>
    <xf numFmtId="14" fontId="124" fillId="0" borderId="16" xfId="0" applyNumberFormat="1" applyFont="1" applyBorder="1" applyAlignment="1" applyProtection="1">
      <alignment horizontal="left" vertical="center"/>
    </xf>
    <xf numFmtId="14" fontId="124" fillId="0" borderId="7" xfId="0" applyNumberFormat="1" applyFont="1" applyBorder="1" applyAlignment="1" applyProtection="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Normal" xfId="49"/>
    <cellStyle name="百分比 2" xfId="50"/>
    <cellStyle name="常规 11" xfId="51"/>
    <cellStyle name="常规 16" xfId="52"/>
    <cellStyle name="常规 2" xfId="53"/>
    <cellStyle name="常规 2 2" xfId="54"/>
    <cellStyle name="常规 2 2 2 2 3" xfId="55"/>
    <cellStyle name="常规 3" xfId="56"/>
    <cellStyle name="常规 3 2" xfId="57"/>
    <cellStyle name="常规 4" xfId="58"/>
    <cellStyle name="常规 5" xfId="59"/>
    <cellStyle name="常规 6" xfId="60"/>
    <cellStyle name="常规 6 2" xfId="61"/>
    <cellStyle name="常规 6 2 2" xfId="62"/>
    <cellStyle name="常规 6 2 3" xfId="63"/>
    <cellStyle name="常规 7" xfId="64"/>
    <cellStyle name="常规 8" xfId="65"/>
    <cellStyle name="常规 9" xfId="66"/>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tyles" Target="styles.xml"/><Relationship Id="rId51" Type="http://schemas.openxmlformats.org/officeDocument/2006/relationships/sharedStrings" Target="sharedString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bmp"/><Relationship Id="rId4" Type="http://schemas.openxmlformats.org/officeDocument/2006/relationships/image" Target="../media/image6.bmp"/><Relationship Id="rId3" Type="http://schemas.openxmlformats.org/officeDocument/2006/relationships/image" Target="../media/image5.bmp"/><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22</xdr:row>
      <xdr:rowOff>161925</xdr:rowOff>
    </xdr:from>
    <xdr:to>
      <xdr:col>11</xdr:col>
      <xdr:colOff>29210</xdr:colOff>
      <xdr:row>42</xdr:row>
      <xdr:rowOff>133350</xdr:rowOff>
    </xdr:to>
    <xdr:pic>
      <xdr:nvPicPr>
        <xdr:cNvPr id="2" name="图片 1"/>
        <xdr:cNvPicPr>
          <a:picLocks noChangeAspect="1"/>
        </xdr:cNvPicPr>
      </xdr:nvPicPr>
      <xdr:blipFill>
        <a:blip r:embed="rId1"/>
        <a:stretch>
          <a:fillRect/>
        </a:stretch>
      </xdr:blipFill>
      <xdr:spPr>
        <a:xfrm>
          <a:off x="635" y="4073525"/>
          <a:ext cx="6755130" cy="3527425"/>
        </a:xfrm>
        <a:prstGeom prst="rect">
          <a:avLst/>
        </a:prstGeom>
        <a:noFill/>
        <a:ln w="9525">
          <a:noFill/>
        </a:ln>
      </xdr:spPr>
    </xdr:pic>
    <xdr:clientData/>
  </xdr:twoCellAnchor>
  <xdr:twoCellAnchor editAs="oneCell">
    <xdr:from>
      <xdr:col>0</xdr:col>
      <xdr:colOff>635</xdr:colOff>
      <xdr:row>0</xdr:row>
      <xdr:rowOff>635</xdr:rowOff>
    </xdr:from>
    <xdr:to>
      <xdr:col>11</xdr:col>
      <xdr:colOff>144780</xdr:colOff>
      <xdr:row>21</xdr:row>
      <xdr:rowOff>19050</xdr:rowOff>
    </xdr:to>
    <xdr:pic>
      <xdr:nvPicPr>
        <xdr:cNvPr id="3" name="图片 2"/>
        <xdr:cNvPicPr>
          <a:picLocks noChangeAspect="1"/>
        </xdr:cNvPicPr>
      </xdr:nvPicPr>
      <xdr:blipFill>
        <a:blip r:embed="rId2"/>
        <a:stretch>
          <a:fillRect/>
        </a:stretch>
      </xdr:blipFill>
      <xdr:spPr>
        <a:xfrm>
          <a:off x="635" y="635"/>
          <a:ext cx="6870700" cy="3752215"/>
        </a:xfrm>
        <a:prstGeom prst="rect">
          <a:avLst/>
        </a:prstGeom>
        <a:noFill/>
        <a:ln w="9525">
          <a:noFill/>
        </a:ln>
      </xdr:spPr>
    </xdr:pic>
    <xdr:clientData/>
  </xdr:twoCellAnchor>
  <xdr:twoCellAnchor editAs="oneCell">
    <xdr:from>
      <xdr:col>12</xdr:col>
      <xdr:colOff>18415</xdr:colOff>
      <xdr:row>0</xdr:row>
      <xdr:rowOff>635</xdr:rowOff>
    </xdr:from>
    <xdr:to>
      <xdr:col>23</xdr:col>
      <xdr:colOff>466090</xdr:colOff>
      <xdr:row>20</xdr:row>
      <xdr:rowOff>153670</xdr:rowOff>
    </xdr:to>
    <xdr:pic>
      <xdr:nvPicPr>
        <xdr:cNvPr id="4" name="图片 3"/>
        <xdr:cNvPicPr>
          <a:picLocks noChangeAspect="1"/>
        </xdr:cNvPicPr>
      </xdr:nvPicPr>
      <xdr:blipFill>
        <a:blip r:embed="rId3"/>
        <a:stretch>
          <a:fillRect/>
        </a:stretch>
      </xdr:blipFill>
      <xdr:spPr>
        <a:xfrm>
          <a:off x="7356475" y="635"/>
          <a:ext cx="7174230" cy="3709035"/>
        </a:xfrm>
        <a:prstGeom prst="rect">
          <a:avLst/>
        </a:prstGeom>
      </xdr:spPr>
    </xdr:pic>
    <xdr:clientData/>
  </xdr:twoCellAnchor>
  <xdr:twoCellAnchor editAs="oneCell">
    <xdr:from>
      <xdr:col>0</xdr:col>
      <xdr:colOff>361950</xdr:colOff>
      <xdr:row>44</xdr:row>
      <xdr:rowOff>28575</xdr:rowOff>
    </xdr:from>
    <xdr:to>
      <xdr:col>6</xdr:col>
      <xdr:colOff>342402</xdr:colOff>
      <xdr:row>65</xdr:row>
      <xdr:rowOff>66220</xdr:rowOff>
    </xdr:to>
    <xdr:pic>
      <xdr:nvPicPr>
        <xdr:cNvPr id="5" name="图片 4"/>
        <xdr:cNvPicPr>
          <a:picLocks noChangeAspect="1"/>
        </xdr:cNvPicPr>
      </xdr:nvPicPr>
      <xdr:blipFill>
        <a:blip r:embed="rId4"/>
        <a:stretch>
          <a:fillRect/>
        </a:stretch>
      </xdr:blipFill>
      <xdr:spPr>
        <a:xfrm>
          <a:off x="361950" y="7851775"/>
          <a:ext cx="3649345" cy="3771265"/>
        </a:xfrm>
        <a:prstGeom prst="rect">
          <a:avLst/>
        </a:prstGeom>
      </xdr:spPr>
    </xdr:pic>
    <xdr:clientData/>
  </xdr:twoCellAnchor>
  <xdr:twoCellAnchor editAs="oneCell">
    <xdr:from>
      <xdr:col>7</xdr:col>
      <xdr:colOff>0</xdr:colOff>
      <xdr:row>44</xdr:row>
      <xdr:rowOff>0</xdr:rowOff>
    </xdr:from>
    <xdr:to>
      <xdr:col>13</xdr:col>
      <xdr:colOff>0</xdr:colOff>
      <xdr:row>84</xdr:row>
      <xdr:rowOff>94381</xdr:rowOff>
    </xdr:to>
    <xdr:pic>
      <xdr:nvPicPr>
        <xdr:cNvPr id="6" name="图片 5"/>
        <xdr:cNvPicPr>
          <a:picLocks noChangeAspect="1"/>
        </xdr:cNvPicPr>
      </xdr:nvPicPr>
      <xdr:blipFill>
        <a:blip r:embed="rId5"/>
        <a:stretch>
          <a:fillRect/>
        </a:stretch>
      </xdr:blipFill>
      <xdr:spPr>
        <a:xfrm>
          <a:off x="4280535" y="7823200"/>
          <a:ext cx="3669030" cy="72059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695" customWidth="1"/>
    <col min="2" max="2" width="81" style="3696" customWidth="1"/>
    <col min="3" max="16384" width="9" style="3697"/>
  </cols>
  <sheetData>
    <row r="1" s="3692" customFormat="1" ht="16.25" spans="1:2">
      <c r="A1" s="3698" t="s">
        <v>0</v>
      </c>
      <c r="B1" s="3699" t="s">
        <v>1</v>
      </c>
    </row>
    <row r="2" s="3693" customFormat="1" ht="15.75" spans="1:2">
      <c r="A2" s="3700" t="s">
        <v>2</v>
      </c>
      <c r="B2" s="3701" t="str">
        <f>'预评函-封皮'!B37:I37</f>
        <v>房地产抵押价值预评估</v>
      </c>
    </row>
    <row r="3" s="3694" customFormat="1" spans="1:2">
      <c r="A3" s="3702" t="s">
        <v>3</v>
      </c>
      <c r="B3" s="3703">
        <f>'预评函-封皮'!B40</f>
        <v>0</v>
      </c>
    </row>
    <row r="4" s="3694" customFormat="1" spans="1:2">
      <c r="A4" s="3702" t="s">
        <v>4</v>
      </c>
      <c r="B4" s="3703" t="str">
        <f ca="1">'预评函-封皮'!B46</f>
        <v>（注册号：0)、（注册号：0)</v>
      </c>
    </row>
    <row r="5" s="3692" customFormat="1" ht="15.75" spans="1:2">
      <c r="A5" s="3704" t="s">
        <v>5</v>
      </c>
      <c r="B5" s="3705" t="str">
        <f>'预评函-封皮'!B49</f>
        <v>康正预评字号</v>
      </c>
    </row>
    <row r="6" s="3693" customFormat="1" ht="15.75" spans="1:2">
      <c r="A6" s="3700" t="s">
        <v>6</v>
      </c>
      <c r="B6" s="3701" t="str">
        <f>'预评函-1'!A4</f>
        <v>受贵公司委托，我公司对房地产抵押价值进行了预评估。</v>
      </c>
    </row>
    <row r="7" s="3694" customFormat="1" spans="1:2">
      <c r="A7" s="3702" t="s">
        <v>7</v>
      </c>
      <c r="B7" s="3703" t="str">
        <f>'预评函-1'!A7</f>
        <v>估价对象为房地产，为所有。根据《国有土地使用证》[]，估价对象（分摊）出让国有建设用地使用权面积为0平方米，建筑面积为3013平方米。</v>
      </c>
    </row>
    <row r="8" s="3694" customFormat="1" spans="1:2">
      <c r="A8" s="3702" t="s">
        <v>8</v>
      </c>
      <c r="B8" s="3703" t="str">
        <f>'预评函-1'!A8</f>
        <v>估价对象简述。项目推广名，项目类型（用途），估价对象分布，各用途面积明细情况：XX用途建筑面积XX平方米，XX用途建筑面积XX平方米，……。复杂面积清单需设‘附表’列示：抵押物清单详见附表</v>
      </c>
    </row>
    <row r="9" s="3694" customFormat="1" spans="1:2">
      <c r="A9" s="3702" t="s">
        <v>9</v>
      </c>
      <c r="B9" s="3703" t="str">
        <f>'预评函-1'!A10</f>
        <v>估价对象为房地产,属开发建设的商业项目，该项目尚在开发建设中。根据《国有土地使用证》[]，估价对象（分摊）出让国有建设用地使用权面积为0平方米，规划建筑面积为3013平方米。</v>
      </c>
    </row>
    <row r="10" s="3694" customFormat="1" spans="1:2">
      <c r="A10" s="3702" t="s">
        <v>10</v>
      </c>
      <c r="B10" s="370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4" customFormat="1" spans="1:2">
      <c r="A11" s="3702" t="s">
        <v>11</v>
      </c>
      <c r="B11" s="3703"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3694" customFormat="1" spans="1:2">
      <c r="A12" s="3702" t="s">
        <v>12</v>
      </c>
      <c r="B12" s="3703" t="str">
        <f>'预评函-1'!A15</f>
        <v>2024年9月3日</v>
      </c>
    </row>
    <row r="13" s="3694" customFormat="1" spans="1:2">
      <c r="A13" s="3702" t="s">
        <v>13</v>
      </c>
      <c r="B13" s="3703" t="str">
        <f>'预评函-1'!A18</f>
        <v>本次估价的“房地产价值”是指在正常市场情况下，在价值时点2024年9月3日，估价对象规划用途为，土地取得方式为出让，出让国有建设用地使用权剩余土地使用年限为，假定未设立法定优先受偿款下的房地产市场价值。</v>
      </c>
    </row>
    <row r="14" s="3694" customFormat="1" spans="1:2">
      <c r="A14" s="3702" t="s">
        <v>14</v>
      </c>
      <c r="B14" s="370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4" customFormat="1" spans="1:2">
      <c r="A15" s="3702" t="s">
        <v>15</v>
      </c>
      <c r="B15" s="3703" t="str">
        <f>'预评函-1'!A20</f>
        <v>本次估价的“房地产抵押价值”是指估价对象在价值时点的“房地产价值”扣减估价师于价值时点所知悉的法定优先受偿款后的余额。</v>
      </c>
    </row>
    <row r="16" s="3694" customFormat="1" spans="1:2">
      <c r="A16" s="3702" t="s">
        <v>16</v>
      </c>
      <c r="B16" s="3703" t="str">
        <f>'预评函-1'!A21</f>
        <v>法定优先受偿款是指假定在价值时点实现抵押权时，法律规定优先于本次抵押贷款受偿的款额，包括发包人拖欠承包人的建筑工程款，已抵押担保的债权数额以及其他法定优先受偿款。</v>
      </c>
    </row>
    <row r="17" s="3694" customFormat="1" spans="1:2">
      <c r="A17" s="3702" t="s">
        <v>17</v>
      </c>
      <c r="B17" s="3703" t="str">
        <f>'预评函-1'!A22</f>
        <v/>
      </c>
    </row>
    <row r="18" s="3692" customFormat="1" ht="15.75" spans="1:2">
      <c r="A18" s="3704" t="s">
        <v>18</v>
      </c>
      <c r="B18" s="3705" t="str">
        <f>'预评函-1'!A24</f>
        <v>本次评估采用的主估价方法为比较法和收益法。</v>
      </c>
    </row>
    <row r="19" s="3693" customFormat="1" ht="15.75" spans="1:2">
      <c r="A19" s="3700" t="s">
        <v>19</v>
      </c>
      <c r="B19" s="370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94" customFormat="1" spans="1:2">
      <c r="A20" s="3702" t="s">
        <v>20</v>
      </c>
      <c r="B20" s="3703">
        <f ca="1">'预评函-2'!D5</f>
        <v>7020</v>
      </c>
    </row>
    <row r="21" s="3694" customFormat="1" spans="1:2">
      <c r="A21" s="3702" t="s">
        <v>21</v>
      </c>
      <c r="B21" s="3703">
        <f ca="1">'预评函-2'!D7</f>
        <v>23299</v>
      </c>
    </row>
    <row r="22" s="3694" customFormat="1" spans="1:2">
      <c r="A22" s="3702" t="s">
        <v>22</v>
      </c>
      <c r="B22" s="3703" t="str">
        <f ca="1">'预评函-2'!D6</f>
        <v>柒仟零贰拾万元整</v>
      </c>
    </row>
    <row r="23" s="3694" customFormat="1" spans="1:2">
      <c r="A23" s="3702" t="s">
        <v>23</v>
      </c>
      <c r="B23" s="3703" t="str">
        <f>'预评函-2'!B8</f>
        <v>2.估价师知悉的法定优先受偿款</v>
      </c>
    </row>
    <row r="24" s="3694" customFormat="1" spans="1:2">
      <c r="A24" s="3702" t="s">
        <v>24</v>
      </c>
      <c r="B24" s="3703">
        <f>'预评函-2'!D8</f>
        <v>0</v>
      </c>
    </row>
    <row r="25" s="3694" customFormat="1" spans="1:2">
      <c r="A25" s="3702" t="s">
        <v>25</v>
      </c>
      <c r="B25" s="3703" t="str">
        <f>'预评函-2'!D9</f>
        <v>零元整</v>
      </c>
    </row>
    <row r="26" s="3694" customFormat="1" spans="1:2">
      <c r="A26" s="3702" t="s">
        <v>26</v>
      </c>
      <c r="B26" s="3703">
        <f>'预评函-2'!D10</f>
        <v>0</v>
      </c>
    </row>
    <row r="27" s="3694" customFormat="1" spans="1:2">
      <c r="A27" s="3702" t="s">
        <v>27</v>
      </c>
      <c r="B27" s="3703">
        <f>'预评函-2'!D11</f>
        <v>0</v>
      </c>
    </row>
    <row r="28" s="3694" customFormat="1" spans="1:2">
      <c r="A28" s="3702" t="s">
        <v>28</v>
      </c>
      <c r="B28" s="3703">
        <f>'预评函-2'!D12</f>
        <v>0</v>
      </c>
    </row>
    <row r="29" s="3694" customFormat="1" spans="1:2">
      <c r="A29" s="3702" t="s">
        <v>29</v>
      </c>
      <c r="B29" s="3703" t="str">
        <f>'预评函-2'!B13</f>
        <v>3.房地产抵押价值</v>
      </c>
    </row>
    <row r="30" s="3694" customFormat="1" spans="1:2">
      <c r="A30" s="3702" t="s">
        <v>30</v>
      </c>
      <c r="B30" s="3703">
        <f ca="1">'预评函-2'!D13</f>
        <v>7020</v>
      </c>
    </row>
    <row r="31" s="3694" customFormat="1" spans="1:2">
      <c r="A31" s="3702" t="s">
        <v>31</v>
      </c>
      <c r="B31" s="3703">
        <f ca="1">'预评函-2'!D15</f>
        <v>23299</v>
      </c>
    </row>
    <row r="32" s="3694" customFormat="1" spans="1:2">
      <c r="A32" s="3702" t="s">
        <v>32</v>
      </c>
      <c r="B32" s="3703" t="str">
        <f ca="1">'预评函-2'!D14</f>
        <v>柒仟零贰拾万元整</v>
      </c>
    </row>
    <row r="33" s="3694" customFormat="1" spans="1:2">
      <c r="A33" s="3702" t="s">
        <v>33</v>
      </c>
      <c r="B33" s="3703" t="str">
        <f>'预评函-2'!B16</f>
        <v>——</v>
      </c>
    </row>
    <row r="34" s="3694" customFormat="1" spans="1:2">
      <c r="A34" s="3702" t="s">
        <v>34</v>
      </c>
      <c r="B34" s="3703" t="str">
        <f ca="1">'预评函-2'!D16</f>
        <v>——</v>
      </c>
    </row>
    <row r="35" s="3694" customFormat="1" spans="1:2">
      <c r="A35" s="3702" t="s">
        <v>35</v>
      </c>
      <c r="B35" s="3703" t="str">
        <f ca="1">'预评函-2'!D18</f>
        <v>——</v>
      </c>
    </row>
    <row r="36" s="3694" customFormat="1" spans="1:2">
      <c r="A36" s="3702" t="s">
        <v>36</v>
      </c>
      <c r="B36" s="3703" t="e">
        <f ca="1">'预评函-2'!D17</f>
        <v>#VALUE!</v>
      </c>
    </row>
    <row r="37" s="3694" customFormat="1" spans="1:2">
      <c r="A37" s="3702" t="s">
        <v>37</v>
      </c>
      <c r="B37" s="3703" t="str">
        <f>'预评函-2'!B19</f>
        <v>——</v>
      </c>
    </row>
    <row r="38" s="3694" customFormat="1" spans="1:2">
      <c r="A38" s="3702" t="s">
        <v>38</v>
      </c>
      <c r="B38" s="3703" t="str">
        <f ca="1">'预评函-2'!D19</f>
        <v>——</v>
      </c>
    </row>
    <row r="39" s="3694" customFormat="1" spans="1:2">
      <c r="A39" s="3702" t="s">
        <v>39</v>
      </c>
      <c r="B39" s="3703" t="str">
        <f ca="1">'预评函-2'!D21</f>
        <v>——</v>
      </c>
    </row>
    <row r="40" s="3694" customFormat="1" spans="1:2">
      <c r="A40" s="3702" t="s">
        <v>40</v>
      </c>
      <c r="B40" s="3703" t="e">
        <f ca="1">'预评函-2'!D20</f>
        <v>#VALUE!</v>
      </c>
    </row>
    <row r="41" s="3694" customFormat="1" spans="1:2">
      <c r="A41" s="3702" t="s">
        <v>41</v>
      </c>
      <c r="B41" s="3703" t="str">
        <f>'预评函-3'!A4</f>
        <v>房地产</v>
      </c>
    </row>
    <row r="42" s="3694" customFormat="1" ht="30" spans="1:2">
      <c r="A42" s="3702" t="s">
        <v>42</v>
      </c>
      <c r="B42" s="3703" t="str">
        <f>'预评函-3'!B2</f>
        <v>建筑面积</v>
      </c>
    </row>
    <row r="43" s="3694" customFormat="1" spans="1:2">
      <c r="A43" s="3702" t="s">
        <v>43</v>
      </c>
      <c r="B43" s="3703">
        <f>'预评函-3'!B4</f>
        <v>3013</v>
      </c>
    </row>
    <row r="44" s="3694" customFormat="1" ht="30" spans="1:2">
      <c r="A44" s="3702" t="s">
        <v>44</v>
      </c>
      <c r="B44" s="3703" t="str">
        <f>'预评函-3'!C2</f>
        <v>(分摊)土地面积</v>
      </c>
    </row>
    <row r="45" s="3694" customFormat="1" spans="1:2">
      <c r="A45" s="3702" t="s">
        <v>45</v>
      </c>
      <c r="B45" s="3703">
        <f>'预评函-3'!C4</f>
        <v>0</v>
      </c>
    </row>
    <row r="46" s="3694" customFormat="1" spans="1:2">
      <c r="A46" s="3702" t="s">
        <v>46</v>
      </c>
      <c r="B46" s="3703" t="str">
        <f>'预评函-3'!D2</f>
        <v>出让国有建设用地使用权价值</v>
      </c>
    </row>
    <row r="47" s="3694" customFormat="1" spans="1:2">
      <c r="A47" s="3702" t="s">
        <v>47</v>
      </c>
      <c r="B47" s="3703">
        <f ca="1">'预评函-3'!D4</f>
        <v>5153</v>
      </c>
    </row>
    <row r="48" s="3694" customFormat="1" spans="1:2">
      <c r="A48" s="3702" t="s">
        <v>48</v>
      </c>
      <c r="B48" s="3703">
        <f ca="1">'预评函-3'!E4</f>
        <v>17103</v>
      </c>
    </row>
    <row r="49" s="3694" customFormat="1" spans="1:2">
      <c r="A49" s="3702" t="s">
        <v>49</v>
      </c>
      <c r="B49" s="3703" t="str">
        <f ca="1">'预评函-3'!D5</f>
        <v>伍仟壹佰伍拾叁万元整</v>
      </c>
    </row>
    <row r="50" s="3694" customFormat="1" spans="1:2">
      <c r="A50" s="3702" t="s">
        <v>50</v>
      </c>
      <c r="B50" s="3703" t="str">
        <f>'预评函-3'!F2</f>
        <v>在建建筑物价值</v>
      </c>
    </row>
    <row r="51" s="3694" customFormat="1" spans="1:2">
      <c r="A51" s="3702" t="s">
        <v>51</v>
      </c>
      <c r="B51" s="3703">
        <f ca="1">'预评函-3'!F4</f>
        <v>1867</v>
      </c>
    </row>
    <row r="52" s="3694" customFormat="1" spans="1:2">
      <c r="A52" s="3702" t="s">
        <v>52</v>
      </c>
      <c r="B52" s="3703">
        <f ca="1">'预评函-3'!G4</f>
        <v>6196</v>
      </c>
    </row>
    <row r="53" s="3694" customFormat="1" spans="1:2">
      <c r="A53" s="3702" t="s">
        <v>53</v>
      </c>
      <c r="B53" s="3703" t="str">
        <f ca="1">'预评函-3'!F5</f>
        <v>壹仟捌佰陆拾柒万元整</v>
      </c>
    </row>
    <row r="54" s="3694" customFormat="1" spans="1:2">
      <c r="A54" s="3702" t="s">
        <v>54</v>
      </c>
      <c r="B54" s="3703" t="str">
        <f>'预评函-3'!A8</f>
        <v>房地产抵押价值</v>
      </c>
    </row>
    <row r="55" s="3694" customFormat="1" spans="1:2">
      <c r="A55" s="3702" t="s">
        <v>55</v>
      </c>
      <c r="B55" s="3703" t="str">
        <f>'预评函-3'!A10</f>
        <v/>
      </c>
    </row>
    <row r="56" s="3694" customFormat="1" spans="1:2">
      <c r="A56" s="3702" t="s">
        <v>56</v>
      </c>
      <c r="B56" s="3703" t="str">
        <f>'预评函-3'!A12</f>
        <v/>
      </c>
    </row>
    <row r="57" s="3692" customFormat="1" ht="15.75" spans="1:2">
      <c r="A57" s="3704" t="s">
        <v>57</v>
      </c>
      <c r="B57" s="3705" t="str">
        <f>'预评函-3'!A6</f>
        <v>估价师知悉的法定优先受偿款</v>
      </c>
    </row>
    <row r="58" s="3693" customFormat="1" ht="15.75" spans="1:2">
      <c r="A58" s="3700" t="s">
        <v>58</v>
      </c>
      <c r="B58" s="3701" t="str">
        <f>'预评函-4'!A12</f>
        <v>2.本《评估意见函》仅供金融机构进行内部审核使用，不做其他目的之用。</v>
      </c>
    </row>
    <row r="59" s="3694" customFormat="1" spans="1:2">
      <c r="A59" s="3702" t="s">
        <v>59</v>
      </c>
      <c r="B59" s="3703" t="str">
        <f>'预评函-4'!A13</f>
        <v>3.抵押双方在办理抵押登记手续时，应使用本公司出具的正式《房地产评估报告》，特提醒报告使用者注意。</v>
      </c>
    </row>
    <row r="60" s="3694" customFormat="1" spans="1:2">
      <c r="A60" s="3702" t="s">
        <v>60</v>
      </c>
      <c r="B60" s="3703" t="str">
        <f>'预评函-4'!A14</f>
        <v>4.本次评估估价师所知悉的法定优先受偿款情况说明如下：</v>
      </c>
    </row>
    <row r="61" s="3694" customFormat="1" spans="1:2">
      <c r="A61" s="3702" t="s">
        <v>61</v>
      </c>
      <c r="B61" s="370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94" customFormat="1" spans="1:2">
      <c r="A62" s="3702" t="s">
        <v>62</v>
      </c>
      <c r="B62" s="3703" t="str">
        <f>'预评函-4'!A16</f>
        <v>（2）根据《工程款支付情况说明》，截至价值时点，估价对象不存在应付未付工程款项。（只要没有施工方盖章的，均“设定”进行表述）</v>
      </c>
    </row>
    <row r="63" s="3694" customFormat="1" spans="1:2">
      <c r="A63" s="3702" t="s">
        <v>63</v>
      </c>
      <c r="B63" s="370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4" customFormat="1" spans="1:2">
      <c r="A64" s="3702" t="s">
        <v>64</v>
      </c>
      <c r="B64" s="3703" t="str">
        <f>'预评函-4'!A18</f>
        <v>故，本次评估不存在估价师知悉的法定优先受偿款</v>
      </c>
    </row>
    <row r="65" s="3694" customFormat="1" spans="1:2">
      <c r="A65" s="3702" t="s">
        <v>65</v>
      </c>
      <c r="B65" s="370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94" customFormat="1" spans="1:2">
      <c r="A66" s="3702" t="s">
        <v>66</v>
      </c>
      <c r="B66" s="370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4" customFormat="1" spans="1:2">
      <c r="A67" s="3702" t="s">
        <v>67</v>
      </c>
      <c r="B67" s="370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4" customFormat="1" spans="1:2">
      <c r="A68" s="3702" t="s">
        <v>68</v>
      </c>
      <c r="B68" s="3703" t="str">
        <f>'预评函-4'!A22</f>
        <v>8.其他需特殊说明事项：无（注意调整序号）</v>
      </c>
    </row>
    <row r="69" s="3692" customFormat="1" ht="15.75" spans="1:2">
      <c r="A69" s="3704" t="s">
        <v>69</v>
      </c>
      <c r="B69" s="3706">
        <f>'预评函-4'!C31</f>
        <v>42551</v>
      </c>
    </row>
    <row r="70" ht="15.75" spans="1:2">
      <c r="A70" s="3707" t="s">
        <v>70</v>
      </c>
      <c r="B70" s="3708">
        <f>'预评函-4'!A4</f>
        <v>0</v>
      </c>
    </row>
    <row r="71" spans="1:2">
      <c r="A71" s="3702" t="s">
        <v>71</v>
      </c>
      <c r="B71" s="3703">
        <f ca="1">'预评函-4'!B4</f>
        <v>0</v>
      </c>
    </row>
    <row r="72" spans="1:2">
      <c r="A72" s="3702" t="s">
        <v>72</v>
      </c>
      <c r="B72" s="3709">
        <f>'预评函-4'!A5</f>
        <v>0</v>
      </c>
    </row>
    <row r="73" s="3692" customFormat="1" ht="15.75" spans="1:2">
      <c r="A73" s="3704" t="s">
        <v>73</v>
      </c>
      <c r="B73" s="3705">
        <f ca="1">'预评函-4'!B5</f>
        <v>0</v>
      </c>
    </row>
    <row r="74" ht="15.75" spans="1:2">
      <c r="A74" s="3695" t="s">
        <v>74</v>
      </c>
      <c r="B74" s="369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
  <cols>
    <col min="1" max="1" width="13.5" style="3535" customWidth="1"/>
    <col min="2" max="2" width="23.2545454545455" style="3536" customWidth="1"/>
    <col min="3" max="3" width="13" style="3537" customWidth="1"/>
    <col min="4" max="4" width="5.75454545454545" style="3538" customWidth="1"/>
    <col min="5" max="5" width="7.12727272727273" style="3538" customWidth="1"/>
    <col min="6" max="6" width="10.6272727272727" style="3538" customWidth="1"/>
    <col min="7" max="7" width="7.5" style="3538" customWidth="1"/>
    <col min="8" max="8" width="11.8727272727273" style="3537" customWidth="1"/>
    <col min="9" max="9" width="11.6272727272727" style="3537" customWidth="1"/>
    <col min="10" max="10" width="9" style="3537" customWidth="1"/>
    <col min="11" max="19" width="9" style="3538" customWidth="1"/>
    <col min="20" max="23" width="9" style="3537" customWidth="1"/>
    <col min="24" max="24" width="21.1272727272727" style="3536" customWidth="1"/>
    <col min="25" max="16384" width="9" style="3536"/>
  </cols>
  <sheetData>
    <row r="1" s="3534" customFormat="1" ht="42" spans="1:23">
      <c r="A1" s="3539" t="s">
        <v>206</v>
      </c>
      <c r="B1" s="3540" t="s">
        <v>207</v>
      </c>
      <c r="C1" s="3541" t="s">
        <v>208</v>
      </c>
      <c r="D1" s="3542" t="s">
        <v>209</v>
      </c>
      <c r="E1" s="3543" t="s">
        <v>210</v>
      </c>
      <c r="F1" s="3543" t="s">
        <v>211</v>
      </c>
      <c r="G1" s="3543" t="s">
        <v>212</v>
      </c>
      <c r="H1" s="3543" t="s">
        <v>213</v>
      </c>
      <c r="I1" s="3543" t="s">
        <v>214</v>
      </c>
      <c r="J1" s="3543" t="s">
        <v>215</v>
      </c>
      <c r="K1" s="3543" t="s">
        <v>216</v>
      </c>
      <c r="L1" s="3543" t="s">
        <v>217</v>
      </c>
      <c r="M1" s="3543" t="s">
        <v>218</v>
      </c>
      <c r="N1" s="3543" t="s">
        <v>219</v>
      </c>
      <c r="O1" s="3543" t="s">
        <v>220</v>
      </c>
      <c r="P1" s="3542" t="s">
        <v>221</v>
      </c>
      <c r="Q1" s="3542" t="s">
        <v>222</v>
      </c>
      <c r="R1" s="3543" t="s">
        <v>223</v>
      </c>
      <c r="S1" s="3543" t="s">
        <v>224</v>
      </c>
      <c r="T1" s="3552" t="s">
        <v>225</v>
      </c>
      <c r="U1" s="3543" t="s">
        <v>226</v>
      </c>
      <c r="V1" s="3543" t="s">
        <v>227</v>
      </c>
      <c r="W1" s="3543" t="s">
        <v>228</v>
      </c>
    </row>
    <row r="2" spans="1:23">
      <c r="A2" s="3544" t="s">
        <v>124</v>
      </c>
      <c r="B2" s="3544" t="s">
        <v>229</v>
      </c>
      <c r="C2" s="3545" t="s">
        <v>230</v>
      </c>
      <c r="D2" s="3538" t="s">
        <v>231</v>
      </c>
      <c r="E2" s="3538" t="s">
        <v>232</v>
      </c>
      <c r="F2" s="3538" t="s">
        <v>159</v>
      </c>
      <c r="G2" s="3538">
        <v>20</v>
      </c>
      <c r="H2" s="3538" t="s">
        <v>159</v>
      </c>
      <c r="I2" s="3538" t="s">
        <v>233</v>
      </c>
      <c r="J2" s="3538" t="s">
        <v>234</v>
      </c>
      <c r="K2" s="3538" t="s">
        <v>235</v>
      </c>
      <c r="L2" s="3538" t="s">
        <v>235</v>
      </c>
      <c r="M2" s="3538" t="s">
        <v>235</v>
      </c>
      <c r="N2" s="3538" t="s">
        <v>235</v>
      </c>
      <c r="O2" s="3538" t="s">
        <v>235</v>
      </c>
      <c r="P2" s="3538" t="s">
        <v>235</v>
      </c>
      <c r="Q2" s="3538" t="s">
        <v>235</v>
      </c>
      <c r="R2" s="3538" t="s">
        <v>236</v>
      </c>
      <c r="S2" s="3538" t="s">
        <v>235</v>
      </c>
      <c r="T2" s="3538" t="s">
        <v>237</v>
      </c>
      <c r="U2" s="3538" t="s">
        <v>235</v>
      </c>
      <c r="V2" s="3538" t="s">
        <v>238</v>
      </c>
      <c r="W2" s="3538" t="s">
        <v>235</v>
      </c>
    </row>
    <row r="3" spans="1:23">
      <c r="A3" s="3544" t="s">
        <v>239</v>
      </c>
      <c r="B3" s="3546" t="s">
        <v>240</v>
      </c>
      <c r="C3" s="3547" t="s">
        <v>241</v>
      </c>
      <c r="D3" s="3538" t="s">
        <v>242</v>
      </c>
      <c r="E3" s="3538" t="s">
        <v>124</v>
      </c>
      <c r="F3" s="3538" t="s">
        <v>160</v>
      </c>
      <c r="G3" s="3538">
        <v>40</v>
      </c>
      <c r="H3" s="3538" t="s">
        <v>160</v>
      </c>
      <c r="I3" s="3538" t="s">
        <v>243</v>
      </c>
      <c r="J3" s="3538" t="s">
        <v>244</v>
      </c>
      <c r="K3" s="3538" t="s">
        <v>245</v>
      </c>
      <c r="L3" s="3538" t="s">
        <v>245</v>
      </c>
      <c r="M3" s="3538" t="s">
        <v>245</v>
      </c>
      <c r="N3" s="3538" t="s">
        <v>245</v>
      </c>
      <c r="O3" s="3538" t="s">
        <v>245</v>
      </c>
      <c r="P3" s="3538" t="s">
        <v>245</v>
      </c>
      <c r="Q3" s="3538" t="s">
        <v>245</v>
      </c>
      <c r="R3" s="3538" t="s">
        <v>246</v>
      </c>
      <c r="S3" s="3538" t="s">
        <v>245</v>
      </c>
      <c r="T3" s="3538" t="s">
        <v>247</v>
      </c>
      <c r="U3" s="3538" t="s">
        <v>245</v>
      </c>
      <c r="V3" s="3538" t="s">
        <v>248</v>
      </c>
      <c r="W3" s="3538" t="s">
        <v>245</v>
      </c>
    </row>
    <row r="4" spans="1:23">
      <c r="A4" s="3544" t="s">
        <v>249</v>
      </c>
      <c r="B4" s="3544" t="s">
        <v>250</v>
      </c>
      <c r="C4" s="3545" t="s">
        <v>251</v>
      </c>
      <c r="D4" s="3538" t="s">
        <v>124</v>
      </c>
      <c r="E4" s="3538" t="s">
        <v>252</v>
      </c>
      <c r="F4" s="3538" t="s">
        <v>161</v>
      </c>
      <c r="G4" s="3538">
        <v>50</v>
      </c>
      <c r="H4" s="3538" t="s">
        <v>161</v>
      </c>
      <c r="I4" s="3538" t="s">
        <v>253</v>
      </c>
      <c r="K4" s="3538" t="s">
        <v>254</v>
      </c>
      <c r="L4" s="3538" t="s">
        <v>254</v>
      </c>
      <c r="M4" s="3538" t="s">
        <v>254</v>
      </c>
      <c r="N4" s="3538" t="s">
        <v>254</v>
      </c>
      <c r="O4" s="3538" t="s">
        <v>254</v>
      </c>
      <c r="P4" s="3538" t="s">
        <v>254</v>
      </c>
      <c r="Q4" s="3538" t="s">
        <v>254</v>
      </c>
      <c r="R4" s="3538" t="s">
        <v>255</v>
      </c>
      <c r="S4" s="3538" t="s">
        <v>254</v>
      </c>
      <c r="T4" s="3538" t="s">
        <v>256</v>
      </c>
      <c r="U4" s="3538" t="s">
        <v>254</v>
      </c>
      <c r="W4" s="3538" t="s">
        <v>254</v>
      </c>
    </row>
    <row r="5" spans="1:23">
      <c r="A5" s="3544" t="s">
        <v>257</v>
      </c>
      <c r="B5" s="3544" t="s">
        <v>258</v>
      </c>
      <c r="C5" s="3545" t="s">
        <v>259</v>
      </c>
      <c r="F5" s="3538" t="s">
        <v>162</v>
      </c>
      <c r="G5" s="3538">
        <v>70</v>
      </c>
      <c r="H5" s="3538" t="s">
        <v>260</v>
      </c>
      <c r="I5" s="3538" t="s">
        <v>261</v>
      </c>
      <c r="K5" s="3538" t="s">
        <v>262</v>
      </c>
      <c r="L5" s="3538" t="s">
        <v>262</v>
      </c>
      <c r="M5" s="3538" t="s">
        <v>262</v>
      </c>
      <c r="N5" s="3538" t="s">
        <v>262</v>
      </c>
      <c r="O5" s="3538" t="s">
        <v>262</v>
      </c>
      <c r="P5" s="3538" t="s">
        <v>262</v>
      </c>
      <c r="Q5" s="3538" t="s">
        <v>262</v>
      </c>
      <c r="R5" s="3538" t="s">
        <v>263</v>
      </c>
      <c r="S5" s="3538" t="s">
        <v>262</v>
      </c>
      <c r="T5" s="3538" t="s">
        <v>264</v>
      </c>
      <c r="U5" s="3538" t="s">
        <v>262</v>
      </c>
      <c r="W5" s="3538" t="s">
        <v>262</v>
      </c>
    </row>
    <row r="6" spans="1:23">
      <c r="A6" s="3544" t="s">
        <v>265</v>
      </c>
      <c r="B6" s="3546" t="s">
        <v>266</v>
      </c>
      <c r="C6" s="3548" t="s">
        <v>267</v>
      </c>
      <c r="F6" s="3538" t="s">
        <v>260</v>
      </c>
      <c r="H6" s="3538" t="s">
        <v>164</v>
      </c>
      <c r="I6" s="3538" t="s">
        <v>268</v>
      </c>
      <c r="K6" s="3538" t="s">
        <v>269</v>
      </c>
      <c r="L6" s="3538" t="s">
        <v>269</v>
      </c>
      <c r="M6" s="3538" t="s">
        <v>269</v>
      </c>
      <c r="N6" s="3538" t="s">
        <v>269</v>
      </c>
      <c r="O6" s="3538" t="s">
        <v>269</v>
      </c>
      <c r="P6" s="3538" t="s">
        <v>269</v>
      </c>
      <c r="Q6" s="3538" t="s">
        <v>269</v>
      </c>
      <c r="R6" s="3538" t="s">
        <v>270</v>
      </c>
      <c r="S6" s="3538" t="s">
        <v>269</v>
      </c>
      <c r="T6" s="3538"/>
      <c r="U6" s="3538" t="s">
        <v>269</v>
      </c>
      <c r="W6" s="3538" t="s">
        <v>269</v>
      </c>
    </row>
    <row r="7" spans="1:9">
      <c r="A7" s="3544" t="s">
        <v>271</v>
      </c>
      <c r="B7" s="3546" t="s">
        <v>272</v>
      </c>
      <c r="C7" s="3545" t="s">
        <v>273</v>
      </c>
      <c r="F7" s="3538" t="s">
        <v>274</v>
      </c>
      <c r="H7" s="3538" t="s">
        <v>162</v>
      </c>
      <c r="I7" s="3538" t="s">
        <v>275</v>
      </c>
    </row>
    <row r="8" spans="1:9">
      <c r="A8" s="3544" t="s">
        <v>276</v>
      </c>
      <c r="B8" s="3544" t="s">
        <v>277</v>
      </c>
      <c r="C8" s="3545" t="s">
        <v>278</v>
      </c>
      <c r="F8" s="3538" t="s">
        <v>279</v>
      </c>
      <c r="H8" s="3538" t="s">
        <v>280</v>
      </c>
      <c r="I8" s="3538" t="s">
        <v>281</v>
      </c>
    </row>
    <row r="9" spans="1:9">
      <c r="A9" s="3544" t="s">
        <v>282</v>
      </c>
      <c r="B9" s="3544" t="s">
        <v>283</v>
      </c>
      <c r="C9" s="3545" t="s">
        <v>284</v>
      </c>
      <c r="F9" s="3538" t="s">
        <v>164</v>
      </c>
      <c r="H9" s="3538"/>
      <c r="I9" s="3537" t="s">
        <v>285</v>
      </c>
    </row>
    <row r="10" spans="1:9">
      <c r="A10" s="3544" t="s">
        <v>286</v>
      </c>
      <c r="B10" s="3544" t="s">
        <v>287</v>
      </c>
      <c r="C10" s="3545" t="s">
        <v>288</v>
      </c>
      <c r="F10" s="3538" t="s">
        <v>280</v>
      </c>
      <c r="I10" s="3537" t="s">
        <v>289</v>
      </c>
    </row>
    <row r="11" spans="1:9">
      <c r="A11" s="3544" t="s">
        <v>290</v>
      </c>
      <c r="B11" s="3544" t="s">
        <v>291</v>
      </c>
      <c r="C11" s="3545" t="s">
        <v>292</v>
      </c>
      <c r="F11" s="3538" t="s">
        <v>124</v>
      </c>
      <c r="I11" s="3537" t="s">
        <v>293</v>
      </c>
    </row>
    <row r="12" spans="1:9">
      <c r="A12" s="3544" t="s">
        <v>294</v>
      </c>
      <c r="B12" s="3544" t="s">
        <v>295</v>
      </c>
      <c r="C12" s="3545" t="s">
        <v>296</v>
      </c>
      <c r="I12" s="3537" t="s">
        <v>297</v>
      </c>
    </row>
    <row r="13" spans="1:9">
      <c r="A13" s="3544" t="s">
        <v>298</v>
      </c>
      <c r="B13" s="3544" t="s">
        <v>299</v>
      </c>
      <c r="C13" s="3545" t="s">
        <v>300</v>
      </c>
      <c r="I13" s="3537" t="s">
        <v>301</v>
      </c>
    </row>
    <row r="14" spans="1:9">
      <c r="A14" s="3544" t="s">
        <v>302</v>
      </c>
      <c r="B14" s="3544" t="s">
        <v>303</v>
      </c>
      <c r="C14" s="3538" t="s">
        <v>124</v>
      </c>
      <c r="I14" s="3537" t="s">
        <v>304</v>
      </c>
    </row>
    <row r="15" spans="1:9">
      <c r="A15" s="3544" t="s">
        <v>305</v>
      </c>
      <c r="B15" s="3544" t="s">
        <v>306</v>
      </c>
      <c r="C15" s="3545"/>
      <c r="I15" s="3537" t="s">
        <v>307</v>
      </c>
    </row>
    <row r="16" spans="1:3">
      <c r="A16" s="3544" t="s">
        <v>308</v>
      </c>
      <c r="B16" s="3544" t="s">
        <v>309</v>
      </c>
      <c r="C16" s="3545"/>
    </row>
    <row r="17" spans="1:3">
      <c r="A17" s="3544" t="s">
        <v>310</v>
      </c>
      <c r="B17" s="3544" t="s">
        <v>311</v>
      </c>
      <c r="C17" s="3545"/>
    </row>
    <row r="18" spans="1:3">
      <c r="A18" s="3544" t="s">
        <v>312</v>
      </c>
      <c r="B18" s="3544" t="s">
        <v>313</v>
      </c>
      <c r="C18" s="3545"/>
    </row>
    <row r="19" spans="1:3">
      <c r="A19" s="3544" t="s">
        <v>314</v>
      </c>
      <c r="B19" s="3544" t="s">
        <v>315</v>
      </c>
      <c r="C19" s="3545"/>
    </row>
    <row r="20" spans="1:3">
      <c r="A20" s="3544" t="s">
        <v>316</v>
      </c>
      <c r="B20" s="3544" t="s">
        <v>315</v>
      </c>
      <c r="C20" s="3545"/>
    </row>
    <row r="21" spans="1:3">
      <c r="A21" s="3544" t="s">
        <v>260</v>
      </c>
      <c r="B21" s="3544" t="s">
        <v>315</v>
      </c>
      <c r="C21" s="3545"/>
    </row>
    <row r="22" spans="1:3">
      <c r="A22" s="3544" t="s">
        <v>317</v>
      </c>
      <c r="B22" s="3544" t="s">
        <v>315</v>
      </c>
      <c r="C22" s="3545"/>
    </row>
    <row r="23" spans="1:3">
      <c r="A23" s="3544" t="s">
        <v>318</v>
      </c>
      <c r="B23" s="3544" t="s">
        <v>315</v>
      </c>
      <c r="C23" s="3545"/>
    </row>
    <row r="24" spans="1:3">
      <c r="A24" s="3544" t="s">
        <v>319</v>
      </c>
      <c r="B24" s="3544" t="s">
        <v>315</v>
      </c>
      <c r="C24" s="3545"/>
    </row>
    <row r="25" spans="1:3">
      <c r="A25" s="3544" t="s">
        <v>320</v>
      </c>
      <c r="B25" s="3544" t="s">
        <v>315</v>
      </c>
      <c r="C25" s="3545"/>
    </row>
    <row r="26" spans="1:3">
      <c r="A26" s="3544" t="s">
        <v>321</v>
      </c>
      <c r="B26" s="3544" t="s">
        <v>315</v>
      </c>
      <c r="C26" s="3545"/>
    </row>
    <row r="27" spans="1:3">
      <c r="A27" s="3544" t="s">
        <v>315</v>
      </c>
      <c r="B27" s="3544" t="s">
        <v>315</v>
      </c>
      <c r="C27" s="3545"/>
    </row>
    <row r="28" spans="1:3">
      <c r="A28" s="3544" t="s">
        <v>315</v>
      </c>
      <c r="B28" s="3544" t="s">
        <v>315</v>
      </c>
      <c r="C28" s="3545"/>
    </row>
    <row r="29" spans="1:3">
      <c r="A29" s="3544" t="s">
        <v>315</v>
      </c>
      <c r="B29" s="3544" t="s">
        <v>315</v>
      </c>
      <c r="C29" s="3545"/>
    </row>
    <row r="30" spans="1:3">
      <c r="A30" s="3544" t="s">
        <v>315</v>
      </c>
      <c r="B30" s="3544" t="s">
        <v>315</v>
      </c>
      <c r="C30" s="3545"/>
    </row>
    <row r="31" spans="1:3">
      <c r="A31" s="3544" t="s">
        <v>315</v>
      </c>
      <c r="B31" s="3544" t="s">
        <v>315</v>
      </c>
      <c r="C31" s="3545"/>
    </row>
    <row r="32" spans="1:3">
      <c r="A32" s="3544" t="s">
        <v>315</v>
      </c>
      <c r="B32" s="3544" t="s">
        <v>315</v>
      </c>
      <c r="C32" s="3545"/>
    </row>
    <row r="33" spans="1:3">
      <c r="A33" s="3544" t="s">
        <v>315</v>
      </c>
      <c r="B33" s="3544" t="s">
        <v>315</v>
      </c>
      <c r="C33" s="3545"/>
    </row>
    <row r="34" spans="1:3">
      <c r="A34" s="3544" t="s">
        <v>315</v>
      </c>
      <c r="B34" s="3544" t="s">
        <v>315</v>
      </c>
      <c r="C34" s="3545"/>
    </row>
    <row r="35" spans="1:3">
      <c r="A35" s="3544" t="s">
        <v>315</v>
      </c>
      <c r="B35" s="3544" t="s">
        <v>315</v>
      </c>
      <c r="C35" s="3545"/>
    </row>
    <row r="36" spans="1:3">
      <c r="A36" s="3544" t="s">
        <v>315</v>
      </c>
      <c r="B36" s="3544" t="s">
        <v>315</v>
      </c>
      <c r="C36" s="3545"/>
    </row>
    <row r="37" spans="1:3">
      <c r="A37" s="3544" t="s">
        <v>315</v>
      </c>
      <c r="B37" s="3544" t="s">
        <v>315</v>
      </c>
      <c r="C37" s="3545"/>
    </row>
    <row r="38" spans="1:3">
      <c r="A38" s="3544" t="s">
        <v>315</v>
      </c>
      <c r="B38" s="3544" t="s">
        <v>315</v>
      </c>
      <c r="C38" s="3545"/>
    </row>
    <row r="39" spans="1:3">
      <c r="A39" s="3544" t="s">
        <v>315</v>
      </c>
      <c r="B39" s="3544" t="s">
        <v>315</v>
      </c>
      <c r="C39" s="3545"/>
    </row>
    <row r="40" spans="1:3">
      <c r="A40" s="3544" t="s">
        <v>315</v>
      </c>
      <c r="B40" s="3544" t="s">
        <v>315</v>
      </c>
      <c r="C40" s="3545"/>
    </row>
    <row r="41" spans="1:3">
      <c r="A41" s="3544" t="s">
        <v>315</v>
      </c>
      <c r="B41" s="3544" t="s">
        <v>315</v>
      </c>
      <c r="C41" s="3545"/>
    </row>
    <row r="42" spans="1:3">
      <c r="A42" s="3544" t="s">
        <v>315</v>
      </c>
      <c r="B42" s="3544" t="s">
        <v>315</v>
      </c>
      <c r="C42" s="3545"/>
    </row>
    <row r="43" spans="1:3">
      <c r="A43" s="3544" t="s">
        <v>315</v>
      </c>
      <c r="B43" s="3544" t="s">
        <v>315</v>
      </c>
      <c r="C43" s="3545"/>
    </row>
    <row r="44" spans="1:3">
      <c r="A44" s="3544" t="s">
        <v>315</v>
      </c>
      <c r="B44" s="3544" t="s">
        <v>315</v>
      </c>
      <c r="C44" s="3545"/>
    </row>
    <row r="45" spans="1:3">
      <c r="A45" s="3544" t="s">
        <v>315</v>
      </c>
      <c r="B45" s="3544" t="s">
        <v>315</v>
      </c>
      <c r="C45" s="3545"/>
    </row>
    <row r="46" spans="1:3">
      <c r="A46" s="3544" t="s">
        <v>315</v>
      </c>
      <c r="B46" s="3544" t="s">
        <v>315</v>
      </c>
      <c r="C46" s="3545"/>
    </row>
    <row r="47" spans="1:3">
      <c r="A47" s="3544" t="s">
        <v>315</v>
      </c>
      <c r="B47" s="3544" t="s">
        <v>315</v>
      </c>
      <c r="C47" s="3545"/>
    </row>
    <row r="48" spans="1:3">
      <c r="A48" s="3544" t="s">
        <v>315</v>
      </c>
      <c r="B48" s="3544" t="s">
        <v>315</v>
      </c>
      <c r="C48" s="3545"/>
    </row>
    <row r="49" spans="1:3">
      <c r="A49" s="3544" t="s">
        <v>315</v>
      </c>
      <c r="B49" s="3544" t="s">
        <v>315</v>
      </c>
      <c r="C49" s="3545"/>
    </row>
    <row r="50" spans="1:3">
      <c r="A50" s="3544" t="s">
        <v>315</v>
      </c>
      <c r="B50" s="3544" t="s">
        <v>315</v>
      </c>
      <c r="C50" s="3545"/>
    </row>
    <row r="51" spans="1:4">
      <c r="A51" s="3549" t="s">
        <v>322</v>
      </c>
      <c r="B51" s="3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550" t="s">
        <v>323</v>
      </c>
    </row>
    <row r="52" spans="1:4">
      <c r="A52" s="3549" t="s">
        <v>324</v>
      </c>
      <c r="B52" s="3549" t="s">
        <v>325</v>
      </c>
      <c r="C52" s="3537" t="s">
        <v>326</v>
      </c>
      <c r="D52" s="3537" t="s">
        <v>327</v>
      </c>
    </row>
    <row r="53" spans="1:3">
      <c r="A53" s="3541" t="s">
        <v>328</v>
      </c>
      <c r="B53" s="3550" t="s">
        <v>329</v>
      </c>
      <c r="C53" s="35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3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1"/>
      <c r="B54" s="3550" t="s">
        <v>330</v>
      </c>
      <c r="C54" s="3537" t="s">
        <v>331</v>
      </c>
    </row>
    <row r="55" spans="1:3">
      <c r="A55" s="3541"/>
      <c r="B55" s="3550" t="s">
        <v>332</v>
      </c>
      <c r="C55" s="3537" t="s">
        <v>333</v>
      </c>
    </row>
    <row r="56" spans="1:3">
      <c r="A56" s="3541"/>
      <c r="B56" s="3550" t="s">
        <v>334</v>
      </c>
      <c r="C56" s="3537" t="s">
        <v>335</v>
      </c>
    </row>
    <row r="57" spans="1:3">
      <c r="A57" s="3541"/>
      <c r="B57" s="3550" t="s">
        <v>336</v>
      </c>
      <c r="C57" s="3537" t="s">
        <v>337</v>
      </c>
    </row>
    <row r="58" spans="1:2">
      <c r="A58" s="3551"/>
      <c r="B58" s="3537"/>
    </row>
    <row r="59" spans="1:2">
      <c r="A59" s="3551"/>
      <c r="B59" s="3537"/>
    </row>
    <row r="60" spans="1:2">
      <c r="A60" s="3551"/>
      <c r="B60" s="3537"/>
    </row>
    <row r="61" spans="1:2">
      <c r="A61" s="3551"/>
      <c r="B61" s="3537"/>
    </row>
    <row r="62" spans="1:2">
      <c r="A62" s="3551"/>
      <c r="B62" s="3537"/>
    </row>
    <row r="63" spans="1:2">
      <c r="A63" s="3551"/>
      <c r="B63" s="3537"/>
    </row>
    <row r="64" spans="1:2">
      <c r="A64" s="3551"/>
      <c r="B64" s="3537"/>
    </row>
    <row r="65" spans="1:2">
      <c r="A65" s="3551"/>
      <c r="B65" s="3537"/>
    </row>
    <row r="66" spans="1:2">
      <c r="A66" s="3551"/>
      <c r="B66" s="3537"/>
    </row>
    <row r="67" spans="1:2">
      <c r="A67" s="3551"/>
      <c r="B67" s="3537"/>
    </row>
    <row r="68" spans="1:2">
      <c r="A68" s="3551"/>
      <c r="B68" s="3537"/>
    </row>
    <row r="69" spans="1:2">
      <c r="A69" s="3551"/>
      <c r="B69" s="3537"/>
    </row>
    <row r="70" spans="1:2">
      <c r="A70" s="3551"/>
      <c r="B70" s="3537"/>
    </row>
    <row r="71" spans="1:2">
      <c r="A71" s="3551"/>
      <c r="B71" s="3537"/>
    </row>
    <row r="72" spans="1:2">
      <c r="A72" s="3551"/>
      <c r="B72" s="3537"/>
    </row>
    <row r="73" spans="1:2">
      <c r="A73" s="3551"/>
      <c r="B73" s="3537"/>
    </row>
    <row r="74" spans="1:2">
      <c r="A74" s="3551"/>
      <c r="B74" s="3537"/>
    </row>
    <row r="75" spans="1:2">
      <c r="A75" s="3551"/>
      <c r="B75" s="3537"/>
    </row>
    <row r="76" spans="1:2">
      <c r="A76" s="3551"/>
      <c r="B76" s="3537"/>
    </row>
    <row r="77" spans="1:2">
      <c r="A77" s="3551"/>
      <c r="B77" s="3537"/>
    </row>
    <row r="78" spans="1:2">
      <c r="A78" s="3551"/>
      <c r="B78" s="3537"/>
    </row>
    <row r="79" spans="1:2">
      <c r="A79" s="3551"/>
      <c r="B79" s="3537"/>
    </row>
    <row r="80" spans="1:2">
      <c r="A80" s="3551"/>
      <c r="B80" s="3537"/>
    </row>
    <row r="81" spans="1:2">
      <c r="A81" s="3551"/>
      <c r="B81" s="3537"/>
    </row>
    <row r="82" spans="1:2">
      <c r="A82" s="3551"/>
      <c r="B82" s="3537"/>
    </row>
    <row r="83" spans="1:2">
      <c r="A83" s="3551"/>
      <c r="B83" s="3537"/>
    </row>
    <row r="84" spans="1:2">
      <c r="A84" s="3551"/>
      <c r="B84" s="3537"/>
    </row>
    <row r="85" spans="1:2">
      <c r="A85" s="3551"/>
      <c r="B85" s="3537"/>
    </row>
    <row r="86" spans="1:2">
      <c r="A86" s="3551"/>
      <c r="B86" s="3537"/>
    </row>
    <row r="87" spans="1:2">
      <c r="A87" s="3551"/>
      <c r="B87" s="3537"/>
    </row>
    <row r="88" spans="1:2">
      <c r="A88" s="3551"/>
      <c r="B88" s="3537"/>
    </row>
    <row r="89" spans="1:2">
      <c r="A89" s="3551"/>
      <c r="B89" s="3537"/>
    </row>
    <row r="90" spans="1:2">
      <c r="A90" s="3551"/>
      <c r="B90" s="3537"/>
    </row>
    <row r="91" spans="1:2">
      <c r="A91" s="3551"/>
      <c r="B91" s="3537"/>
    </row>
    <row r="92" spans="1:2">
      <c r="A92" s="3551"/>
      <c r="B92" s="3537"/>
    </row>
    <row r="93" spans="1:2">
      <c r="A93" s="3551"/>
      <c r="B93" s="3537"/>
    </row>
    <row r="94" spans="1:2">
      <c r="A94" s="3551"/>
      <c r="B94" s="3537"/>
    </row>
    <row r="95" spans="1:2">
      <c r="A95" s="3551"/>
      <c r="B95" s="3537"/>
    </row>
    <row r="96" spans="1:2">
      <c r="A96" s="3551"/>
      <c r="B96" s="3537"/>
    </row>
    <row r="97" spans="1:2">
      <c r="A97" s="3551"/>
      <c r="B97" s="3537"/>
    </row>
    <row r="98" spans="1:2">
      <c r="A98" s="3551"/>
      <c r="B98" s="3537"/>
    </row>
    <row r="99" spans="1:2">
      <c r="A99" s="3551"/>
      <c r="B99" s="3537"/>
    </row>
    <row r="100" spans="1:2">
      <c r="A100" s="3551"/>
      <c r="B100" s="3537"/>
    </row>
    <row r="101" spans="1:2">
      <c r="A101" s="3551"/>
      <c r="B101" s="3537"/>
    </row>
    <row r="102" spans="1:2">
      <c r="A102" s="3551"/>
      <c r="B102" s="3537"/>
    </row>
    <row r="103" spans="1:2">
      <c r="A103" s="3551"/>
      <c r="B103" s="3537"/>
    </row>
    <row r="104" spans="1:2">
      <c r="A104" s="3551"/>
      <c r="B104" s="3537"/>
    </row>
    <row r="105" spans="1:2">
      <c r="A105" s="3551"/>
      <c r="B105" s="3537"/>
    </row>
    <row r="106" spans="1:2">
      <c r="A106" s="3551"/>
      <c r="B106" s="3537"/>
    </row>
    <row r="107" spans="1:2">
      <c r="A107" s="3551"/>
      <c r="B107" s="3537"/>
    </row>
    <row r="108" spans="1:2">
      <c r="A108" s="3551"/>
      <c r="B108" s="3537"/>
    </row>
    <row r="109" spans="1:2">
      <c r="A109" s="3551"/>
      <c r="B109" s="3537"/>
    </row>
    <row r="110" spans="1:2">
      <c r="A110" s="3551"/>
      <c r="B110" s="3537"/>
    </row>
    <row r="111" spans="1:2">
      <c r="A111" s="3551"/>
      <c r="B111" s="3537"/>
    </row>
    <row r="112" spans="1:2">
      <c r="A112" s="3551"/>
      <c r="B112" s="3537"/>
    </row>
    <row r="113" spans="1:2">
      <c r="A113" s="3551"/>
      <c r="B113" s="3537"/>
    </row>
    <row r="114" spans="1:2">
      <c r="A114" s="3551"/>
      <c r="B114" s="3537"/>
    </row>
    <row r="115" spans="1:2">
      <c r="A115" s="3551"/>
      <c r="B115" s="3537"/>
    </row>
    <row r="116" spans="1:2">
      <c r="A116" s="3551"/>
      <c r="B116" s="3537"/>
    </row>
    <row r="117" spans="1:2">
      <c r="A117" s="3551"/>
      <c r="B117" s="3537"/>
    </row>
    <row r="118" spans="1:2">
      <c r="A118" s="3551"/>
      <c r="B118" s="3537"/>
    </row>
    <row r="119" spans="1:2">
      <c r="A119" s="3551"/>
      <c r="B119" s="3537"/>
    </row>
    <row r="120" spans="1:2">
      <c r="A120" s="3551"/>
      <c r="B120" s="3537"/>
    </row>
    <row r="121" spans="1:2">
      <c r="A121" s="3551"/>
      <c r="B121" s="3537"/>
    </row>
    <row r="122" spans="1:2">
      <c r="A122" s="3551"/>
      <c r="B122" s="3537"/>
    </row>
    <row r="123" spans="1:2">
      <c r="A123" s="3551"/>
      <c r="B123" s="3537"/>
    </row>
    <row r="124" spans="1:2">
      <c r="A124" s="3551"/>
      <c r="B124" s="3537"/>
    </row>
    <row r="125" spans="1:2">
      <c r="A125" s="3551"/>
      <c r="B125" s="3537"/>
    </row>
    <row r="126" spans="1:2">
      <c r="A126" s="3551"/>
      <c r="B126" s="3537"/>
    </row>
    <row r="127" spans="1:2">
      <c r="A127" s="3551"/>
      <c r="B127" s="353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45454545455" defaultRowHeight="14"/>
  <cols>
    <col min="1" max="7" width="15.2545454545455" style="3483"/>
    <col min="8" max="8" width="5.5" style="3483" customWidth="1"/>
    <col min="9" max="13" width="9.5" style="3484" customWidth="1"/>
    <col min="14" max="18" width="9.5" style="3483" customWidth="1"/>
    <col min="19" max="16384" width="15.2545454545455" style="3483"/>
  </cols>
  <sheetData>
    <row r="1" spans="1:18">
      <c r="A1" s="3485" t="s">
        <v>338</v>
      </c>
      <c r="B1" s="3486"/>
      <c r="C1" s="3486"/>
      <c r="D1" s="3486"/>
      <c r="E1" s="3486"/>
      <c r="F1" s="3487"/>
      <c r="I1" s="3528" t="s">
        <v>339</v>
      </c>
      <c r="J1" s="348"/>
      <c r="K1" s="348"/>
      <c r="L1" s="348"/>
      <c r="M1" s="348"/>
      <c r="N1" s="3529"/>
      <c r="O1" s="3529"/>
      <c r="P1" s="3529"/>
      <c r="Q1" s="3529"/>
      <c r="R1" s="3529"/>
    </row>
    <row r="2" spans="1:18">
      <c r="A2" s="3488"/>
      <c r="B2" s="3489"/>
      <c r="C2" s="3489"/>
      <c r="D2" s="3489"/>
      <c r="E2" s="3489"/>
      <c r="F2" s="3490"/>
      <c r="I2" s="3530" t="s">
        <v>340</v>
      </c>
      <c r="J2" s="3530"/>
      <c r="K2" s="3530"/>
      <c r="L2" s="3530"/>
      <c r="M2" s="3530"/>
      <c r="N2" s="3530"/>
      <c r="O2" s="3530"/>
      <c r="P2" s="3530"/>
      <c r="Q2" s="3530"/>
      <c r="R2" s="3530"/>
    </row>
    <row r="3" spans="1:18">
      <c r="A3" s="503" t="s">
        <v>341</v>
      </c>
      <c r="B3" s="3491">
        <f>项目基本情况!D3</f>
        <v>45538</v>
      </c>
      <c r="C3" s="504"/>
      <c r="D3" s="504"/>
      <c r="E3" s="504"/>
      <c r="F3" s="3490"/>
      <c r="I3" s="3531"/>
      <c r="J3" s="3531" t="s">
        <v>342</v>
      </c>
      <c r="K3" s="3531" t="s">
        <v>343</v>
      </c>
      <c r="L3" s="3531" t="s">
        <v>344</v>
      </c>
      <c r="M3" s="3531" t="s">
        <v>345</v>
      </c>
      <c r="N3" s="3532" t="s">
        <v>346</v>
      </c>
      <c r="O3" s="3532" t="s">
        <v>347</v>
      </c>
      <c r="P3" s="3532" t="s">
        <v>348</v>
      </c>
      <c r="Q3" s="3532" t="s">
        <v>349</v>
      </c>
      <c r="R3" s="3532" t="s">
        <v>350</v>
      </c>
    </row>
    <row r="4" spans="1:18">
      <c r="A4" s="503" t="s">
        <v>351</v>
      </c>
      <c r="B4" s="504" t="s">
        <v>352</v>
      </c>
      <c r="C4" s="504" t="s">
        <v>353</v>
      </c>
      <c r="D4" s="504" t="s">
        <v>354</v>
      </c>
      <c r="E4" s="504" t="s">
        <v>355</v>
      </c>
      <c r="F4" s="3490"/>
      <c r="I4" s="3531" t="s">
        <v>356</v>
      </c>
      <c r="J4" s="3531">
        <v>80</v>
      </c>
      <c r="K4" s="3531">
        <v>70</v>
      </c>
      <c r="L4" s="3531">
        <v>20</v>
      </c>
      <c r="M4" s="3531">
        <v>30</v>
      </c>
      <c r="N4" s="504">
        <v>45</v>
      </c>
      <c r="O4" s="504">
        <v>60</v>
      </c>
      <c r="P4" s="504">
        <v>50</v>
      </c>
      <c r="Q4" s="504">
        <v>20</v>
      </c>
      <c r="R4" s="504">
        <v>375</v>
      </c>
    </row>
    <row r="5" spans="1:18">
      <c r="A5" s="3492">
        <v>40</v>
      </c>
      <c r="B5" s="3491">
        <v>46375</v>
      </c>
      <c r="C5" s="504">
        <f>ROUNDDOWN(MIN((B5-B3)/365,A5),2)</f>
        <v>2.29</v>
      </c>
      <c r="D5" s="3493">
        <f>IF(ISERROR(ROUND(POWER(1+E5,A5-C5)*(POWER(1+E5,C5)-1)/(POWER(1+E5,A5)-1),3)),0,ROUND(POWER(1+E5,A5-C5)*(POWER(1+E5,C5)-1)/(POWER(1+E5,A5)-1),4))</f>
        <v>0.1085</v>
      </c>
      <c r="E5" s="3494">
        <v>0.04</v>
      </c>
      <c r="F5" s="3490"/>
      <c r="I5" s="3531" t="s">
        <v>357</v>
      </c>
      <c r="J5" s="3531">
        <v>70</v>
      </c>
      <c r="K5" s="3531">
        <v>60</v>
      </c>
      <c r="L5" s="3531">
        <v>15</v>
      </c>
      <c r="M5" s="3531">
        <v>25</v>
      </c>
      <c r="N5" s="504">
        <v>40</v>
      </c>
      <c r="O5" s="504">
        <v>50</v>
      </c>
      <c r="P5" s="504">
        <v>40</v>
      </c>
      <c r="Q5" s="504">
        <v>15</v>
      </c>
      <c r="R5" s="504">
        <v>315</v>
      </c>
    </row>
    <row r="6" spans="1:18">
      <c r="A6" s="3492">
        <v>50</v>
      </c>
      <c r="B6" s="3491">
        <v>50028</v>
      </c>
      <c r="C6" s="504">
        <f>ROUNDDOWN(MIN((B6-B3)/365,A6),2)</f>
        <v>12.3</v>
      </c>
      <c r="D6" s="3493">
        <f>IF(ISERROR(ROUND(POWER(1+E6,A6-C6)*(POWER(1+E6,C6)-1)/(POWER(1+E6,A6)-1),3)),0,ROUND(POWER(1+E6,A6-C6)*(POWER(1+E6,C6)-1)/(POWER(1+E6,A6)-1),4))</f>
        <v>0.4454</v>
      </c>
      <c r="E6" s="3494">
        <v>0.04</v>
      </c>
      <c r="F6" s="3490"/>
      <c r="I6" s="3531" t="s">
        <v>358</v>
      </c>
      <c r="J6" s="3531">
        <v>60</v>
      </c>
      <c r="K6" s="3531">
        <v>50</v>
      </c>
      <c r="L6" s="3531">
        <v>10</v>
      </c>
      <c r="M6" s="3531">
        <v>20</v>
      </c>
      <c r="N6" s="504">
        <v>35</v>
      </c>
      <c r="O6" s="504">
        <v>40</v>
      </c>
      <c r="P6" s="504">
        <v>30</v>
      </c>
      <c r="Q6" s="504">
        <v>10</v>
      </c>
      <c r="R6" s="504">
        <v>255</v>
      </c>
    </row>
    <row r="7" spans="1:6">
      <c r="A7" s="3492">
        <v>70</v>
      </c>
      <c r="B7" s="3491">
        <v>57333</v>
      </c>
      <c r="C7" s="504">
        <f>ROUNDDOWN(MIN((B7-B3)/365,A7),2)</f>
        <v>32.31</v>
      </c>
      <c r="D7" s="3493">
        <f>IF(ISERROR(ROUND(POWER(1+E7,A7-C7)*(POWER(1+E7,C7)-1)/(POWER(1+E7,A7)-1),3)),0,ROUND(POWER(1+E7,A7-C7)*(POWER(1+E7,C7)-1)/(POWER(1+E7,A7)-1),4))</f>
        <v>0.7677</v>
      </c>
      <c r="E7" s="3494">
        <v>0.04</v>
      </c>
      <c r="F7" s="3490"/>
    </row>
    <row r="8" spans="1:6">
      <c r="A8" s="3488"/>
      <c r="B8" s="3489"/>
      <c r="C8" s="3489"/>
      <c r="D8" s="3489"/>
      <c r="E8" s="3489"/>
      <c r="F8" s="3490"/>
    </row>
    <row r="9" spans="1:6">
      <c r="A9" s="503" t="s">
        <v>359</v>
      </c>
      <c r="B9" s="504"/>
      <c r="C9" s="504"/>
      <c r="D9" s="504"/>
      <c r="E9" s="504"/>
      <c r="F9" s="556"/>
    </row>
    <row r="10" spans="1:6">
      <c r="A10" s="503" t="s">
        <v>360</v>
      </c>
      <c r="B10" s="504"/>
      <c r="C10" s="504"/>
      <c r="D10" s="504" t="s">
        <v>355</v>
      </c>
      <c r="E10" s="504"/>
      <c r="F10" s="556" t="s">
        <v>354</v>
      </c>
    </row>
    <row r="11" spans="1:6">
      <c r="A11" s="503" t="s">
        <v>361</v>
      </c>
      <c r="B11" s="3495">
        <v>70</v>
      </c>
      <c r="C11" s="504" t="s">
        <v>362</v>
      </c>
      <c r="D11" s="3496">
        <v>0.045</v>
      </c>
      <c r="E11" s="504" t="s">
        <v>363</v>
      </c>
      <c r="F11" s="3497">
        <f>ROUND(1-(1/(POWER(1+D11,B11))),4)</f>
        <v>0.9541</v>
      </c>
    </row>
    <row r="12" spans="1:6">
      <c r="A12" s="503" t="s">
        <v>364</v>
      </c>
      <c r="B12" s="3495">
        <v>40</v>
      </c>
      <c r="C12" s="504" t="s">
        <v>365</v>
      </c>
      <c r="D12" s="3496">
        <v>0.045</v>
      </c>
      <c r="E12" s="504" t="s">
        <v>366</v>
      </c>
      <c r="F12" s="3497">
        <f>ROUND(1-(1/(POWER(1+D12,B12))),4)</f>
        <v>0.8281</v>
      </c>
    </row>
    <row r="13" spans="1:6">
      <c r="A13" s="503" t="s">
        <v>367</v>
      </c>
      <c r="B13" s="504"/>
      <c r="C13" s="504"/>
      <c r="D13" s="3489"/>
      <c r="E13" s="3489"/>
      <c r="F13" s="3490"/>
    </row>
    <row r="14" spans="1:6">
      <c r="A14" s="503" t="s">
        <v>368</v>
      </c>
      <c r="B14" s="3495">
        <v>5000</v>
      </c>
      <c r="C14" s="3498"/>
      <c r="D14" s="3489"/>
      <c r="E14" s="3489"/>
      <c r="F14" s="3490"/>
    </row>
    <row r="15" spans="1:6">
      <c r="A15" s="503" t="s">
        <v>369</v>
      </c>
      <c r="B15" s="504">
        <f>ROUND(B14*F12/F11,2)</f>
        <v>4339.69</v>
      </c>
      <c r="C15" s="504">
        <f>ROUND(F12/F11,4)</f>
        <v>0.8679</v>
      </c>
      <c r="D15" s="3489"/>
      <c r="E15" s="3489"/>
      <c r="F15" s="3490"/>
    </row>
    <row r="16" spans="1:6">
      <c r="A16" s="503" t="s">
        <v>370</v>
      </c>
      <c r="B16" s="504"/>
      <c r="C16" s="504"/>
      <c r="D16" s="3489"/>
      <c r="E16" s="3489"/>
      <c r="F16" s="3490"/>
    </row>
    <row r="17" spans="1:6">
      <c r="A17" s="503" t="s">
        <v>369</v>
      </c>
      <c r="B17" s="3496">
        <v>4810</v>
      </c>
      <c r="C17" s="3498"/>
      <c r="D17" s="3489"/>
      <c r="E17" s="3489"/>
      <c r="F17" s="3490"/>
    </row>
    <row r="18" ht="14.75" spans="1:6">
      <c r="A18" s="3499" t="s">
        <v>368</v>
      </c>
      <c r="B18" s="559">
        <f>ROUND(B17*F11/F12,2)</f>
        <v>5541.87</v>
      </c>
      <c r="C18" s="559">
        <f>ROUND(F11/F12,4)</f>
        <v>1.1522</v>
      </c>
      <c r="D18" s="3500"/>
      <c r="E18" s="3500"/>
      <c r="F18" s="3501"/>
    </row>
    <row r="19" ht="14.75"/>
    <row r="20" s="3482" customFormat="1" ht="14.75" spans="1:13">
      <c r="A20" s="3502" t="s">
        <v>371</v>
      </c>
      <c r="B20" s="3503"/>
      <c r="C20" s="3503"/>
      <c r="D20" s="3503"/>
      <c r="E20" s="3503"/>
      <c r="F20" s="3503"/>
      <c r="G20" s="3504"/>
      <c r="I20" s="3533" t="s">
        <v>372</v>
      </c>
      <c r="J20" s="3533" t="s">
        <v>373</v>
      </c>
      <c r="K20" s="3533"/>
      <c r="L20" s="3533"/>
      <c r="M20" s="3533"/>
    </row>
    <row r="21" spans="1:10">
      <c r="A21" s="3505"/>
      <c r="B21" s="3506" t="s">
        <v>374</v>
      </c>
      <c r="C21" s="3506" t="s">
        <v>353</v>
      </c>
      <c r="D21" s="3506" t="s">
        <v>375</v>
      </c>
      <c r="E21" s="3506" t="s">
        <v>354</v>
      </c>
      <c r="F21" s="3506" t="s">
        <v>376</v>
      </c>
      <c r="G21" s="3507" t="s">
        <v>377</v>
      </c>
      <c r="I21" s="3484">
        <v>5</v>
      </c>
      <c r="J21" s="3484">
        <v>54.2</v>
      </c>
    </row>
    <row r="22" spans="1:11">
      <c r="A22" s="3505" t="s">
        <v>378</v>
      </c>
      <c r="B22" s="3508">
        <v>70</v>
      </c>
      <c r="C22" s="3508">
        <v>30</v>
      </c>
      <c r="D22" s="3509">
        <v>0.04</v>
      </c>
      <c r="E22" s="3506">
        <f>ROUND(POWER(1+D22,B22-C22)*(POWER(1+D22,C22)-1)/(POWER(1+D22,B22)-1),3)</f>
        <v>0.739</v>
      </c>
      <c r="F22" s="3509">
        <v>0.7</v>
      </c>
      <c r="G22" s="3507">
        <f>ROUND(100*(1-(1-E22)*F22),1)</f>
        <v>81.7</v>
      </c>
      <c r="I22" s="3484">
        <v>10</v>
      </c>
      <c r="J22" s="3484">
        <v>65.4</v>
      </c>
      <c r="K22" s="3484">
        <f>J22-J21</f>
        <v>11.2</v>
      </c>
    </row>
    <row r="23" spans="1:13">
      <c r="A23" s="3505" t="s">
        <v>379</v>
      </c>
      <c r="B23" s="3508">
        <v>70</v>
      </c>
      <c r="C23" s="3508">
        <v>40</v>
      </c>
      <c r="D23" s="3509">
        <v>0.04</v>
      </c>
      <c r="E23" s="3506">
        <f t="shared" ref="E23:E25" si="0">ROUND(POWER(1+D23,B23-C23)*(POWER(1+D23,C23)-1)/(POWER(1+D23,B23)-1),3)</f>
        <v>0.846</v>
      </c>
      <c r="F23" s="3509">
        <f>F22</f>
        <v>0.7</v>
      </c>
      <c r="G23" s="3507">
        <f t="shared" ref="G23:G25" si="1">ROUND(100*(1-(1-E23)*F23),1)</f>
        <v>89.2</v>
      </c>
      <c r="I23" s="3484">
        <v>15</v>
      </c>
      <c r="J23" s="3484">
        <v>74.1</v>
      </c>
      <c r="K23" s="3484">
        <f t="shared" ref="K23:K30" si="2">J23-J22</f>
        <v>8.69999999999999</v>
      </c>
      <c r="L23" s="3484" t="s">
        <v>380</v>
      </c>
      <c r="M23" s="3484" t="s">
        <v>381</v>
      </c>
    </row>
    <row r="24" spans="1:13">
      <c r="A24" s="3505" t="s">
        <v>382</v>
      </c>
      <c r="B24" s="3508">
        <v>70</v>
      </c>
      <c r="C24" s="3508">
        <v>50</v>
      </c>
      <c r="D24" s="3509">
        <v>0.04</v>
      </c>
      <c r="E24" s="3506">
        <f t="shared" si="0"/>
        <v>0.918</v>
      </c>
      <c r="F24" s="3509">
        <f>F23</f>
        <v>0.7</v>
      </c>
      <c r="G24" s="3507">
        <f t="shared" si="1"/>
        <v>94.3</v>
      </c>
      <c r="I24" s="3484">
        <v>20</v>
      </c>
      <c r="J24" s="3484">
        <v>81</v>
      </c>
      <c r="K24" s="3484">
        <f t="shared" si="2"/>
        <v>6.90000000000001</v>
      </c>
      <c r="L24" s="3484" t="s">
        <v>383</v>
      </c>
      <c r="M24" s="3484">
        <v>10</v>
      </c>
    </row>
    <row r="25" spans="1:13">
      <c r="A25" s="3505" t="s">
        <v>384</v>
      </c>
      <c r="B25" s="3508">
        <v>70</v>
      </c>
      <c r="C25" s="3508">
        <v>60</v>
      </c>
      <c r="D25" s="3509">
        <v>0.04</v>
      </c>
      <c r="E25" s="3506">
        <f t="shared" si="0"/>
        <v>0.967</v>
      </c>
      <c r="F25" s="3509">
        <f>F24</f>
        <v>0.7</v>
      </c>
      <c r="G25" s="3507">
        <f t="shared" si="1"/>
        <v>97.7</v>
      </c>
      <c r="I25" s="3484">
        <v>25</v>
      </c>
      <c r="J25" s="3484">
        <v>86.3</v>
      </c>
      <c r="K25" s="3484">
        <f t="shared" si="2"/>
        <v>5.3</v>
      </c>
      <c r="L25" s="3484" t="s">
        <v>385</v>
      </c>
      <c r="M25" s="3484">
        <v>8</v>
      </c>
    </row>
    <row r="26" spans="1:13">
      <c r="A26" s="3510"/>
      <c r="B26" s="3511"/>
      <c r="C26" s="3511"/>
      <c r="D26" s="3511"/>
      <c r="E26" s="3511"/>
      <c r="F26" s="3511"/>
      <c r="G26" s="3512"/>
      <c r="I26" s="3484">
        <v>30</v>
      </c>
      <c r="J26" s="3484">
        <v>90.5</v>
      </c>
      <c r="K26" s="3484">
        <f t="shared" si="2"/>
        <v>4.2</v>
      </c>
      <c r="L26" s="3484" t="s">
        <v>386</v>
      </c>
      <c r="M26" s="3484">
        <v>5</v>
      </c>
    </row>
    <row r="27" spans="1:13">
      <c r="A27" s="3510" t="s">
        <v>387</v>
      </c>
      <c r="B27" s="3511"/>
      <c r="C27" s="3511"/>
      <c r="D27" s="3511"/>
      <c r="E27" s="3511"/>
      <c r="F27" s="3511"/>
      <c r="G27" s="3512"/>
      <c r="I27" s="3484">
        <v>35</v>
      </c>
      <c r="J27" s="3484">
        <v>93.8</v>
      </c>
      <c r="K27" s="3484">
        <f t="shared" si="2"/>
        <v>3.3</v>
      </c>
      <c r="L27" s="3484" t="s">
        <v>388</v>
      </c>
      <c r="M27" s="3484">
        <v>3</v>
      </c>
    </row>
    <row r="28" spans="1:13">
      <c r="A28" s="3510" t="s">
        <v>389</v>
      </c>
      <c r="B28" s="3511"/>
      <c r="C28" s="3511"/>
      <c r="D28" s="3511"/>
      <c r="E28" s="3511"/>
      <c r="F28" s="3511"/>
      <c r="G28" s="3512"/>
      <c r="I28" s="3484">
        <v>40</v>
      </c>
      <c r="J28" s="3484">
        <v>96.4</v>
      </c>
      <c r="K28" s="3484">
        <f t="shared" si="2"/>
        <v>2.60000000000001</v>
      </c>
      <c r="L28" s="3484" t="s">
        <v>390</v>
      </c>
      <c r="M28" s="3484">
        <v>2</v>
      </c>
    </row>
    <row r="29" spans="1:11">
      <c r="A29" s="3510" t="s">
        <v>391</v>
      </c>
      <c r="B29" s="3511"/>
      <c r="C29" s="3511"/>
      <c r="D29" s="3511"/>
      <c r="E29" s="3511"/>
      <c r="F29" s="3511"/>
      <c r="G29" s="3512"/>
      <c r="I29" s="3484">
        <v>45</v>
      </c>
      <c r="J29" s="3484">
        <v>98.4</v>
      </c>
      <c r="K29" s="3484">
        <f t="shared" si="2"/>
        <v>2</v>
      </c>
    </row>
    <row r="30" spans="1:11">
      <c r="A30" s="3510" t="s">
        <v>392</v>
      </c>
      <c r="B30" s="3511"/>
      <c r="C30" s="3511"/>
      <c r="D30" s="3511"/>
      <c r="E30" s="3511"/>
      <c r="F30" s="3511"/>
      <c r="G30" s="3512"/>
      <c r="I30" s="3484">
        <v>50</v>
      </c>
      <c r="J30" s="3484">
        <v>100</v>
      </c>
      <c r="K30" s="3484">
        <f t="shared" si="2"/>
        <v>1.59999999999999</v>
      </c>
    </row>
    <row r="31" spans="1:9">
      <c r="A31" s="3510" t="s">
        <v>393</v>
      </c>
      <c r="B31" s="3511"/>
      <c r="C31" s="3511"/>
      <c r="D31" s="3511"/>
      <c r="E31" s="3511"/>
      <c r="F31" s="3511"/>
      <c r="G31" s="3512"/>
      <c r="I31" s="3484" t="s">
        <v>394</v>
      </c>
    </row>
    <row r="32" spans="1:7">
      <c r="A32" s="3510" t="s">
        <v>395</v>
      </c>
      <c r="B32" s="3511"/>
      <c r="C32" s="3511"/>
      <c r="D32" s="3511"/>
      <c r="E32" s="3511"/>
      <c r="F32" s="3511"/>
      <c r="G32" s="3512"/>
    </row>
    <row r="33" spans="1:10">
      <c r="A33" s="3510" t="s">
        <v>396</v>
      </c>
      <c r="B33" s="3511"/>
      <c r="C33" s="3511"/>
      <c r="D33" s="3511"/>
      <c r="E33" s="3511"/>
      <c r="F33" s="3511"/>
      <c r="G33" s="3512"/>
      <c r="I33" s="3484" t="s">
        <v>372</v>
      </c>
      <c r="J33" s="3484" t="s">
        <v>397</v>
      </c>
    </row>
    <row r="34" spans="1:10">
      <c r="A34" s="3510" t="s">
        <v>398</v>
      </c>
      <c r="B34" s="3511"/>
      <c r="C34" s="3511"/>
      <c r="D34" s="3511"/>
      <c r="E34" s="3511"/>
      <c r="F34" s="3511"/>
      <c r="G34" s="3512"/>
      <c r="I34" s="3484">
        <v>5</v>
      </c>
      <c r="J34" s="3484">
        <v>55.1</v>
      </c>
    </row>
    <row r="35" spans="1:11">
      <c r="A35" s="3510" t="s">
        <v>399</v>
      </c>
      <c r="B35" s="3511"/>
      <c r="C35" s="3511"/>
      <c r="D35" s="3511"/>
      <c r="E35" s="3511"/>
      <c r="F35" s="3511"/>
      <c r="G35" s="3512"/>
      <c r="I35" s="3484">
        <v>10</v>
      </c>
      <c r="J35" s="3484">
        <v>67</v>
      </c>
      <c r="K35" s="3484">
        <f>J35-J34</f>
        <v>11.9</v>
      </c>
    </row>
    <row r="36" spans="1:13">
      <c r="A36" s="3510" t="s">
        <v>400</v>
      </c>
      <c r="B36" s="3511"/>
      <c r="C36" s="3511"/>
      <c r="D36" s="3511"/>
      <c r="E36" s="3511"/>
      <c r="F36" s="3511"/>
      <c r="G36" s="3512"/>
      <c r="I36" s="3484">
        <v>15</v>
      </c>
      <c r="J36" s="3484">
        <v>76.3</v>
      </c>
      <c r="K36" s="3484">
        <f t="shared" ref="K36:K41" si="3">J36-J35</f>
        <v>9.3</v>
      </c>
      <c r="L36" s="3484" t="s">
        <v>380</v>
      </c>
      <c r="M36" s="3484" t="s">
        <v>381</v>
      </c>
    </row>
    <row r="37" spans="1:13">
      <c r="A37" s="3510" t="s">
        <v>401</v>
      </c>
      <c r="B37" s="3511"/>
      <c r="C37" s="3511"/>
      <c r="D37" s="3511"/>
      <c r="E37" s="3511"/>
      <c r="F37" s="3511"/>
      <c r="G37" s="3512"/>
      <c r="I37" s="3484">
        <v>20</v>
      </c>
      <c r="J37" s="3484">
        <v>83.6</v>
      </c>
      <c r="K37" s="3484">
        <f t="shared" si="3"/>
        <v>7.3</v>
      </c>
      <c r="L37" s="3484" t="s">
        <v>383</v>
      </c>
      <c r="M37" s="3484">
        <v>10</v>
      </c>
    </row>
    <row r="38" spans="1:13">
      <c r="A38" s="3510" t="s">
        <v>402</v>
      </c>
      <c r="B38" s="3511"/>
      <c r="C38" s="3511"/>
      <c r="D38" s="3511"/>
      <c r="E38" s="3511"/>
      <c r="F38" s="3511"/>
      <c r="G38" s="3512"/>
      <c r="I38" s="3484">
        <v>25</v>
      </c>
      <c r="J38" s="3484">
        <v>89.3</v>
      </c>
      <c r="K38" s="3484">
        <f t="shared" si="3"/>
        <v>5.7</v>
      </c>
      <c r="L38" s="3484" t="s">
        <v>385</v>
      </c>
      <c r="M38" s="3484">
        <v>8</v>
      </c>
    </row>
    <row r="39" spans="1:13">
      <c r="A39" s="3510"/>
      <c r="B39" s="3511"/>
      <c r="C39" s="3511"/>
      <c r="D39" s="3511"/>
      <c r="E39" s="3511"/>
      <c r="F39" s="3511"/>
      <c r="G39" s="3512"/>
      <c r="I39" s="3484">
        <v>30</v>
      </c>
      <c r="J39" s="3484">
        <v>93.8</v>
      </c>
      <c r="K39" s="3484">
        <f t="shared" si="3"/>
        <v>4.5</v>
      </c>
      <c r="L39" s="3484" t="s">
        <v>386</v>
      </c>
      <c r="M39" s="3484">
        <v>6</v>
      </c>
    </row>
    <row r="40" spans="1:13">
      <c r="A40" s="3513" t="s">
        <v>403</v>
      </c>
      <c r="B40" s="3514"/>
      <c r="C40" s="3514"/>
      <c r="D40" s="3514"/>
      <c r="E40" s="3514"/>
      <c r="F40" s="3514"/>
      <c r="G40" s="3515"/>
      <c r="I40" s="3484">
        <v>35</v>
      </c>
      <c r="J40" s="3484">
        <v>97.2</v>
      </c>
      <c r="K40" s="3484">
        <f t="shared" si="3"/>
        <v>3.40000000000001</v>
      </c>
      <c r="L40" s="3484" t="s">
        <v>388</v>
      </c>
      <c r="M40" s="3484">
        <v>3</v>
      </c>
    </row>
    <row r="41" spans="1:11">
      <c r="A41" s="3516" t="s">
        <v>404</v>
      </c>
      <c r="B41" s="3517" t="s">
        <v>405</v>
      </c>
      <c r="C41" s="3518" t="s">
        <v>406</v>
      </c>
      <c r="D41" s="3518" t="s">
        <v>407</v>
      </c>
      <c r="E41" s="3519"/>
      <c r="F41" s="3520"/>
      <c r="G41" s="3521"/>
      <c r="I41" s="3484">
        <v>40</v>
      </c>
      <c r="J41" s="3484">
        <v>100</v>
      </c>
      <c r="K41" s="3484">
        <f t="shared" si="3"/>
        <v>2.8</v>
      </c>
    </row>
    <row r="42" spans="1:7">
      <c r="A42" s="3516" t="s">
        <v>408</v>
      </c>
      <c r="B42" s="3517" t="s">
        <v>409</v>
      </c>
      <c r="C42" s="3518" t="s">
        <v>409</v>
      </c>
      <c r="D42" s="3522" t="s">
        <v>410</v>
      </c>
      <c r="E42" s="3514" t="s">
        <v>411</v>
      </c>
      <c r="F42" s="3514"/>
      <c r="G42" s="3515"/>
    </row>
    <row r="43" spans="1:10">
      <c r="A43" s="3516" t="s">
        <v>412</v>
      </c>
      <c r="B43" s="3517" t="s">
        <v>413</v>
      </c>
      <c r="C43" s="3518" t="s">
        <v>414</v>
      </c>
      <c r="D43" s="3518" t="s">
        <v>415</v>
      </c>
      <c r="E43" s="3519" t="s">
        <v>416</v>
      </c>
      <c r="F43" s="3520"/>
      <c r="G43" s="3521"/>
      <c r="I43" s="3484" t="s">
        <v>372</v>
      </c>
      <c r="J43" s="3484" t="s">
        <v>417</v>
      </c>
    </row>
    <row r="44" spans="1:10">
      <c r="A44" s="3516" t="s">
        <v>418</v>
      </c>
      <c r="B44" s="3517" t="s">
        <v>419</v>
      </c>
      <c r="C44" s="3518" t="s">
        <v>420</v>
      </c>
      <c r="D44" s="3522">
        <v>0.5</v>
      </c>
      <c r="E44" s="3519" t="s">
        <v>421</v>
      </c>
      <c r="F44" s="3520"/>
      <c r="G44" s="3521"/>
      <c r="I44" s="3484">
        <v>30</v>
      </c>
      <c r="J44" s="3484">
        <v>81.7</v>
      </c>
    </row>
    <row r="45" ht="14.75" spans="1:11">
      <c r="A45" s="3523" t="s">
        <v>422</v>
      </c>
      <c r="B45" s="3524" t="s">
        <v>409</v>
      </c>
      <c r="C45" s="3525" t="s">
        <v>409</v>
      </c>
      <c r="D45" s="3525" t="s">
        <v>423</v>
      </c>
      <c r="E45" s="3526" t="s">
        <v>424</v>
      </c>
      <c r="F45" s="3526"/>
      <c r="G45" s="3527"/>
      <c r="I45" s="3484">
        <v>40</v>
      </c>
      <c r="J45" s="3484">
        <v>89.2</v>
      </c>
      <c r="K45" s="3484">
        <f>J45-J44</f>
        <v>7.5</v>
      </c>
    </row>
    <row r="46" spans="9:11">
      <c r="I46" s="3484">
        <v>50</v>
      </c>
      <c r="J46" s="3484">
        <v>94.3</v>
      </c>
      <c r="K46" s="3484">
        <f t="shared" ref="K46:K47" si="4">J46-J45</f>
        <v>5.09999999999999</v>
      </c>
    </row>
    <row r="47" spans="9:11">
      <c r="I47" s="3484">
        <v>60</v>
      </c>
      <c r="J47" s="3484">
        <v>97.7</v>
      </c>
      <c r="K47" s="3484">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H13" sqref="H13"/>
    </sheetView>
  </sheetViews>
  <sheetFormatPr defaultColWidth="10" defaultRowHeight="12.5"/>
  <cols>
    <col min="1" max="1" width="16.8727272727273" style="2937" customWidth="1"/>
    <col min="2" max="2" width="10" style="2937" customWidth="1"/>
    <col min="3" max="3" width="11.5" style="2937" customWidth="1"/>
    <col min="4" max="4" width="10" style="2937" customWidth="1"/>
    <col min="5" max="5" width="12.6272727272727" style="2937" customWidth="1"/>
    <col min="6" max="6" width="10" style="2937" customWidth="1"/>
    <col min="7" max="7" width="10.7545454545455" style="2937" customWidth="1"/>
    <col min="8" max="8" width="10" style="2937" customWidth="1"/>
    <col min="9" max="9" width="11.1272727272727" style="3229" customWidth="1"/>
    <col min="10" max="10" width="10" style="3132" customWidth="1"/>
    <col min="11" max="11" width="10" style="3325" customWidth="1"/>
    <col min="12" max="13" width="10" style="3326" customWidth="1"/>
    <col min="14" max="14" width="10" style="3132" customWidth="1"/>
    <col min="15" max="15" width="10" style="1368" customWidth="1"/>
    <col min="16" max="17" width="10" style="3132"/>
    <col min="18" max="18" width="10" style="3132" customWidth="1"/>
    <col min="19" max="30" width="10" style="3132"/>
    <col min="31" max="16384" width="10" style="2937"/>
  </cols>
  <sheetData>
    <row r="1" ht="13.75" spans="1:28">
      <c r="A1" s="3327" t="s">
        <v>425</v>
      </c>
      <c r="B1" s="3328" t="str">
        <f>IF(B10="北京市","北京市",C10)&amp;F10&amp;IF(结果表!G1="在建","出让国有建设用地使用权及在建建筑物",IF(结果表!G1="土地","出让国有建设用地使用权",))&amp;B9&amp;"预评估"</f>
        <v>房地产抵押价值预评估</v>
      </c>
      <c r="C1" s="3329"/>
      <c r="D1" s="3329"/>
      <c r="E1" s="3329"/>
      <c r="F1" s="3329"/>
      <c r="G1" s="3329"/>
      <c r="H1" s="3329"/>
      <c r="I1" s="3446"/>
      <c r="J1" s="2887"/>
      <c r="K1" s="3447"/>
      <c r="L1" s="3448"/>
      <c r="M1" s="3448"/>
      <c r="N1" s="3373"/>
      <c r="O1" s="3237"/>
      <c r="P1" s="3373"/>
      <c r="Q1" s="3373"/>
      <c r="R1" s="3373"/>
      <c r="S1" s="2938" t="str">
        <f>IF(B10="北京市","北京市",C10)&amp;F10&amp;IF(结果表!G1="在建","出让国有建设用地使用权及在建建筑物房地产抵押价值",IF(结果表!G1="土地","出让国有建设用地使用权抵押价值",B9))</f>
        <v>房地产抵押价值</v>
      </c>
      <c r="T1" s="2937"/>
      <c r="U1" s="2937"/>
      <c r="V1" s="2937"/>
      <c r="W1" s="2937"/>
      <c r="X1" s="2937"/>
      <c r="Y1" s="2937"/>
      <c r="Z1" s="2937"/>
      <c r="AA1" s="2937"/>
      <c r="AB1" s="2937"/>
    </row>
    <row r="2" ht="13" spans="1:28">
      <c r="A2" s="3330" t="s">
        <v>426</v>
      </c>
      <c r="B2" s="3331"/>
      <c r="C2" s="3332"/>
      <c r="D2" s="3333"/>
      <c r="E2" s="3334"/>
      <c r="F2" s="3334"/>
      <c r="G2" s="3335"/>
      <c r="H2" s="3335"/>
      <c r="I2" s="3335"/>
      <c r="J2" s="2887"/>
      <c r="K2" s="3447"/>
      <c r="L2" s="3448"/>
      <c r="M2" s="3448"/>
      <c r="N2" s="3373"/>
      <c r="O2" s="3237"/>
      <c r="P2" s="3373"/>
      <c r="Q2" s="3373"/>
      <c r="R2" s="3373"/>
      <c r="S2" s="2938" t="str">
        <f>IF(B10="北京市","北京市",C10)&amp;F10&amp;IF(结果表!G1="在建","出让国有建设用地使用权及在建建筑物房地产",IF(结果表!G1="土地","出让国有建设用地使用权","房地产"))</f>
        <v>房地产</v>
      </c>
      <c r="T2" s="2937"/>
      <c r="U2" s="2937"/>
      <c r="V2" s="2937"/>
      <c r="W2" s="2937"/>
      <c r="X2" s="2937"/>
      <c r="Y2" s="2937"/>
      <c r="Z2" s="2937"/>
      <c r="AA2" s="2937"/>
      <c r="AB2" s="2937"/>
    </row>
    <row r="3" ht="13" spans="1:28">
      <c r="A3" s="2119" t="s">
        <v>427</v>
      </c>
      <c r="B3" s="3336"/>
      <c r="C3" s="3337" t="s">
        <v>428</v>
      </c>
      <c r="D3" s="3336">
        <v>45538</v>
      </c>
      <c r="E3" s="3335"/>
      <c r="F3" s="3335"/>
      <c r="G3" s="3335"/>
      <c r="H3" s="3335"/>
      <c r="I3" s="3335"/>
      <c r="J3" s="2887"/>
      <c r="K3" s="3447"/>
      <c r="L3" s="3448"/>
      <c r="M3" s="3448"/>
      <c r="N3" s="3373"/>
      <c r="O3" s="3237"/>
      <c r="P3" s="3373"/>
      <c r="Q3" s="3373"/>
      <c r="R3" s="3373"/>
      <c r="S3" s="2938"/>
      <c r="T3" s="2937"/>
      <c r="U3" s="2937"/>
      <c r="V3" s="2937"/>
      <c r="W3" s="2937"/>
      <c r="X3" s="2937"/>
      <c r="Y3" s="2937"/>
      <c r="Z3" s="2937"/>
      <c r="AA3" s="2937"/>
      <c r="AB3" s="2937"/>
    </row>
    <row r="4" ht="13.75" spans="1:28">
      <c r="A4" s="2143" t="s">
        <v>429</v>
      </c>
      <c r="B4" s="3338"/>
      <c r="C4" s="3339">
        <f ca="1">SUMIF(注册房地产估价师,B4,估价师及机构信息!B3:B24)</f>
        <v>0</v>
      </c>
      <c r="D4" s="3338"/>
      <c r="E4" s="3340">
        <f ca="1">SUMIF(注册房地产估价师,D4,估价师及机构信息!B3:B24)</f>
        <v>0</v>
      </c>
      <c r="F4" s="3338"/>
      <c r="G4" s="3340">
        <f ca="1">SUMIF(注册房地产估价师,F4,估价师及机构信息!B3:B24)</f>
        <v>0</v>
      </c>
      <c r="H4" s="3338"/>
      <c r="I4" s="3340">
        <f ca="1">SUMIF(注册房地产估价师,H4,估价师及机构信息!B3:B24)</f>
        <v>0</v>
      </c>
      <c r="J4" s="2921"/>
      <c r="K4" s="3449" t="str">
        <f ca="1">CONCATENATE(B4,"（注册号：",C4,")、",D4,"（注册号：",E4,")")</f>
        <v>（注册号：0)、（注册号：0)</v>
      </c>
      <c r="L4" s="3448"/>
      <c r="M4" s="3448"/>
      <c r="N4" s="3373"/>
      <c r="O4" s="3237"/>
      <c r="P4" s="3373"/>
      <c r="Q4" s="3373"/>
      <c r="R4" s="3373"/>
      <c r="S4" s="2938"/>
      <c r="T4" s="2937"/>
      <c r="U4" s="2937"/>
      <c r="V4" s="2937"/>
      <c r="W4" s="2937"/>
      <c r="X4" s="2937"/>
      <c r="Y4" s="2937"/>
      <c r="Z4" s="2937"/>
      <c r="AA4" s="2937"/>
      <c r="AB4" s="2937"/>
    </row>
    <row r="5" ht="13.75" spans="1:28">
      <c r="A5" s="3341" t="s">
        <v>430</v>
      </c>
      <c r="B5" s="3342"/>
      <c r="C5" s="3343"/>
      <c r="D5" s="3344"/>
      <c r="E5" s="3042"/>
      <c r="F5" s="3042"/>
      <c r="G5" s="3042"/>
      <c r="H5" s="3042"/>
      <c r="I5" s="3042"/>
      <c r="J5" s="2921"/>
      <c r="K5" s="3449" t="str">
        <f ca="1">IF(F4="——","",IF(H4="——",F4&amp;"（注册号："&amp;G4&amp;")",CONCATENATE(F4,"（注册号：",G4,")、",H4,"（注册号：",I4,")")))</f>
        <v>（注册号：0)、（注册号：0)</v>
      </c>
      <c r="L5" s="3448"/>
      <c r="M5" s="3448"/>
      <c r="N5" s="3373"/>
      <c r="O5" s="3237"/>
      <c r="P5" s="3373"/>
      <c r="Q5" s="3373"/>
      <c r="R5" s="3373"/>
      <c r="S5" s="2937"/>
      <c r="T5" s="2937"/>
      <c r="U5" s="2937"/>
      <c r="V5" s="2937"/>
      <c r="W5" s="2937"/>
      <c r="X5" s="2937"/>
      <c r="Y5" s="2937"/>
      <c r="Z5" s="2937"/>
      <c r="AA5" s="2937"/>
      <c r="AB5" s="2937"/>
    </row>
    <row r="6" ht="13" spans="1:18">
      <c r="A6" s="3345" t="s">
        <v>431</v>
      </c>
      <c r="B6" s="3346"/>
      <c r="C6" s="3347"/>
      <c r="D6" s="3348"/>
      <c r="E6" s="3334"/>
      <c r="F6" s="3042"/>
      <c r="G6" s="3042"/>
      <c r="H6" s="3042"/>
      <c r="I6" s="3042"/>
      <c r="J6" s="2921"/>
      <c r="K6" s="3450" t="str">
        <f>IF(COUNTIF(B6,"*上海银行*"),"上海银行","")</f>
        <v/>
      </c>
      <c r="L6" s="3451"/>
      <c r="M6" s="3451"/>
      <c r="N6" s="2921"/>
      <c r="O6" s="3452"/>
      <c r="P6" s="2921"/>
      <c r="Q6" s="2921"/>
      <c r="R6" s="2921"/>
    </row>
    <row r="7" ht="13" spans="1:18">
      <c r="A7" s="3345" t="s">
        <v>432</v>
      </c>
      <c r="B7" s="3349"/>
      <c r="C7" s="3347"/>
      <c r="D7" s="3348"/>
      <c r="E7" s="3334"/>
      <c r="F7" s="3042"/>
      <c r="G7" s="3042"/>
      <c r="H7" s="3042"/>
      <c r="I7" s="3042"/>
      <c r="J7" s="2921"/>
      <c r="K7" s="3453"/>
      <c r="L7" s="3451"/>
      <c r="M7" s="3451"/>
      <c r="N7" s="2921"/>
      <c r="O7" s="3452"/>
      <c r="P7" s="2921"/>
      <c r="Q7" s="2921"/>
      <c r="R7" s="2921"/>
    </row>
    <row r="8" ht="13" spans="1:18">
      <c r="A8" s="3350" t="s">
        <v>433</v>
      </c>
      <c r="B8" s="3351" t="s">
        <v>325</v>
      </c>
      <c r="C8" s="3352"/>
      <c r="D8" s="3353" t="s">
        <v>434</v>
      </c>
      <c r="E8" s="3354" t="s">
        <v>330</v>
      </c>
      <c r="F8" s="3355"/>
      <c r="G8" s="3335"/>
      <c r="H8" s="3335"/>
      <c r="I8" s="3335"/>
      <c r="J8" s="2921"/>
      <c r="K8" s="3454"/>
      <c r="L8" s="3451"/>
      <c r="M8" s="3451"/>
      <c r="N8" s="2921"/>
      <c r="O8" s="3452"/>
      <c r="P8" s="2921"/>
      <c r="Q8" s="2921"/>
      <c r="R8" s="2921"/>
    </row>
    <row r="9" ht="13.75" spans="1:18">
      <c r="A9" s="3356" t="s">
        <v>435</v>
      </c>
      <c r="B9" s="3357" t="s">
        <v>330</v>
      </c>
      <c r="C9" s="3358"/>
      <c r="D9" s="3359"/>
      <c r="E9" s="3357" t="s">
        <v>124</v>
      </c>
      <c r="F9" s="3360"/>
      <c r="G9" s="3361"/>
      <c r="H9" s="3361"/>
      <c r="I9" s="3361"/>
      <c r="J9" s="2921"/>
      <c r="K9" s="3453"/>
      <c r="L9" s="3451"/>
      <c r="M9" s="3451"/>
      <c r="N9" s="2921"/>
      <c r="O9" s="3452"/>
      <c r="P9" s="2921"/>
      <c r="Q9" s="2921"/>
      <c r="R9" s="2921"/>
    </row>
    <row r="10" ht="13.75" spans="1:18">
      <c r="A10" s="3362" t="s">
        <v>436</v>
      </c>
      <c r="B10" s="3363" t="s">
        <v>437</v>
      </c>
      <c r="C10" s="3364"/>
      <c r="D10" s="3344"/>
      <c r="E10" s="3365" t="s">
        <v>438</v>
      </c>
      <c r="F10" s="3366"/>
      <c r="G10" s="3367"/>
      <c r="H10" s="3368"/>
      <c r="I10" s="3455"/>
      <c r="J10" s="2921"/>
      <c r="K10" s="3453"/>
      <c r="L10" s="3451"/>
      <c r="M10" s="3451"/>
      <c r="N10" s="2921"/>
      <c r="O10" s="3452"/>
      <c r="P10" s="2921"/>
      <c r="Q10" s="2921"/>
      <c r="R10" s="2921"/>
    </row>
    <row r="11" ht="13" spans="1:18">
      <c r="A11" s="3369" t="s">
        <v>439</v>
      </c>
      <c r="B11" s="3370" t="s">
        <v>440</v>
      </c>
      <c r="C11" s="3371"/>
      <c r="D11" s="3372"/>
      <c r="E11" s="3373"/>
      <c r="F11" s="3373"/>
      <c r="G11" s="3373"/>
      <c r="H11" s="3373"/>
      <c r="I11" s="3373"/>
      <c r="J11" s="3456"/>
      <c r="K11" s="3457"/>
      <c r="L11" s="3451"/>
      <c r="M11" s="3451"/>
      <c r="N11" s="2921"/>
      <c r="O11" s="3452"/>
      <c r="P11" s="2921"/>
      <c r="Q11" s="2921"/>
      <c r="R11" s="2921"/>
    </row>
    <row r="12" ht="13" spans="1:30">
      <c r="A12" s="3374" t="s">
        <v>441</v>
      </c>
      <c r="B12" s="2162" t="s">
        <v>442</v>
      </c>
      <c r="C12" s="3375" t="s">
        <v>443</v>
      </c>
      <c r="D12" s="3375" t="s">
        <v>444</v>
      </c>
      <c r="E12" s="3375" t="s">
        <v>445</v>
      </c>
      <c r="F12" s="3375" t="s">
        <v>446</v>
      </c>
      <c r="G12" s="3375" t="s">
        <v>447</v>
      </c>
      <c r="H12" s="3375" t="s">
        <v>448</v>
      </c>
      <c r="I12" s="3458" t="s">
        <v>280</v>
      </c>
      <c r="J12" s="3459"/>
      <c r="K12" s="3451"/>
      <c r="L12" s="3451"/>
      <c r="M12" s="2921"/>
      <c r="N12" s="3452"/>
      <c r="O12" s="2921"/>
      <c r="P12" s="2921"/>
      <c r="Q12" s="2921"/>
      <c r="AD12" s="2937"/>
    </row>
    <row r="13" ht="13" spans="1:30">
      <c r="A13" s="3376" t="s">
        <v>449</v>
      </c>
      <c r="B13" s="3377" t="s">
        <v>450</v>
      </c>
      <c r="C13" s="3378"/>
      <c r="D13" s="3378"/>
      <c r="E13" s="3378"/>
      <c r="F13" s="3378"/>
      <c r="G13" s="3378"/>
      <c r="H13" s="3379">
        <v>56493</v>
      </c>
      <c r="I13" s="3378"/>
      <c r="J13" s="3459"/>
      <c r="K13" s="3451"/>
      <c r="L13" s="3451"/>
      <c r="M13" s="2921"/>
      <c r="N13" s="3452"/>
      <c r="O13" s="2921"/>
      <c r="P13" s="2921"/>
      <c r="Q13" s="2921"/>
      <c r="AD13" s="2937"/>
    </row>
    <row r="14" ht="13" spans="1:30">
      <c r="A14" s="2148"/>
      <c r="B14" s="3377" t="s">
        <v>451</v>
      </c>
      <c r="C14" s="3380"/>
      <c r="D14" s="3380">
        <v>40</v>
      </c>
      <c r="E14" s="3380"/>
      <c r="F14" s="3380"/>
      <c r="G14" s="3380"/>
      <c r="H14" s="3380">
        <v>50</v>
      </c>
      <c r="I14" s="3380"/>
      <c r="J14" s="3460"/>
      <c r="K14" s="3451"/>
      <c r="L14" s="3451"/>
      <c r="M14" s="2921"/>
      <c r="N14" s="3452"/>
      <c r="O14" s="2921"/>
      <c r="P14" s="2921"/>
      <c r="Q14" s="2921"/>
      <c r="AD14" s="2937"/>
    </row>
    <row r="15" ht="13" spans="1:30">
      <c r="A15" s="2155"/>
      <c r="B15" s="3381" t="s">
        <v>452</v>
      </c>
      <c r="C15" s="3382" t="str">
        <f>IF(A13="出让",IF(C13="","",ROUNDDOWN(MIN((C13-$D$3)/365,C14),2)),C14)</f>
        <v/>
      </c>
      <c r="D15" s="3382" t="str">
        <f>IF(A13="出让",IF(D13="","",ROUNDDOWN(MIN((D13-$D$3)/365,D14),2)),D14)</f>
        <v/>
      </c>
      <c r="E15" s="3382" t="str">
        <f>IF(A13="出让",IF(E13="","",ROUNDDOWN(MIN((E13-$D$3)/365,E14),2)),E14)</f>
        <v/>
      </c>
      <c r="F15" s="3382" t="str">
        <f>IF(A13="出让",IF(F13="","",ROUNDDOWN(MIN((F13-$D$3)/365,F14),2)),F14)</f>
        <v/>
      </c>
      <c r="G15" s="3382" t="str">
        <f>IF(A13="出让",IF(G13="","",ROUNDDOWN(MIN((G13-$D$3)/365,G14),2)),G14)</f>
        <v/>
      </c>
      <c r="H15" s="3382">
        <f>IF(A13="出让",IF(H13="","",ROUNDDOWN(MIN((H13-$D$3)/365,H14),2)),H14)</f>
        <v>30.01</v>
      </c>
      <c r="I15" s="3382" t="str">
        <f>IF(A13="出让",IF(I13="","",ROUNDDOWN(MIN((I13-$D$3)/365,I14),2)),I14)</f>
        <v/>
      </c>
      <c r="J15" s="3461"/>
      <c r="K15" s="3462"/>
      <c r="L15" s="3462"/>
      <c r="M15" s="2922"/>
      <c r="N15" s="3462"/>
      <c r="O15" s="2922"/>
      <c r="P15" s="2921"/>
      <c r="Q15" s="2921"/>
      <c r="AD15" s="2937"/>
    </row>
    <row r="16" ht="13" spans="1:18">
      <c r="A16" s="3365" t="s">
        <v>453</v>
      </c>
      <c r="B16" s="3383"/>
      <c r="C16" s="3384"/>
      <c r="D16" s="3385"/>
      <c r="E16" s="3386" t="s">
        <v>454</v>
      </c>
      <c r="F16" s="3387"/>
      <c r="G16" s="3388"/>
      <c r="H16" s="3388"/>
      <c r="I16" s="3463"/>
      <c r="J16" s="2921"/>
      <c r="K16" s="3464"/>
      <c r="L16" s="3462"/>
      <c r="M16" s="3462"/>
      <c r="N16" s="2922"/>
      <c r="O16" s="3462"/>
      <c r="P16" s="2922"/>
      <c r="Q16" s="2921"/>
      <c r="R16" s="2921"/>
    </row>
    <row r="17" ht="13" spans="1:22">
      <c r="A17" s="2132" t="s">
        <v>455</v>
      </c>
      <c r="B17" s="2119" t="s">
        <v>456</v>
      </c>
      <c r="C17" s="1431">
        <f>'数据-汇总表'!E3</f>
        <v>3013</v>
      </c>
      <c r="D17" s="2175" t="s">
        <v>457</v>
      </c>
      <c r="E17" s="3389" t="s">
        <v>458</v>
      </c>
      <c r="F17" s="3390"/>
      <c r="G17" s="3390"/>
      <c r="H17" s="3390"/>
      <c r="I17" s="3465"/>
      <c r="J17" s="2921"/>
      <c r="K17" s="3466"/>
      <c r="L17" s="3462"/>
      <c r="M17" s="3462"/>
      <c r="N17" s="2922"/>
      <c r="O17" s="3462"/>
      <c r="P17" s="2922"/>
      <c r="Q17" s="2921"/>
      <c r="R17" s="2921"/>
      <c r="S17" s="2921"/>
      <c r="T17" s="2921"/>
      <c r="U17" s="2921"/>
      <c r="V17" s="2921"/>
    </row>
    <row r="18" ht="26.75" spans="1:22">
      <c r="A18" s="3391" t="s">
        <v>459</v>
      </c>
      <c r="B18" s="2143" t="s">
        <v>460</v>
      </c>
      <c r="C18" s="3392">
        <f>'数据-汇总表'!D3</f>
        <v>0</v>
      </c>
      <c r="D18" s="2168" t="s">
        <v>457</v>
      </c>
      <c r="E18" s="3393" t="s">
        <v>461</v>
      </c>
      <c r="F18" s="3394"/>
      <c r="G18" s="3394"/>
      <c r="H18" s="3394"/>
      <c r="I18" s="3467"/>
      <c r="J18" s="2921"/>
      <c r="K18" s="3466"/>
      <c r="L18" s="3462"/>
      <c r="M18" s="3462"/>
      <c r="N18" s="2922"/>
      <c r="O18" s="3462"/>
      <c r="P18" s="2922"/>
      <c r="Q18" s="2921"/>
      <c r="R18" s="2921"/>
      <c r="S18" s="2921"/>
      <c r="T18" s="2921"/>
      <c r="U18" s="2921"/>
      <c r="V18" s="2921"/>
    </row>
    <row r="19" ht="40.5" spans="1:22">
      <c r="A19" s="2185" t="s">
        <v>462</v>
      </c>
      <c r="B19" s="2124" t="s">
        <v>463</v>
      </c>
      <c r="C19" s="3395"/>
      <c r="D19" s="3396" t="s">
        <v>464</v>
      </c>
      <c r="E19" s="3397"/>
      <c r="F19" s="3398" t="str">
        <f>IF(AND(C19="是",E19="否"),"是否提供他项权证或相关说明","")</f>
        <v/>
      </c>
      <c r="G19" s="3399"/>
      <c r="H19" s="3042"/>
      <c r="I19" s="3042"/>
      <c r="J19" s="2921"/>
      <c r="K19" s="3453"/>
      <c r="L19" s="3451"/>
      <c r="M19" s="3451"/>
      <c r="N19" s="2922"/>
      <c r="O19" s="3462"/>
      <c r="P19" s="2922"/>
      <c r="Q19" s="2921"/>
      <c r="R19" s="2921"/>
      <c r="S19" s="2921"/>
      <c r="T19" s="2921"/>
      <c r="U19" s="2921"/>
      <c r="V19" s="2921"/>
    </row>
    <row r="20" ht="13" spans="1:28">
      <c r="A20" s="3400" t="s">
        <v>465</v>
      </c>
      <c r="B20" s="3401" t="s">
        <v>466</v>
      </c>
      <c r="C20" s="3402"/>
      <c r="D20" s="3403" t="s">
        <v>467</v>
      </c>
      <c r="E20" s="3404"/>
      <c r="F20" s="3405" t="s">
        <v>468</v>
      </c>
      <c r="G20" s="3042"/>
      <c r="H20" s="3042"/>
      <c r="I20" s="3042"/>
      <c r="J20" s="2921"/>
      <c r="K20" s="3248" t="s">
        <v>469</v>
      </c>
      <c r="L20" s="226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8"/>
      <c r="N20" s="3468"/>
      <c r="O20" s="3469"/>
      <c r="P20" s="3468"/>
      <c r="Q20" s="3373"/>
      <c r="R20" s="3373"/>
      <c r="S20" s="3373"/>
      <c r="T20" s="3373"/>
      <c r="U20" s="3373"/>
      <c r="V20" s="3373"/>
      <c r="W20" s="2937"/>
      <c r="X20" s="2937"/>
      <c r="Y20" s="2937"/>
      <c r="Z20" s="2937"/>
      <c r="AA20" s="2937"/>
      <c r="AB20" s="2937"/>
    </row>
    <row r="21" ht="26.75" spans="1:28">
      <c r="A21" s="3400"/>
      <c r="B21" s="3406" t="s">
        <v>470</v>
      </c>
      <c r="C21" s="3407" t="s">
        <v>471</v>
      </c>
      <c r="D21" s="3408" t="s">
        <v>472</v>
      </c>
      <c r="E21" s="3409" t="s">
        <v>471</v>
      </c>
      <c r="F21" s="3410"/>
      <c r="G21" s="3042"/>
      <c r="H21" s="3042"/>
      <c r="I21" s="3042"/>
      <c r="J21" s="2921"/>
      <c r="K21" s="3248"/>
      <c r="L21" s="226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8"/>
      <c r="N21" s="3468"/>
      <c r="O21" s="3469"/>
      <c r="P21" s="3468"/>
      <c r="Q21" s="3373"/>
      <c r="R21" s="3373"/>
      <c r="S21" s="3373"/>
      <c r="T21" s="3373"/>
      <c r="U21" s="3373"/>
      <c r="V21" s="3373"/>
      <c r="W21" s="2937"/>
      <c r="X21" s="2937"/>
      <c r="Y21" s="2937"/>
      <c r="Z21" s="2937"/>
      <c r="AA21" s="2937"/>
      <c r="AB21" s="2937"/>
    </row>
    <row r="22" ht="26.75" spans="1:28">
      <c r="A22" s="3400"/>
      <c r="B22" s="3411" t="s">
        <v>473</v>
      </c>
      <c r="C22" s="3407" t="s">
        <v>474</v>
      </c>
      <c r="D22" s="3335"/>
      <c r="E22" s="3335"/>
      <c r="F22" s="3335"/>
      <c r="G22" s="3042"/>
      <c r="H22" s="3042"/>
      <c r="I22" s="3042"/>
      <c r="J22" s="2921"/>
      <c r="K22" s="3248"/>
      <c r="L22" s="226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8"/>
      <c r="N22" s="3468"/>
      <c r="O22" s="3469"/>
      <c r="P22" s="3468"/>
      <c r="Q22" s="3373"/>
      <c r="R22" s="3373"/>
      <c r="S22" s="3373"/>
      <c r="T22" s="3373"/>
      <c r="U22" s="3373"/>
      <c r="V22" s="3373"/>
      <c r="W22" s="2937"/>
      <c r="X22" s="2937"/>
      <c r="Y22" s="2937"/>
      <c r="Z22" s="2937"/>
      <c r="AA22" s="2937"/>
      <c r="AB22" s="2937"/>
    </row>
    <row r="23" ht="13" spans="1:22">
      <c r="A23" s="3412" t="s">
        <v>475</v>
      </c>
      <c r="B23" s="2912" t="s">
        <v>476</v>
      </c>
      <c r="C23" s="3413"/>
      <c r="D23" s="3414" t="s">
        <v>476</v>
      </c>
      <c r="E23" s="3415"/>
      <c r="F23" s="3335"/>
      <c r="G23" s="3042"/>
      <c r="H23" s="3042"/>
      <c r="I23" s="3042"/>
      <c r="J23" s="2921"/>
      <c r="K23" s="3470"/>
      <c r="L23" s="2284"/>
      <c r="M23" s="3451"/>
      <c r="N23" s="2922"/>
      <c r="O23" s="3462"/>
      <c r="P23" s="2922"/>
      <c r="Q23" s="2921"/>
      <c r="R23" s="2921"/>
      <c r="S23" s="2921"/>
      <c r="T23" s="2921"/>
      <c r="U23" s="2921"/>
      <c r="V23" s="2921"/>
    </row>
    <row r="24" ht="13" spans="1:22">
      <c r="A24" s="3412"/>
      <c r="B24" s="2912" t="s">
        <v>477</v>
      </c>
      <c r="C24" s="3416"/>
      <c r="D24" s="3412" t="s">
        <v>477</v>
      </c>
      <c r="E24" s="3417"/>
      <c r="F24" s="3335"/>
      <c r="G24" s="3042"/>
      <c r="H24" s="3042"/>
      <c r="I24" s="3042"/>
      <c r="J24" s="2921"/>
      <c r="K24" s="3470"/>
      <c r="L24" s="2284"/>
      <c r="M24" s="3451"/>
      <c r="N24" s="2922"/>
      <c r="O24" s="3462"/>
      <c r="P24" s="2922"/>
      <c r="Q24" s="2921"/>
      <c r="R24" s="2921"/>
      <c r="S24" s="2921"/>
      <c r="T24" s="2921"/>
      <c r="U24" s="2921"/>
      <c r="V24" s="2921"/>
    </row>
    <row r="25" ht="13" spans="1:22">
      <c r="A25" s="3412"/>
      <c r="B25" s="2912" t="s">
        <v>478</v>
      </c>
      <c r="C25" s="3416"/>
      <c r="D25" s="3412" t="s">
        <v>478</v>
      </c>
      <c r="E25" s="3417"/>
      <c r="F25" s="3335"/>
      <c r="G25" s="3042"/>
      <c r="H25" s="3042"/>
      <c r="I25" s="3042"/>
      <c r="J25" s="2921"/>
      <c r="K25" s="3453"/>
      <c r="L25" s="3451"/>
      <c r="M25" s="3451"/>
      <c r="N25" s="2922"/>
      <c r="O25" s="3462"/>
      <c r="P25" s="2922"/>
      <c r="Q25" s="2921"/>
      <c r="R25" s="2921"/>
      <c r="S25" s="2921"/>
      <c r="T25" s="2921"/>
      <c r="U25" s="2921"/>
      <c r="V25" s="2921"/>
    </row>
    <row r="26" ht="13.75" spans="1:22">
      <c r="A26" s="3418"/>
      <c r="B26" s="3419" t="s">
        <v>479</v>
      </c>
      <c r="C26" s="3420"/>
      <c r="D26" s="3418" t="s">
        <v>479</v>
      </c>
      <c r="E26" s="3421"/>
      <c r="F26" s="3361"/>
      <c r="G26" s="3361"/>
      <c r="H26" s="3361"/>
      <c r="I26" s="3361"/>
      <c r="J26" s="2921"/>
      <c r="K26" s="3453"/>
      <c r="L26" s="3451"/>
      <c r="M26" s="3451"/>
      <c r="N26" s="2922"/>
      <c r="O26" s="3462"/>
      <c r="P26" s="2922"/>
      <c r="Q26" s="2921"/>
      <c r="R26" s="2921"/>
      <c r="S26" s="2921"/>
      <c r="T26" s="2921"/>
      <c r="U26" s="2921"/>
      <c r="V26" s="2921"/>
    </row>
    <row r="27" ht="13.75" spans="1:22">
      <c r="A27" s="2148" t="s">
        <v>480</v>
      </c>
      <c r="B27" s="2155" t="s">
        <v>481</v>
      </c>
      <c r="C27" s="3422" t="s">
        <v>482</v>
      </c>
      <c r="D27" s="3423"/>
      <c r="E27" s="3042"/>
      <c r="F27" s="3042"/>
      <c r="G27" s="3042"/>
      <c r="H27" s="3042"/>
      <c r="I27" s="3042"/>
      <c r="J27" s="2921"/>
      <c r="K27" s="3464"/>
      <c r="L27" s="3462"/>
      <c r="M27" s="3462"/>
      <c r="N27" s="2922"/>
      <c r="O27" s="3462"/>
      <c r="P27" s="2922"/>
      <c r="Q27" s="2921"/>
      <c r="R27" s="2921"/>
      <c r="S27" s="2921"/>
      <c r="T27" s="2921"/>
      <c r="U27" s="2921"/>
      <c r="V27" s="2921"/>
    </row>
    <row r="28" ht="13" spans="1:22">
      <c r="A28" s="2148"/>
      <c r="B28" s="2119" t="s">
        <v>483</v>
      </c>
      <c r="C28" s="3424"/>
      <c r="D28" s="3425"/>
      <c r="E28" s="3042"/>
      <c r="F28" s="3042"/>
      <c r="G28" s="3042"/>
      <c r="H28" s="3042"/>
      <c r="I28" s="3042"/>
      <c r="J28" s="2921"/>
      <c r="K28" s="3453"/>
      <c r="L28" s="3451"/>
      <c r="M28" s="3451"/>
      <c r="N28" s="2921"/>
      <c r="O28" s="3452"/>
      <c r="P28" s="2921"/>
      <c r="Q28" s="2921"/>
      <c r="R28" s="2921"/>
      <c r="S28" s="2921"/>
      <c r="T28" s="2921"/>
      <c r="U28" s="2921"/>
      <c r="V28" s="2921"/>
    </row>
    <row r="29" ht="13" spans="1:22">
      <c r="A29" s="2148"/>
      <c r="B29" s="2119" t="s">
        <v>484</v>
      </c>
      <c r="C29" s="3426"/>
      <c r="D29" s="3427"/>
      <c r="E29" s="3042"/>
      <c r="F29" s="3042"/>
      <c r="G29" s="3042"/>
      <c r="H29" s="3042"/>
      <c r="I29" s="3042"/>
      <c r="J29" s="2921"/>
      <c r="K29" s="3453"/>
      <c r="L29" s="3451"/>
      <c r="M29" s="3451"/>
      <c r="N29" s="2921"/>
      <c r="O29" s="3452"/>
      <c r="P29" s="2921"/>
      <c r="Q29" s="2921"/>
      <c r="R29" s="2921"/>
      <c r="S29" s="2921"/>
      <c r="T29" s="2921"/>
      <c r="U29" s="2921"/>
      <c r="V29" s="2921"/>
    </row>
    <row r="30" ht="13" spans="1:22">
      <c r="A30" s="2155"/>
      <c r="B30" s="2119" t="s">
        <v>485</v>
      </c>
      <c r="C30" s="3428"/>
      <c r="D30" s="3429"/>
      <c r="E30" s="3042"/>
      <c r="F30" s="3042"/>
      <c r="G30" s="3042"/>
      <c r="H30" s="3042"/>
      <c r="I30" s="3042"/>
      <c r="J30" s="2921"/>
      <c r="K30" s="3453"/>
      <c r="L30" s="3451"/>
      <c r="M30" s="3451"/>
      <c r="N30" s="2921"/>
      <c r="O30" s="3452"/>
      <c r="P30" s="2921"/>
      <c r="Q30" s="2921"/>
      <c r="R30" s="2921"/>
      <c r="S30" s="2921"/>
      <c r="T30" s="2921"/>
      <c r="U30" s="2921"/>
      <c r="V30" s="2921"/>
    </row>
    <row r="31" ht="13" spans="1:22">
      <c r="A31" s="3430" t="s">
        <v>486</v>
      </c>
      <c r="B31" s="3431" t="s">
        <v>487</v>
      </c>
      <c r="C31" s="2275" t="str">
        <f>IF(B31="现房","成新及维护状况正常否",IF(B31="在建","工程状态是否正常",IF(B31="土地","是否闲置","-")))</f>
        <v>成新及维护状况正常否</v>
      </c>
      <c r="D31" s="2377"/>
      <c r="E31" s="3432"/>
      <c r="F31" s="3042"/>
      <c r="G31" s="3042"/>
      <c r="H31" s="3042"/>
      <c r="I31" s="3042"/>
      <c r="J31" s="2921"/>
      <c r="K31" s="3450"/>
      <c r="L31" s="3451"/>
      <c r="M31" s="3451"/>
      <c r="N31" s="2921"/>
      <c r="O31" s="3452"/>
      <c r="P31" s="2921"/>
      <c r="Q31" s="2921"/>
      <c r="R31" s="2921"/>
      <c r="S31" s="2921"/>
      <c r="T31" s="2921"/>
      <c r="U31" s="2921"/>
      <c r="V31" s="2921"/>
    </row>
    <row r="32" spans="1:22">
      <c r="A32" s="2623"/>
      <c r="B32" s="3431"/>
      <c r="C32" s="2275" t="str">
        <f>IF(B32="现房","成新及维护状况是否正常",IF(B32="在建","工程状态是否正常",IF(B32="土地","是否闲置","-")))</f>
        <v>-</v>
      </c>
      <c r="D32" s="2377"/>
      <c r="E32" s="3432"/>
      <c r="F32" s="3042"/>
      <c r="G32" s="3042"/>
      <c r="H32" s="3042"/>
      <c r="I32" s="3042"/>
      <c r="J32" s="2921"/>
      <c r="K32" s="3453"/>
      <c r="L32" s="3451"/>
      <c r="M32" s="3451"/>
      <c r="N32" s="2921"/>
      <c r="O32" s="3452"/>
      <c r="P32" s="2921"/>
      <c r="Q32" s="2921"/>
      <c r="R32" s="2921"/>
      <c r="S32" s="2921"/>
      <c r="T32" s="2921"/>
      <c r="U32" s="2921"/>
      <c r="V32" s="2921"/>
    </row>
    <row r="33" spans="1:22">
      <c r="A33" s="2623"/>
      <c r="B33" s="3433"/>
      <c r="C33" s="2622" t="str">
        <f>IF(B33="现房","成新及维护状况是否正常",IF(B33="在建","工程状态是否正常",IF(B33="土地","是否闲置","-")))</f>
        <v>-</v>
      </c>
      <c r="D33" s="2130"/>
      <c r="E33" s="3434"/>
      <c r="F33" s="3042"/>
      <c r="G33" s="3042"/>
      <c r="H33" s="3042"/>
      <c r="I33" s="3042"/>
      <c r="J33" s="2921"/>
      <c r="K33" s="3453"/>
      <c r="L33" s="3451"/>
      <c r="M33" s="3451"/>
      <c r="N33" s="2921"/>
      <c r="O33" s="3452"/>
      <c r="P33" s="2921"/>
      <c r="Q33" s="2921"/>
      <c r="R33" s="2921"/>
      <c r="S33" s="2921"/>
      <c r="T33" s="2921"/>
      <c r="U33" s="2921"/>
      <c r="V33" s="2921"/>
    </row>
    <row r="34" ht="13" spans="1:22">
      <c r="A34" s="2119" t="s">
        <v>488</v>
      </c>
      <c r="B34" s="992"/>
      <c r="C34" s="992"/>
      <c r="D34" s="992"/>
      <c r="E34" s="992"/>
      <c r="F34" s="992"/>
      <c r="G34" s="992"/>
      <c r="H34" s="992"/>
      <c r="I34" s="3042"/>
      <c r="J34" s="2921"/>
      <c r="K34" s="1431">
        <f>COUNTIF(B34:H34,"——")</f>
        <v>0</v>
      </c>
      <c r="L34" s="2162" t="s">
        <v>489</v>
      </c>
      <c r="M34" s="2162" t="s">
        <v>490</v>
      </c>
      <c r="N34" s="2162" t="s">
        <v>491</v>
      </c>
      <c r="O34" s="2162" t="s">
        <v>492</v>
      </c>
      <c r="P34" s="2162" t="s">
        <v>493</v>
      </c>
      <c r="Q34" s="2162" t="s">
        <v>494</v>
      </c>
      <c r="R34" s="2162" t="s">
        <v>495</v>
      </c>
      <c r="S34" s="1431" t="s">
        <v>496</v>
      </c>
      <c r="T34" s="2162" t="str">
        <f>NUMBERSTRING(7-K34,1)&amp;"通"</f>
        <v>七通</v>
      </c>
      <c r="U34" s="2921"/>
      <c r="V34" s="2921"/>
    </row>
    <row r="35" spans="1:22">
      <c r="A35" s="3435"/>
      <c r="B35" s="1489" t="s">
        <v>497</v>
      </c>
      <c r="C35" s="1489"/>
      <c r="D35" s="1489"/>
      <c r="E35" s="1489"/>
      <c r="F35" s="1489">
        <f>C10</f>
        <v>0</v>
      </c>
      <c r="G35" s="3042"/>
      <c r="H35" s="3042"/>
      <c r="I35" s="3042"/>
      <c r="J35" s="2921"/>
      <c r="K35" s="2162"/>
      <c r="L35" s="2162">
        <f>B34</f>
        <v>0</v>
      </c>
      <c r="M35" s="2164" t="str">
        <f>B34&amp;"、"&amp;C34</f>
        <v>、</v>
      </c>
      <c r="N35" s="2164" t="str">
        <f>B34&amp;"、"&amp;C34&amp;"、"&amp;D34</f>
        <v>、、</v>
      </c>
      <c r="O35" s="2164" t="str">
        <f>B34&amp;"、"&amp;C34&amp;"、"&amp;D34&amp;"、"&amp;E34</f>
        <v>、、、</v>
      </c>
      <c r="P35" s="2164" t="str">
        <f>B34&amp;"、"&amp;C34&amp;"、"&amp;D34&amp;"、"&amp;E34&amp;"、"&amp;F34</f>
        <v>、、、、</v>
      </c>
      <c r="Q35" s="2164" t="str">
        <f>B34&amp;"、"&amp;C34&amp;"、"&amp;D34&amp;"、"&amp;E34&amp;"、"&amp;F34&amp;"、"&amp;G34</f>
        <v>、、、、、</v>
      </c>
      <c r="R35" s="2164" t="str">
        <f>B34&amp;"、"&amp;C34&amp;"、"&amp;D34&amp;"、"&amp;E34&amp;"、"&amp;F34&amp;"、"&amp;G34&amp;"、"&amp;H34</f>
        <v>、、、、、、</v>
      </c>
      <c r="S35" s="1431"/>
      <c r="T35" s="2164" t="str">
        <f>IF(T34="一通",L35,IF(T34="二通",M35,IF(T34="三通",N35,IF(T34="四通",O35,IF(T34="五通",P35,IF(T34="六通",Q35,R35))))))</f>
        <v>、、、、、、</v>
      </c>
      <c r="U35" s="2921"/>
      <c r="V35" s="2921"/>
    </row>
    <row r="36" ht="13" spans="1:22">
      <c r="A36" s="3436"/>
      <c r="B36" s="1489" t="s">
        <v>444</v>
      </c>
      <c r="C36" s="1489" t="s">
        <v>445</v>
      </c>
      <c r="D36" s="1489" t="s">
        <v>443</v>
      </c>
      <c r="E36" s="1489" t="s">
        <v>448</v>
      </c>
      <c r="F36" s="3437" t="s">
        <v>280</v>
      </c>
      <c r="G36" s="3042"/>
      <c r="H36" s="3042"/>
      <c r="I36" s="3042"/>
      <c r="J36" s="2921"/>
      <c r="K36" s="3453"/>
      <c r="L36" s="3451"/>
      <c r="M36" s="3451"/>
      <c r="N36" s="2921"/>
      <c r="O36" s="3452"/>
      <c r="P36" s="2921"/>
      <c r="Q36" s="2921"/>
      <c r="R36" s="2921"/>
      <c r="S36" s="2921"/>
      <c r="T36" s="2921"/>
      <c r="U36" s="2921"/>
      <c r="V36" s="2921"/>
    </row>
    <row r="37" ht="13" spans="1:22">
      <c r="A37" s="3438" t="s">
        <v>498</v>
      </c>
      <c r="B37" s="3439"/>
      <c r="C37" s="3439"/>
      <c r="D37" s="3439"/>
      <c r="E37" s="3439" t="s">
        <v>259</v>
      </c>
      <c r="F37" s="3439"/>
      <c r="G37" s="3042"/>
      <c r="H37" s="3042"/>
      <c r="I37" s="3042"/>
      <c r="J37" s="2921"/>
      <c r="K37" s="3453"/>
      <c r="L37" s="3451"/>
      <c r="M37" s="3451"/>
      <c r="N37" s="2921"/>
      <c r="O37" s="3452"/>
      <c r="P37" s="2921"/>
      <c r="Q37" s="2921"/>
      <c r="R37" s="2921"/>
      <c r="S37" s="2921"/>
      <c r="T37" s="2921"/>
      <c r="U37" s="2921"/>
      <c r="V37" s="2921"/>
    </row>
    <row r="38" ht="13.75" spans="1:22">
      <c r="A38" s="3440" t="s">
        <v>499</v>
      </c>
      <c r="B38" s="3441"/>
      <c r="C38" s="3441"/>
      <c r="D38" s="3441"/>
      <c r="E38" s="3441" t="s">
        <v>500</v>
      </c>
      <c r="F38" s="3441"/>
      <c r="G38" s="3361"/>
      <c r="H38" s="3361"/>
      <c r="I38" s="3361"/>
      <c r="J38" s="2921"/>
      <c r="K38" s="3453"/>
      <c r="L38" s="3451"/>
      <c r="M38" s="3451"/>
      <c r="N38" s="2921"/>
      <c r="O38" s="3452"/>
      <c r="P38" s="2921"/>
      <c r="Q38" s="2921"/>
      <c r="R38" s="2921"/>
      <c r="S38" s="2921"/>
      <c r="T38" s="2921"/>
      <c r="U38" s="2921"/>
      <c r="V38" s="2921"/>
    </row>
    <row r="39" s="3324" customFormat="1" ht="14.5" spans="1:30">
      <c r="A39" s="3442" t="s">
        <v>501</v>
      </c>
      <c r="B39" s="3443"/>
      <c r="C39" s="3443"/>
      <c r="D39" s="3443"/>
      <c r="E39" s="3443"/>
      <c r="F39" s="3443"/>
      <c r="G39" s="3443"/>
      <c r="H39" s="3443"/>
      <c r="I39" s="3443"/>
      <c r="J39" s="3471"/>
      <c r="K39" s="3472"/>
      <c r="L39" s="3471"/>
      <c r="M39" s="3471"/>
      <c r="N39" s="3471"/>
      <c r="O39" s="3473"/>
      <c r="P39" s="3471"/>
      <c r="Q39" s="3471"/>
      <c r="R39" s="3471"/>
      <c r="S39" s="3471"/>
      <c r="T39" s="3471"/>
      <c r="U39" s="3471"/>
      <c r="V39" s="3471"/>
      <c r="W39" s="3480"/>
      <c r="X39" s="3480"/>
      <c r="Y39" s="3480"/>
      <c r="Z39" s="3480"/>
      <c r="AA39" s="3480"/>
      <c r="AB39" s="3480"/>
      <c r="AC39" s="3480"/>
      <c r="AD39" s="3480"/>
    </row>
    <row r="40" spans="1:22">
      <c r="A40" s="3373"/>
      <c r="B40" s="3373"/>
      <c r="C40" s="3373"/>
      <c r="D40" s="3373"/>
      <c r="E40" s="3373"/>
      <c r="F40" s="3373"/>
      <c r="G40" s="3373"/>
      <c r="H40" s="3373"/>
      <c r="I40" s="2648"/>
      <c r="J40" s="2922"/>
      <c r="K40" s="3450"/>
      <c r="L40" s="3462"/>
      <c r="M40" s="3462"/>
      <c r="N40" s="2922"/>
      <c r="O40" s="3462"/>
      <c r="P40" s="2921"/>
      <c r="Q40" s="2921"/>
      <c r="R40" s="2921"/>
      <c r="S40" s="2921"/>
      <c r="T40" s="2921"/>
      <c r="U40" s="2921"/>
      <c r="V40" s="2921"/>
    </row>
    <row r="41" ht="13" spans="1:22">
      <c r="A41" s="3444" t="s">
        <v>502</v>
      </c>
      <c r="B41" s="2513"/>
      <c r="C41" s="2377"/>
      <c r="D41" s="3373"/>
      <c r="E41" s="3373"/>
      <c r="F41" s="3373"/>
      <c r="G41" s="3373"/>
      <c r="H41" s="3373"/>
      <c r="I41" s="3237"/>
      <c r="J41" s="2921"/>
      <c r="K41" s="3453"/>
      <c r="L41" s="3451"/>
      <c r="M41" s="3451"/>
      <c r="N41" s="2921"/>
      <c r="O41" s="3452"/>
      <c r="P41" s="2921"/>
      <c r="Q41" s="2921"/>
      <c r="R41" s="2921"/>
      <c r="S41" s="2921"/>
      <c r="T41" s="2921"/>
      <c r="U41" s="2921"/>
      <c r="V41" s="2921"/>
    </row>
    <row r="42" ht="26" spans="1:22">
      <c r="A42" s="2162" t="s">
        <v>503</v>
      </c>
      <c r="B42" s="1431" t="s">
        <v>504</v>
      </c>
      <c r="C42" s="1431" t="s">
        <v>505</v>
      </c>
      <c r="D42" s="1431" t="s">
        <v>506</v>
      </c>
      <c r="E42" s="1431" t="s">
        <v>507</v>
      </c>
      <c r="F42" s="1431" t="s">
        <v>508</v>
      </c>
      <c r="G42" s="1431" t="s">
        <v>509</v>
      </c>
      <c r="H42" s="1431" t="s">
        <v>510</v>
      </c>
      <c r="I42" s="1431" t="s">
        <v>511</v>
      </c>
      <c r="J42" s="3474" t="s">
        <v>512</v>
      </c>
      <c r="K42" s="3475" t="s">
        <v>513</v>
      </c>
      <c r="L42" s="3475" t="s">
        <v>514</v>
      </c>
      <c r="M42" s="3475" t="s">
        <v>515</v>
      </c>
      <c r="N42" s="3476" t="s">
        <v>516</v>
      </c>
      <c r="O42" s="3476" t="s">
        <v>517</v>
      </c>
      <c r="P42" s="3476" t="s">
        <v>518</v>
      </c>
      <c r="Q42" s="3481" t="s">
        <v>519</v>
      </c>
      <c r="R42" s="3481" t="s">
        <v>520</v>
      </c>
      <c r="S42" s="2921"/>
      <c r="T42" s="2921"/>
      <c r="U42" s="2921"/>
      <c r="V42" s="2921"/>
    </row>
    <row r="43" s="3132" customFormat="1" spans="1:22">
      <c r="A43" s="3445"/>
      <c r="B43" s="3258"/>
      <c r="C43" s="3258"/>
      <c r="D43" s="3258"/>
      <c r="E43" s="3258"/>
      <c r="F43" s="3258"/>
      <c r="G43" s="3258"/>
      <c r="H43" s="3258"/>
      <c r="I43" s="3258"/>
      <c r="J43" s="3477"/>
      <c r="K43" s="3478"/>
      <c r="L43" s="3478"/>
      <c r="M43" s="3258"/>
      <c r="N43" s="3258"/>
      <c r="O43" s="3258"/>
      <c r="P43" s="3258"/>
      <c r="Q43" s="3258"/>
      <c r="R43" s="3258"/>
      <c r="S43" s="2921"/>
      <c r="T43" s="2921"/>
      <c r="U43" s="2921"/>
      <c r="V43" s="2921"/>
    </row>
    <row r="44" s="3132" customFormat="1" spans="1:22">
      <c r="A44" s="3445"/>
      <c r="B44" s="3445"/>
      <c r="C44" s="3258"/>
      <c r="D44" s="3258"/>
      <c r="E44" s="3258"/>
      <c r="F44" s="3258"/>
      <c r="G44" s="3258"/>
      <c r="H44" s="3258"/>
      <c r="I44" s="3258"/>
      <c r="J44" s="3477"/>
      <c r="K44" s="3478"/>
      <c r="L44" s="3478"/>
      <c r="M44" s="3258"/>
      <c r="N44" s="3258"/>
      <c r="O44" s="3258"/>
      <c r="P44" s="3258"/>
      <c r="Q44" s="3258"/>
      <c r="R44" s="3258"/>
      <c r="S44" s="2921"/>
      <c r="T44" s="2921"/>
      <c r="U44" s="2921"/>
      <c r="V44" s="2921"/>
    </row>
    <row r="45" s="3132" customFormat="1" spans="1:22">
      <c r="A45" s="3445"/>
      <c r="B45" s="3445"/>
      <c r="C45" s="3258"/>
      <c r="D45" s="3258"/>
      <c r="E45" s="3258"/>
      <c r="F45" s="3258"/>
      <c r="G45" s="3258"/>
      <c r="H45" s="3258"/>
      <c r="I45" s="3258"/>
      <c r="J45" s="3477"/>
      <c r="K45" s="3478"/>
      <c r="L45" s="3478"/>
      <c r="M45" s="3258"/>
      <c r="N45" s="3258"/>
      <c r="O45" s="3258"/>
      <c r="P45" s="3258"/>
      <c r="Q45" s="3258"/>
      <c r="R45" s="3258"/>
      <c r="S45" s="2921"/>
      <c r="T45" s="2921"/>
      <c r="U45" s="2921"/>
      <c r="V45" s="2921"/>
    </row>
    <row r="46" s="3132" customFormat="1" spans="1:22">
      <c r="A46" s="3445"/>
      <c r="B46" s="3445"/>
      <c r="C46" s="3258"/>
      <c r="D46" s="3258"/>
      <c r="E46" s="3258"/>
      <c r="F46" s="3258"/>
      <c r="G46" s="3258"/>
      <c r="H46" s="3258"/>
      <c r="I46" s="3258"/>
      <c r="J46" s="3477"/>
      <c r="K46" s="3478"/>
      <c r="L46" s="3478"/>
      <c r="M46" s="3258"/>
      <c r="N46" s="3258"/>
      <c r="O46" s="3258"/>
      <c r="P46" s="3258"/>
      <c r="Q46" s="3258"/>
      <c r="R46" s="3258"/>
      <c r="S46" s="2921"/>
      <c r="T46" s="2921"/>
      <c r="U46" s="2921"/>
      <c r="V46" s="2921"/>
    </row>
    <row r="47" s="3132" customFormat="1" spans="1:22">
      <c r="A47" s="3445"/>
      <c r="B47" s="3445"/>
      <c r="C47" s="3258"/>
      <c r="D47" s="3258"/>
      <c r="E47" s="3258"/>
      <c r="F47" s="3258"/>
      <c r="G47" s="3258"/>
      <c r="H47" s="3258"/>
      <c r="I47" s="3258"/>
      <c r="J47" s="3477"/>
      <c r="K47" s="3478"/>
      <c r="L47" s="3478"/>
      <c r="M47" s="3258"/>
      <c r="N47" s="3258"/>
      <c r="O47" s="3258"/>
      <c r="P47" s="3258"/>
      <c r="Q47" s="3258"/>
      <c r="R47" s="3258"/>
      <c r="S47" s="2921"/>
      <c r="T47" s="2921"/>
      <c r="U47" s="2921"/>
      <c r="V47" s="2921"/>
    </row>
    <row r="48" s="3132" customFormat="1" spans="1:22">
      <c r="A48" s="3445"/>
      <c r="B48" s="3445"/>
      <c r="C48" s="3258"/>
      <c r="D48" s="3258"/>
      <c r="E48" s="3258"/>
      <c r="F48" s="3258"/>
      <c r="G48" s="3258"/>
      <c r="H48" s="3258"/>
      <c r="I48" s="3258"/>
      <c r="J48" s="3477"/>
      <c r="K48" s="3478"/>
      <c r="L48" s="3478"/>
      <c r="M48" s="3258"/>
      <c r="N48" s="3258"/>
      <c r="O48" s="3258"/>
      <c r="P48" s="3258"/>
      <c r="Q48" s="3258"/>
      <c r="R48" s="3258"/>
      <c r="S48" s="2921"/>
      <c r="T48" s="2921"/>
      <c r="U48" s="2921"/>
      <c r="V48" s="2921"/>
    </row>
    <row r="49" s="3132" customFormat="1" spans="1:22">
      <c r="A49" s="3445"/>
      <c r="B49" s="3445"/>
      <c r="C49" s="3258"/>
      <c r="D49" s="3258"/>
      <c r="E49" s="3258"/>
      <c r="F49" s="3258"/>
      <c r="G49" s="3258"/>
      <c r="H49" s="3258"/>
      <c r="I49" s="3258"/>
      <c r="J49" s="3477"/>
      <c r="K49" s="3478"/>
      <c r="L49" s="3478"/>
      <c r="M49" s="3258"/>
      <c r="N49" s="3258"/>
      <c r="O49" s="3258"/>
      <c r="P49" s="3258"/>
      <c r="Q49" s="3258"/>
      <c r="R49" s="3258"/>
      <c r="S49" s="2921"/>
      <c r="T49" s="2921"/>
      <c r="U49" s="2921"/>
      <c r="V49" s="2921"/>
    </row>
    <row r="50" s="3132" customFormat="1" spans="1:22">
      <c r="A50" s="3445"/>
      <c r="B50" s="3445"/>
      <c r="C50" s="3258"/>
      <c r="D50" s="3258"/>
      <c r="E50" s="3258"/>
      <c r="F50" s="3258"/>
      <c r="G50" s="3258"/>
      <c r="H50" s="3258"/>
      <c r="I50" s="3258"/>
      <c r="J50" s="3477"/>
      <c r="K50" s="3478"/>
      <c r="L50" s="3478"/>
      <c r="M50" s="3258"/>
      <c r="N50" s="3258"/>
      <c r="O50" s="3258"/>
      <c r="P50" s="3258"/>
      <c r="Q50" s="3258"/>
      <c r="R50" s="3258"/>
      <c r="S50" s="2921"/>
      <c r="T50" s="2921"/>
      <c r="U50" s="2921"/>
      <c r="V50" s="2921"/>
    </row>
    <row r="51" s="3132" customFormat="1" spans="1:18">
      <c r="A51" s="3445"/>
      <c r="B51" s="3445"/>
      <c r="C51" s="3258"/>
      <c r="D51" s="3258"/>
      <c r="E51" s="3258"/>
      <c r="F51" s="3258"/>
      <c r="G51" s="3258"/>
      <c r="H51" s="3258"/>
      <c r="I51" s="3258"/>
      <c r="J51" s="3477"/>
      <c r="K51" s="3478"/>
      <c r="L51" s="3478"/>
      <c r="M51" s="3258"/>
      <c r="N51" s="3258"/>
      <c r="O51" s="3258"/>
      <c r="P51" s="3258"/>
      <c r="Q51" s="3258"/>
      <c r="R51" s="3258"/>
    </row>
    <row r="52" s="3132" customFormat="1" spans="1:18">
      <c r="A52" s="3445"/>
      <c r="B52" s="3445"/>
      <c r="C52" s="3445"/>
      <c r="D52" s="3445"/>
      <c r="E52" s="3445"/>
      <c r="F52" s="3258"/>
      <c r="G52" s="3445"/>
      <c r="H52" s="3445"/>
      <c r="I52" s="3445"/>
      <c r="J52" s="3479"/>
      <c r="K52" s="3478"/>
      <c r="L52" s="3478"/>
      <c r="M52" s="3478"/>
      <c r="N52" s="3445"/>
      <c r="O52" s="3445"/>
      <c r="P52" s="3445"/>
      <c r="Q52" s="3445"/>
      <c r="R52" s="3445"/>
    </row>
    <row r="53" s="3132" customFormat="1" spans="1:18">
      <c r="A53" s="3445"/>
      <c r="B53" s="3445"/>
      <c r="C53" s="3445"/>
      <c r="D53" s="3445"/>
      <c r="E53" s="3445"/>
      <c r="F53" s="3258"/>
      <c r="G53" s="3445"/>
      <c r="H53" s="3445"/>
      <c r="I53" s="3445"/>
      <c r="J53" s="3479"/>
      <c r="K53" s="3478"/>
      <c r="L53" s="3478"/>
      <c r="M53" s="3478"/>
      <c r="N53" s="3445"/>
      <c r="O53" s="3445"/>
      <c r="P53" s="3445"/>
      <c r="Q53" s="3445"/>
      <c r="R53" s="3445"/>
    </row>
    <row r="54" s="3132" customFormat="1" spans="1:18">
      <c r="A54" s="3445"/>
      <c r="B54" s="3445"/>
      <c r="C54" s="3445"/>
      <c r="D54" s="3445"/>
      <c r="E54" s="3445"/>
      <c r="F54" s="3258"/>
      <c r="G54" s="3445"/>
      <c r="H54" s="3445"/>
      <c r="I54" s="3445"/>
      <c r="J54" s="3479"/>
      <c r="K54" s="3478"/>
      <c r="L54" s="3478"/>
      <c r="M54" s="3478"/>
      <c r="N54" s="3445"/>
      <c r="O54" s="3445"/>
      <c r="P54" s="3445"/>
      <c r="Q54" s="3445"/>
      <c r="R54" s="3445"/>
    </row>
    <row r="55" s="3132" customFormat="1" spans="1:18">
      <c r="A55" s="3445"/>
      <c r="B55" s="3445"/>
      <c r="C55" s="3445"/>
      <c r="D55" s="3445"/>
      <c r="E55" s="3445"/>
      <c r="F55" s="3258"/>
      <c r="G55" s="3445"/>
      <c r="H55" s="3445"/>
      <c r="I55" s="3445"/>
      <c r="J55" s="3479"/>
      <c r="K55" s="3478"/>
      <c r="L55" s="3478"/>
      <c r="M55" s="3478"/>
      <c r="N55" s="3445"/>
      <c r="O55" s="3445"/>
      <c r="P55" s="3445"/>
      <c r="Q55" s="3445"/>
      <c r="R55" s="3445"/>
    </row>
    <row r="56" s="3132" customFormat="1" spans="1:18">
      <c r="A56" s="3445"/>
      <c r="B56" s="3445"/>
      <c r="C56" s="3445"/>
      <c r="D56" s="3445"/>
      <c r="E56" s="3445"/>
      <c r="F56" s="3258"/>
      <c r="G56" s="3445"/>
      <c r="H56" s="3445"/>
      <c r="I56" s="3445"/>
      <c r="J56" s="3479"/>
      <c r="K56" s="3478"/>
      <c r="L56" s="3478"/>
      <c r="M56" s="3478"/>
      <c r="N56" s="3445"/>
      <c r="O56" s="3445"/>
      <c r="P56" s="3445"/>
      <c r="Q56" s="3445"/>
      <c r="R56" s="344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3" sqref="I13"/>
    </sheetView>
  </sheetViews>
  <sheetFormatPr defaultColWidth="8.87272727272727" defaultRowHeight="14"/>
  <cols>
    <col min="1" max="1" width="10.6272727272727" style="3234" customWidth="1"/>
    <col min="2" max="2" width="11" style="3234" customWidth="1"/>
    <col min="3" max="3" width="10.3727272727273" style="3234" customWidth="1"/>
    <col min="4" max="4" width="9.12727272727273" style="3234" customWidth="1"/>
    <col min="5" max="6" width="10" style="3232" customWidth="1"/>
    <col min="7" max="8" width="10" style="3234" customWidth="1"/>
    <col min="9" max="9" width="10.6272727272727" style="3234" customWidth="1"/>
    <col min="10" max="10" width="9.5" style="3234" customWidth="1"/>
    <col min="11" max="11" width="11" style="3234" customWidth="1"/>
    <col min="12" max="14" width="9.5" style="3234" customWidth="1"/>
    <col min="15" max="15" width="9.87272727272727" style="3234" customWidth="1"/>
    <col min="16" max="16" width="9.75454545454545" style="3234" customWidth="1"/>
    <col min="17" max="17" width="9.37272727272727" style="3234" customWidth="1"/>
    <col min="18" max="18" width="9.25454545454545" style="3234" customWidth="1"/>
    <col min="19" max="19" width="10.8727272727273" style="3234" customWidth="1"/>
    <col min="20" max="21" width="10.7545454545455" style="3234" customWidth="1"/>
    <col min="22" max="22" width="10.8727272727273" style="3234" customWidth="1"/>
    <col min="23" max="27" width="10.7545454545455" style="3234" customWidth="1"/>
    <col min="28" max="28" width="10.8727272727273" style="3234" customWidth="1"/>
    <col min="29" max="29" width="11" style="3234" customWidth="1"/>
    <col min="30" max="30" width="10" style="3234" customWidth="1"/>
    <col min="31" max="31" width="9.75454545454545" style="3234" customWidth="1"/>
    <col min="32" max="46" width="9.5" style="3234" customWidth="1"/>
    <col min="47" max="47" width="18.1272727272727" style="3234" customWidth="1"/>
    <col min="48" max="50" width="9.75454545454545" style="3234" customWidth="1"/>
    <col min="51" max="55" width="10.5" style="3234" customWidth="1"/>
    <col min="56" max="56" width="9.5" style="3234" customWidth="1"/>
    <col min="57" max="63" width="9.12727272727273" style="3234" customWidth="1"/>
    <col min="64" max="64" width="9.5" style="3234" customWidth="1"/>
    <col min="65" max="65" width="9.12727272727273" style="3234" customWidth="1"/>
    <col min="66" max="66" width="9.5" style="3234" customWidth="1"/>
    <col min="67" max="69" width="9.12727272727273" style="3234" customWidth="1"/>
    <col min="70" max="70" width="9.5" style="3234" customWidth="1"/>
    <col min="71" max="71" width="9" style="3234" customWidth="1"/>
    <col min="72" max="72" width="9.12727272727273" style="3234" customWidth="1"/>
    <col min="73" max="16384" width="8.87272727272727" style="3234"/>
  </cols>
  <sheetData>
    <row r="1" ht="21" spans="1:72">
      <c r="A1" s="3235" t="s">
        <v>521</v>
      </c>
      <c r="B1" s="3236"/>
      <c r="C1" s="3236"/>
      <c r="D1" s="3236"/>
      <c r="E1" s="3236"/>
      <c r="F1" s="3236"/>
      <c r="G1" s="3236"/>
      <c r="H1" s="3236"/>
      <c r="I1" s="3236"/>
      <c r="J1" s="3236"/>
      <c r="K1" s="3236"/>
      <c r="L1" s="3236"/>
      <c r="M1" s="3236"/>
      <c r="N1" s="3236"/>
      <c r="O1" s="3236"/>
      <c r="P1" s="3236"/>
      <c r="Q1" s="3236"/>
      <c r="R1" s="3236"/>
      <c r="S1" s="3236"/>
      <c r="T1" s="3236"/>
      <c r="U1" s="3236"/>
      <c r="V1" s="3236"/>
      <c r="W1" s="3236"/>
      <c r="X1" s="3236"/>
      <c r="Y1" s="3236"/>
      <c r="Z1" s="3236"/>
      <c r="AA1" s="3236"/>
      <c r="AB1" s="3236"/>
      <c r="AC1" s="3236"/>
      <c r="AD1" s="3236"/>
      <c r="AE1" s="3236"/>
      <c r="AF1" s="3236"/>
      <c r="AG1" s="3236"/>
      <c r="AH1" s="3236"/>
      <c r="AI1" s="3236"/>
      <c r="AJ1" s="3236"/>
      <c r="AK1" s="3236"/>
      <c r="AL1" s="3236"/>
      <c r="AM1" s="3236"/>
      <c r="AN1" s="3236"/>
      <c r="AO1" s="3236"/>
      <c r="AP1" s="3236"/>
      <c r="AQ1" s="3236"/>
      <c r="AR1" s="3236"/>
      <c r="AS1" s="3236"/>
      <c r="AT1" s="3236"/>
      <c r="AU1" s="3236"/>
      <c r="AV1" s="3287" t="s">
        <v>522</v>
      </c>
      <c r="AW1" s="3236"/>
      <c r="AX1" s="3236"/>
      <c r="AY1" s="3236"/>
      <c r="AZ1" s="3236"/>
      <c r="BA1" s="3236"/>
      <c r="BB1" s="3236"/>
      <c r="BC1" s="3236"/>
      <c r="BD1" s="3236"/>
      <c r="BE1" s="3236"/>
      <c r="BF1" s="3236"/>
      <c r="BG1" s="3236"/>
      <c r="BH1" s="3236"/>
      <c r="BI1" s="3236"/>
      <c r="BJ1" s="3236"/>
      <c r="BK1" s="3236"/>
      <c r="BL1" s="3236"/>
      <c r="BM1" s="3236"/>
      <c r="BN1" s="3236"/>
      <c r="BO1" s="3236"/>
      <c r="BP1" s="3236"/>
      <c r="BQ1" s="3236"/>
      <c r="BR1" s="3236"/>
      <c r="BS1" s="3236"/>
      <c r="BT1" s="3236"/>
    </row>
    <row r="2" s="3229" customFormat="1" ht="26" spans="1:72">
      <c r="A2" s="1431" t="s">
        <v>460</v>
      </c>
      <c r="B2" s="1431" t="s">
        <v>456</v>
      </c>
      <c r="C2" s="1431" t="s">
        <v>523</v>
      </c>
      <c r="D2" s="3237"/>
      <c r="E2" s="2596"/>
      <c r="F2" s="2648"/>
      <c r="G2" s="3237"/>
      <c r="H2" s="3237"/>
      <c r="I2" s="3237"/>
      <c r="J2" s="3237"/>
      <c r="K2" s="3237"/>
      <c r="L2" s="3237"/>
      <c r="M2" s="3237"/>
      <c r="N2" s="3237"/>
      <c r="O2" s="3237"/>
      <c r="P2" s="3237"/>
      <c r="Q2" s="3237"/>
      <c r="R2" s="3237"/>
      <c r="S2" s="3237"/>
      <c r="T2" s="3237"/>
      <c r="U2" s="3237"/>
      <c r="V2" s="3237"/>
      <c r="W2" s="3237"/>
      <c r="X2" s="3237"/>
      <c r="Y2" s="3237"/>
      <c r="Z2" s="3237"/>
      <c r="AA2" s="3237"/>
      <c r="AB2" s="3237"/>
      <c r="AC2" s="3237"/>
      <c r="AD2" s="3237"/>
      <c r="AE2" s="3237"/>
      <c r="AF2" s="3237"/>
      <c r="AG2" s="3237"/>
      <c r="AH2" s="3237"/>
      <c r="AI2" s="3237"/>
      <c r="AJ2" s="3237"/>
      <c r="AK2" s="3237"/>
      <c r="AL2" s="3237"/>
      <c r="AM2" s="3237"/>
      <c r="AN2" s="3237"/>
      <c r="AO2" s="3237"/>
      <c r="AP2" s="3237"/>
      <c r="AQ2" s="3237"/>
      <c r="AR2" s="3237"/>
      <c r="AS2" s="3237"/>
      <c r="AT2" s="3237"/>
      <c r="AU2" s="3237"/>
      <c r="AV2" s="3237"/>
      <c r="AW2" s="3237"/>
      <c r="AX2" s="3237"/>
      <c r="AY2" s="3297" t="s">
        <v>524</v>
      </c>
      <c r="AZ2" s="3298" t="s">
        <v>525</v>
      </c>
      <c r="BA2" s="1431" t="s">
        <v>526</v>
      </c>
      <c r="BB2" s="3237"/>
      <c r="BC2" s="3237"/>
      <c r="BD2" s="3237"/>
      <c r="BE2" s="3237"/>
      <c r="BF2" s="3237"/>
      <c r="BG2" s="3237"/>
      <c r="BH2" s="3237"/>
      <c r="BI2" s="3237"/>
      <c r="BJ2" s="3237"/>
      <c r="BK2" s="3237"/>
      <c r="BL2" s="3237"/>
      <c r="BM2" s="3237"/>
      <c r="BN2" s="3237"/>
      <c r="BO2" s="3237"/>
      <c r="BP2" s="3237"/>
      <c r="BQ2" s="3237"/>
      <c r="BR2" s="3237"/>
      <c r="BS2" s="3237"/>
      <c r="BT2" s="3237"/>
    </row>
    <row r="3" s="3229" customFormat="1" ht="13" spans="1:72">
      <c r="A3" s="3238"/>
      <c r="B3" s="3239">
        <f>IF(C3="否",G5-AT5,G5)</f>
        <v>3013</v>
      </c>
      <c r="C3" s="3240" t="s">
        <v>527</v>
      </c>
      <c r="D3" s="3237"/>
      <c r="E3" s="3237"/>
      <c r="F3" s="3237"/>
      <c r="G3" s="3237"/>
      <c r="H3" s="3237"/>
      <c r="I3" s="3237"/>
      <c r="J3" s="3237"/>
      <c r="K3" s="3237"/>
      <c r="L3" s="3237"/>
      <c r="M3" s="3237"/>
      <c r="N3" s="3237"/>
      <c r="O3" s="3237"/>
      <c r="P3" s="3237"/>
      <c r="Q3" s="3237"/>
      <c r="R3" s="3237"/>
      <c r="S3" s="3237"/>
      <c r="T3" s="3237"/>
      <c r="U3" s="3237"/>
      <c r="V3" s="3237"/>
      <c r="W3" s="3237"/>
      <c r="X3" s="3237"/>
      <c r="Y3" s="3237"/>
      <c r="Z3" s="3237"/>
      <c r="AA3" s="3237"/>
      <c r="AB3" s="3237"/>
      <c r="AC3" s="3237"/>
      <c r="AD3" s="3237"/>
      <c r="AE3" s="3237"/>
      <c r="AF3" s="3237"/>
      <c r="AG3" s="3237"/>
      <c r="AH3" s="3237"/>
      <c r="AI3" s="3237"/>
      <c r="AJ3" s="3237"/>
      <c r="AK3" s="3237"/>
      <c r="AL3" s="3237"/>
      <c r="AM3" s="3237"/>
      <c r="AN3" s="3237"/>
      <c r="AO3" s="3237"/>
      <c r="AP3" s="3237"/>
      <c r="AQ3" s="3237"/>
      <c r="AR3" s="3237"/>
      <c r="AS3" s="3237"/>
      <c r="AT3" s="3237"/>
      <c r="AU3" s="3237"/>
      <c r="AV3" s="3237"/>
      <c r="AW3" s="3237"/>
      <c r="AX3" s="3237"/>
      <c r="AY3" s="3299"/>
      <c r="AZ3" s="3258"/>
      <c r="BA3" s="3300"/>
      <c r="BB3" s="3237"/>
      <c r="BC3" s="3237"/>
      <c r="BD3" s="3237"/>
      <c r="BE3" s="3237"/>
      <c r="BF3" s="3237"/>
      <c r="BG3" s="3237"/>
      <c r="BH3" s="3237"/>
      <c r="BI3" s="3237"/>
      <c r="BJ3" s="3237"/>
      <c r="BK3" s="3237"/>
      <c r="BL3" s="3237"/>
      <c r="BM3" s="3237"/>
      <c r="BN3" s="3237"/>
      <c r="BO3" s="3237"/>
      <c r="BP3" s="3237"/>
      <c r="BQ3" s="3237"/>
      <c r="BR3" s="3237"/>
      <c r="BS3" s="3237"/>
      <c r="BT3" s="3237"/>
    </row>
    <row r="4" s="3230" customFormat="1" ht="13.25" spans="1:72">
      <c r="A4" s="3241"/>
      <c r="B4" s="3242"/>
      <c r="C4" s="3243"/>
      <c r="D4" s="3237"/>
      <c r="E4" s="3237"/>
      <c r="F4" s="3237"/>
      <c r="G4" s="3237"/>
      <c r="H4" s="3237"/>
      <c r="I4" s="3237"/>
      <c r="J4" s="3237"/>
      <c r="K4" s="3237"/>
      <c r="L4" s="3237"/>
      <c r="M4" s="3237"/>
      <c r="N4" s="3237"/>
      <c r="O4" s="3237"/>
      <c r="P4" s="3237"/>
      <c r="Q4" s="3237"/>
      <c r="R4" s="3237"/>
      <c r="S4" s="3237"/>
      <c r="T4" s="3237"/>
      <c r="U4" s="3237"/>
      <c r="V4" s="3237"/>
      <c r="W4" s="3237"/>
      <c r="X4" s="3237"/>
      <c r="Y4" s="3237"/>
      <c r="Z4" s="3237"/>
      <c r="AA4" s="3237"/>
      <c r="AB4" s="3237"/>
      <c r="AC4" s="3237"/>
      <c r="AD4" s="3237"/>
      <c r="AE4" s="3237"/>
      <c r="AF4" s="3237"/>
      <c r="AG4" s="3237"/>
      <c r="AH4" s="3237"/>
      <c r="AI4" s="3237"/>
      <c r="AJ4" s="3237"/>
      <c r="AK4" s="3237"/>
      <c r="AL4" s="3237"/>
      <c r="AM4" s="3237"/>
      <c r="AN4" s="3237"/>
      <c r="AO4" s="3237"/>
      <c r="AP4" s="3237"/>
      <c r="AQ4" s="3237"/>
      <c r="AR4" s="3237"/>
      <c r="AS4" s="3237"/>
      <c r="AT4" s="3237"/>
      <c r="AU4" s="3237"/>
      <c r="AV4" s="3237"/>
      <c r="AW4" s="3237"/>
      <c r="AX4" s="3237"/>
      <c r="AY4" s="3237"/>
      <c r="AZ4" s="3237"/>
      <c r="BA4" s="3301"/>
      <c r="BB4" s="3237"/>
      <c r="BC4" s="3237"/>
      <c r="BD4" s="3237"/>
      <c r="BE4" s="3237"/>
      <c r="BF4" s="3237"/>
      <c r="BG4" s="3237"/>
      <c r="BH4" s="3237"/>
      <c r="BI4" s="3237"/>
      <c r="BJ4" s="3237"/>
      <c r="BK4" s="3237"/>
      <c r="BL4" s="3237"/>
      <c r="BM4" s="3237"/>
      <c r="BN4" s="3237"/>
      <c r="BO4" s="3237"/>
      <c r="BP4" s="3237"/>
      <c r="BQ4" s="3237"/>
      <c r="BR4" s="3237"/>
      <c r="BS4" s="3237"/>
      <c r="BT4" s="3237"/>
    </row>
    <row r="5" s="3229" customFormat="1" ht="13" spans="1:72">
      <c r="A5" s="2275" t="s">
        <v>528</v>
      </c>
      <c r="B5" s="2509"/>
      <c r="C5" s="2509"/>
      <c r="D5" s="2662"/>
      <c r="E5" s="3244" t="s">
        <v>124</v>
      </c>
      <c r="F5" s="3244">
        <f>SUM(F13:F587)</f>
        <v>0</v>
      </c>
      <c r="G5" s="3244">
        <f>SUM(G13:G587)</f>
        <v>3013</v>
      </c>
      <c r="H5" s="3244">
        <f t="shared" ref="H5:AT5" si="0">SUM(H13:H656)</f>
        <v>3013</v>
      </c>
      <c r="I5" s="3244">
        <f t="shared" si="0"/>
        <v>3013</v>
      </c>
      <c r="J5" s="3244">
        <f t="shared" si="0"/>
        <v>0</v>
      </c>
      <c r="K5" s="3244">
        <f t="shared" si="0"/>
        <v>0</v>
      </c>
      <c r="L5" s="3244">
        <f t="shared" si="0"/>
        <v>0</v>
      </c>
      <c r="M5" s="3244">
        <f t="shared" si="0"/>
        <v>0</v>
      </c>
      <c r="N5" s="3244">
        <f t="shared" si="0"/>
        <v>0</v>
      </c>
      <c r="O5" s="3244">
        <f t="shared" si="0"/>
        <v>0</v>
      </c>
      <c r="P5" s="3244">
        <f t="shared" si="0"/>
        <v>0</v>
      </c>
      <c r="Q5" s="3244">
        <f t="shared" si="0"/>
        <v>0</v>
      </c>
      <c r="R5" s="3244">
        <f t="shared" si="0"/>
        <v>0</v>
      </c>
      <c r="S5" s="3244">
        <f t="shared" si="0"/>
        <v>0</v>
      </c>
      <c r="T5" s="3244">
        <f t="shared" si="0"/>
        <v>0</v>
      </c>
      <c r="U5" s="3244">
        <f t="shared" si="0"/>
        <v>0</v>
      </c>
      <c r="V5" s="3244">
        <f t="shared" si="0"/>
        <v>0</v>
      </c>
      <c r="W5" s="3244">
        <f t="shared" si="0"/>
        <v>0</v>
      </c>
      <c r="X5" s="3244">
        <f t="shared" si="0"/>
        <v>0</v>
      </c>
      <c r="Y5" s="3244">
        <f t="shared" si="0"/>
        <v>0</v>
      </c>
      <c r="Z5" s="3244">
        <f t="shared" si="0"/>
        <v>0</v>
      </c>
      <c r="AA5" s="3244">
        <f t="shared" si="0"/>
        <v>0</v>
      </c>
      <c r="AB5" s="3244">
        <f t="shared" si="0"/>
        <v>0</v>
      </c>
      <c r="AC5" s="3244">
        <f t="shared" si="0"/>
        <v>0</v>
      </c>
      <c r="AD5" s="3244">
        <f t="shared" si="0"/>
        <v>0</v>
      </c>
      <c r="AE5" s="3244">
        <f t="shared" si="0"/>
        <v>0</v>
      </c>
      <c r="AF5" s="3244">
        <f t="shared" si="0"/>
        <v>0</v>
      </c>
      <c r="AG5" s="3244">
        <f t="shared" si="0"/>
        <v>0</v>
      </c>
      <c r="AH5" s="3244">
        <f t="shared" si="0"/>
        <v>0</v>
      </c>
      <c r="AI5" s="3244">
        <f t="shared" si="0"/>
        <v>0</v>
      </c>
      <c r="AJ5" s="3244">
        <f t="shared" si="0"/>
        <v>0</v>
      </c>
      <c r="AK5" s="3244">
        <f t="shared" si="0"/>
        <v>0</v>
      </c>
      <c r="AL5" s="3244">
        <f t="shared" si="0"/>
        <v>0</v>
      </c>
      <c r="AM5" s="3244">
        <f t="shared" si="0"/>
        <v>0</v>
      </c>
      <c r="AN5" s="3244">
        <f t="shared" si="0"/>
        <v>0</v>
      </c>
      <c r="AO5" s="3244">
        <f t="shared" si="0"/>
        <v>0</v>
      </c>
      <c r="AP5" s="3244">
        <f t="shared" si="0"/>
        <v>0</v>
      </c>
      <c r="AQ5" s="3244">
        <f t="shared" si="0"/>
        <v>0</v>
      </c>
      <c r="AR5" s="3244">
        <f t="shared" si="0"/>
        <v>0</v>
      </c>
      <c r="AS5" s="3244">
        <f t="shared" si="0"/>
        <v>0</v>
      </c>
      <c r="AT5" s="3244">
        <f t="shared" si="0"/>
        <v>0</v>
      </c>
      <c r="AU5" s="2508"/>
      <c r="AV5" s="2275" t="s">
        <v>528</v>
      </c>
      <c r="AW5" s="2509"/>
      <c r="AX5" s="2509"/>
      <c r="AY5" s="3302" t="s">
        <v>124</v>
      </c>
      <c r="AZ5" s="3303">
        <f t="shared" ref="AZ5:BT5" si="1">SUM(AZ13:AZ656)</f>
        <v>3013</v>
      </c>
      <c r="BA5" s="3303">
        <f t="shared" si="1"/>
        <v>3013</v>
      </c>
      <c r="BB5" s="3303">
        <f t="shared" si="1"/>
        <v>3013</v>
      </c>
      <c r="BC5" s="3303">
        <f t="shared" si="1"/>
        <v>0</v>
      </c>
      <c r="BD5" s="3303">
        <f t="shared" si="1"/>
        <v>0</v>
      </c>
      <c r="BE5" s="3303">
        <f t="shared" si="1"/>
        <v>0</v>
      </c>
      <c r="BF5" s="3303">
        <f t="shared" si="1"/>
        <v>0</v>
      </c>
      <c r="BG5" s="3303">
        <f t="shared" si="1"/>
        <v>0</v>
      </c>
      <c r="BH5" s="3303">
        <f t="shared" si="1"/>
        <v>0</v>
      </c>
      <c r="BI5" s="3303">
        <f t="shared" si="1"/>
        <v>0</v>
      </c>
      <c r="BJ5" s="3303">
        <f t="shared" si="1"/>
        <v>0</v>
      </c>
      <c r="BK5" s="3303">
        <f t="shared" si="1"/>
        <v>0</v>
      </c>
      <c r="BL5" s="3303">
        <f t="shared" si="1"/>
        <v>0</v>
      </c>
      <c r="BM5" s="3303">
        <f t="shared" si="1"/>
        <v>0</v>
      </c>
      <c r="BN5" s="3303">
        <f t="shared" si="1"/>
        <v>0</v>
      </c>
      <c r="BO5" s="3303">
        <f t="shared" si="1"/>
        <v>0</v>
      </c>
      <c r="BP5" s="3303">
        <f t="shared" si="1"/>
        <v>0</v>
      </c>
      <c r="BQ5" s="3303">
        <f t="shared" si="1"/>
        <v>0</v>
      </c>
      <c r="BR5" s="3303">
        <f t="shared" si="1"/>
        <v>0</v>
      </c>
      <c r="BS5" s="3303">
        <f t="shared" si="1"/>
        <v>0</v>
      </c>
      <c r="BT5" s="3312">
        <f t="shared" si="1"/>
        <v>0</v>
      </c>
    </row>
    <row r="6" s="3231" customFormat="1" ht="13" spans="1:72">
      <c r="A6" s="2275" t="s">
        <v>529</v>
      </c>
      <c r="B6" s="3245"/>
      <c r="C6" s="3245"/>
      <c r="D6" s="3246"/>
      <c r="E6" s="3244">
        <f>H6+AC6+AT6</f>
        <v>0</v>
      </c>
      <c r="F6" s="3244" t="s">
        <v>124</v>
      </c>
      <c r="G6" s="3244" t="s">
        <v>124</v>
      </c>
      <c r="H6" s="3247">
        <f>SUMIF(I$12:AB$12,"总值",I6:AB6)</f>
        <v>0</v>
      </c>
      <c r="I6" s="3244">
        <f t="shared" ref="I6:AB6" si="2">ROUND($A$3*I5/$B$3,2)</f>
        <v>0</v>
      </c>
      <c r="J6" s="3244">
        <f t="shared" si="2"/>
        <v>0</v>
      </c>
      <c r="K6" s="3244">
        <f t="shared" si="2"/>
        <v>0</v>
      </c>
      <c r="L6" s="3244">
        <f t="shared" si="2"/>
        <v>0</v>
      </c>
      <c r="M6" s="3244">
        <f t="shared" si="2"/>
        <v>0</v>
      </c>
      <c r="N6" s="3244">
        <f t="shared" si="2"/>
        <v>0</v>
      </c>
      <c r="O6" s="3244">
        <f t="shared" si="2"/>
        <v>0</v>
      </c>
      <c r="P6" s="3244">
        <f t="shared" si="2"/>
        <v>0</v>
      </c>
      <c r="Q6" s="3244">
        <f t="shared" si="2"/>
        <v>0</v>
      </c>
      <c r="R6" s="3244">
        <f t="shared" si="2"/>
        <v>0</v>
      </c>
      <c r="S6" s="3244">
        <f t="shared" si="2"/>
        <v>0</v>
      </c>
      <c r="T6" s="3244">
        <f t="shared" si="2"/>
        <v>0</v>
      </c>
      <c r="U6" s="3244">
        <f t="shared" si="2"/>
        <v>0</v>
      </c>
      <c r="V6" s="3244">
        <f t="shared" si="2"/>
        <v>0</v>
      </c>
      <c r="W6" s="3244">
        <f t="shared" si="2"/>
        <v>0</v>
      </c>
      <c r="X6" s="3244">
        <f t="shared" si="2"/>
        <v>0</v>
      </c>
      <c r="Y6" s="3244">
        <f t="shared" si="2"/>
        <v>0</v>
      </c>
      <c r="Z6" s="3244">
        <f t="shared" si="2"/>
        <v>0</v>
      </c>
      <c r="AA6" s="3244">
        <f t="shared" si="2"/>
        <v>0</v>
      </c>
      <c r="AB6" s="3244">
        <f t="shared" si="2"/>
        <v>0</v>
      </c>
      <c r="AC6" s="3247">
        <f>SUMIF(AD$12:AS$12,"总值",AD6:AS6)</f>
        <v>0</v>
      </c>
      <c r="AD6" s="3244">
        <f t="shared" ref="AD6:AS6" si="3">ROUND($A$3*AD5/$B$3,2)</f>
        <v>0</v>
      </c>
      <c r="AE6" s="3244">
        <f t="shared" si="3"/>
        <v>0</v>
      </c>
      <c r="AF6" s="3244">
        <f t="shared" si="3"/>
        <v>0</v>
      </c>
      <c r="AG6" s="3244">
        <f t="shared" si="3"/>
        <v>0</v>
      </c>
      <c r="AH6" s="3244">
        <f t="shared" si="3"/>
        <v>0</v>
      </c>
      <c r="AI6" s="3244">
        <f t="shared" si="3"/>
        <v>0</v>
      </c>
      <c r="AJ6" s="3244">
        <f t="shared" si="3"/>
        <v>0</v>
      </c>
      <c r="AK6" s="3244">
        <f t="shared" si="3"/>
        <v>0</v>
      </c>
      <c r="AL6" s="3244">
        <f t="shared" si="3"/>
        <v>0</v>
      </c>
      <c r="AM6" s="3244">
        <f t="shared" si="3"/>
        <v>0</v>
      </c>
      <c r="AN6" s="3244">
        <f t="shared" si="3"/>
        <v>0</v>
      </c>
      <c r="AO6" s="3244">
        <f t="shared" si="3"/>
        <v>0</v>
      </c>
      <c r="AP6" s="3244">
        <f t="shared" si="3"/>
        <v>0</v>
      </c>
      <c r="AQ6" s="3244">
        <f t="shared" si="3"/>
        <v>0</v>
      </c>
      <c r="AR6" s="3244">
        <f t="shared" si="3"/>
        <v>0</v>
      </c>
      <c r="AS6" s="3244">
        <f t="shared" si="3"/>
        <v>0</v>
      </c>
      <c r="AT6" s="3247">
        <f>IF(C3="是",ROUND($A$3*AT5/$B$3,2),0)</f>
        <v>0</v>
      </c>
      <c r="AU6" s="3288"/>
      <c r="AV6" s="2275" t="s">
        <v>529</v>
      </c>
      <c r="AW6" s="3245"/>
      <c r="AX6" s="3245"/>
      <c r="AY6" s="3304">
        <f>IF(AY3&gt;0,AY3,ROUND($A$3*AZ5/$B$3,2))</f>
        <v>0</v>
      </c>
      <c r="AZ6" s="3244" t="s">
        <v>124</v>
      </c>
      <c r="BA6" s="3244">
        <f>ROUND($AY$6*BA5/$AZ$5,2)</f>
        <v>0</v>
      </c>
      <c r="BB6" s="3244">
        <f>ROUND($AY$6*BB5/$AZ$5,2)</f>
        <v>0</v>
      </c>
      <c r="BC6" s="3244">
        <f t="shared" ref="BC6:BH6" si="4">ROUND($AY$6*BC5/$AZ$5,2)</f>
        <v>0</v>
      </c>
      <c r="BD6" s="3244">
        <f t="shared" si="4"/>
        <v>0</v>
      </c>
      <c r="BE6" s="3244">
        <f t="shared" si="4"/>
        <v>0</v>
      </c>
      <c r="BF6" s="3244">
        <f t="shared" si="4"/>
        <v>0</v>
      </c>
      <c r="BG6" s="3244">
        <f t="shared" si="4"/>
        <v>0</v>
      </c>
      <c r="BH6" s="3244">
        <f t="shared" si="4"/>
        <v>0</v>
      </c>
      <c r="BI6" s="3244">
        <f t="shared" ref="BI6:BT6" si="5">ROUND($AY$6*BI5/$AZ$5,2)</f>
        <v>0</v>
      </c>
      <c r="BJ6" s="3244">
        <f t="shared" si="5"/>
        <v>0</v>
      </c>
      <c r="BK6" s="3244">
        <f t="shared" si="5"/>
        <v>0</v>
      </c>
      <c r="BL6" s="3244">
        <f t="shared" si="5"/>
        <v>0</v>
      </c>
      <c r="BM6" s="3244">
        <f t="shared" si="5"/>
        <v>0</v>
      </c>
      <c r="BN6" s="3244">
        <f t="shared" si="5"/>
        <v>0</v>
      </c>
      <c r="BO6" s="3244">
        <f t="shared" si="5"/>
        <v>0</v>
      </c>
      <c r="BP6" s="3244">
        <f t="shared" si="5"/>
        <v>0</v>
      </c>
      <c r="BQ6" s="3244">
        <f t="shared" si="5"/>
        <v>0</v>
      </c>
      <c r="BR6" s="3244">
        <f t="shared" si="5"/>
        <v>0</v>
      </c>
      <c r="BS6" s="3244">
        <f t="shared" si="5"/>
        <v>0</v>
      </c>
      <c r="BT6" s="3313">
        <f t="shared" si="5"/>
        <v>0</v>
      </c>
    </row>
    <row r="7" s="3229" customFormat="1" ht="26" spans="1:72">
      <c r="A7" s="3248" t="s">
        <v>530</v>
      </c>
      <c r="B7" s="3248" t="s">
        <v>531</v>
      </c>
      <c r="C7" s="3248" t="s">
        <v>504</v>
      </c>
      <c r="D7" s="3248" t="s">
        <v>532</v>
      </c>
      <c r="E7" s="3248" t="s">
        <v>529</v>
      </c>
      <c r="F7" s="3248" t="s">
        <v>533</v>
      </c>
      <c r="G7" s="2622" t="s">
        <v>534</v>
      </c>
      <c r="H7" s="3249"/>
      <c r="I7" s="3249"/>
      <c r="J7" s="3249"/>
      <c r="K7" s="3249"/>
      <c r="L7" s="3249"/>
      <c r="M7" s="3249"/>
      <c r="N7" s="3249"/>
      <c r="O7" s="3249"/>
      <c r="P7" s="3249"/>
      <c r="Q7" s="3249"/>
      <c r="R7" s="3249"/>
      <c r="S7" s="3249"/>
      <c r="T7" s="3249"/>
      <c r="U7" s="3249"/>
      <c r="V7" s="3249"/>
      <c r="W7" s="3249"/>
      <c r="X7" s="3249"/>
      <c r="Y7" s="3249"/>
      <c r="Z7" s="3249"/>
      <c r="AA7" s="3249"/>
      <c r="AB7" s="3249"/>
      <c r="AC7" s="3249"/>
      <c r="AD7" s="3249"/>
      <c r="AE7" s="3249"/>
      <c r="AF7" s="3249"/>
      <c r="AG7" s="3249"/>
      <c r="AH7" s="3249"/>
      <c r="AI7" s="3249"/>
      <c r="AJ7" s="3249"/>
      <c r="AK7" s="3249"/>
      <c r="AL7" s="3249"/>
      <c r="AM7" s="3249"/>
      <c r="AN7" s="3249"/>
      <c r="AO7" s="3249"/>
      <c r="AP7" s="3249"/>
      <c r="AQ7" s="3249"/>
      <c r="AR7" s="3249"/>
      <c r="AS7" s="3249"/>
      <c r="AT7" s="2662"/>
      <c r="AU7" s="3249" t="s">
        <v>535</v>
      </c>
      <c r="AV7" s="3289" t="s">
        <v>530</v>
      </c>
      <c r="AW7" s="2648" t="s">
        <v>531</v>
      </c>
      <c r="AX7" s="3289" t="s">
        <v>504</v>
      </c>
      <c r="AY7" s="2509" t="s">
        <v>536</v>
      </c>
      <c r="AZ7" s="3280"/>
      <c r="BA7" s="3249"/>
      <c r="BB7" s="3249"/>
      <c r="BC7" s="3249"/>
      <c r="BD7" s="3249"/>
      <c r="BE7" s="3249"/>
      <c r="BF7" s="3249"/>
      <c r="BG7" s="3249"/>
      <c r="BH7" s="3249"/>
      <c r="BI7" s="3249"/>
      <c r="BJ7" s="3249"/>
      <c r="BK7" s="3249"/>
      <c r="BL7" s="3249"/>
      <c r="BM7" s="3249"/>
      <c r="BN7" s="3249"/>
      <c r="BO7" s="3249"/>
      <c r="BP7" s="3249"/>
      <c r="BQ7" s="3249"/>
      <c r="BR7" s="3249"/>
      <c r="BS7" s="3249"/>
      <c r="BT7" s="3314"/>
    </row>
    <row r="8" s="2940" customFormat="1" ht="26" spans="1:72">
      <c r="A8" s="3250"/>
      <c r="B8" s="3250"/>
      <c r="C8" s="3250"/>
      <c r="D8" s="3250"/>
      <c r="E8" s="3250"/>
      <c r="F8" s="3250"/>
      <c r="G8" s="3251" t="s">
        <v>537</v>
      </c>
      <c r="H8" s="3252" t="s">
        <v>538</v>
      </c>
      <c r="I8" s="3269"/>
      <c r="J8" s="1430"/>
      <c r="K8" s="1430"/>
      <c r="L8" s="1430"/>
      <c r="M8" s="1430"/>
      <c r="N8" s="1430"/>
      <c r="O8" s="1430"/>
      <c r="P8" s="1430"/>
      <c r="Q8" s="1430"/>
      <c r="R8" s="1430"/>
      <c r="S8" s="1430"/>
      <c r="T8" s="1430"/>
      <c r="U8" s="1430"/>
      <c r="V8" s="3276"/>
      <c r="W8" s="1430"/>
      <c r="X8" s="1430"/>
      <c r="Y8" s="1430"/>
      <c r="Z8" s="1430"/>
      <c r="AA8" s="3276"/>
      <c r="AB8" s="3278"/>
      <c r="AC8" s="2427" t="s">
        <v>539</v>
      </c>
      <c r="AD8" s="3279"/>
      <c r="AE8" s="3280"/>
      <c r="AF8" s="1430"/>
      <c r="AG8" s="1430"/>
      <c r="AH8" s="1430"/>
      <c r="AI8" s="1430"/>
      <c r="AJ8" s="1430"/>
      <c r="AK8" s="1430"/>
      <c r="AL8" s="1430"/>
      <c r="AM8" s="1430"/>
      <c r="AN8" s="1430"/>
      <c r="AO8" s="1430"/>
      <c r="AP8" s="1430"/>
      <c r="AQ8" s="1430"/>
      <c r="AR8" s="1430"/>
      <c r="AS8" s="1430"/>
      <c r="AT8" s="2111" t="s">
        <v>540</v>
      </c>
      <c r="AU8" s="3250" t="s">
        <v>541</v>
      </c>
      <c r="AV8" s="2111"/>
      <c r="AW8" s="2596"/>
      <c r="AX8" s="2111"/>
      <c r="AY8" s="2648" t="s">
        <v>529</v>
      </c>
      <c r="AZ8" s="1429" t="s">
        <v>456</v>
      </c>
      <c r="BA8" s="1430"/>
      <c r="BB8" s="1430"/>
      <c r="BC8" s="1430"/>
      <c r="BD8" s="1430"/>
      <c r="BE8" s="1430"/>
      <c r="BF8" s="1430"/>
      <c r="BG8" s="1430"/>
      <c r="BH8" s="1430"/>
      <c r="BI8" s="1430"/>
      <c r="BJ8" s="1430"/>
      <c r="BK8" s="1430"/>
      <c r="BL8" s="1430"/>
      <c r="BM8" s="1430"/>
      <c r="BN8" s="1430"/>
      <c r="BO8" s="1430"/>
      <c r="BP8" s="1430"/>
      <c r="BQ8" s="1430"/>
      <c r="BR8" s="1430"/>
      <c r="BS8" s="1430"/>
      <c r="BT8" s="2160"/>
    </row>
    <row r="9" s="2940" customFormat="1" ht="13" spans="1:72">
      <c r="A9" s="3250"/>
      <c r="B9" s="3250"/>
      <c r="C9" s="3250"/>
      <c r="D9" s="3250"/>
      <c r="E9" s="3250"/>
      <c r="F9" s="3250"/>
      <c r="G9" s="2111"/>
      <c r="H9" s="3253" t="s">
        <v>542</v>
      </c>
      <c r="I9" s="3270" t="s">
        <v>543</v>
      </c>
      <c r="J9" s="2427"/>
      <c r="K9" s="3270"/>
      <c r="L9" s="2427"/>
      <c r="M9" s="3270"/>
      <c r="N9" s="2427"/>
      <c r="O9" s="3270"/>
      <c r="P9" s="2427"/>
      <c r="Q9" s="3270"/>
      <c r="R9" s="2427"/>
      <c r="S9" s="3270"/>
      <c r="T9" s="2427"/>
      <c r="U9" s="3270"/>
      <c r="V9" s="2427"/>
      <c r="W9" s="3270"/>
      <c r="X9" s="3277"/>
      <c r="Y9" s="3270"/>
      <c r="Z9" s="2427"/>
      <c r="AA9" s="3270"/>
      <c r="AB9" s="2427"/>
      <c r="AC9" s="3251" t="s">
        <v>542</v>
      </c>
      <c r="AD9" s="2275" t="s">
        <v>544</v>
      </c>
      <c r="AE9" s="2125"/>
      <c r="AF9" s="2275" t="s">
        <v>545</v>
      </c>
      <c r="AG9" s="2125"/>
      <c r="AH9" s="2275" t="s">
        <v>544</v>
      </c>
      <c r="AI9" s="2125"/>
      <c r="AJ9" s="2275" t="s">
        <v>545</v>
      </c>
      <c r="AK9" s="2125"/>
      <c r="AL9" s="2275" t="s">
        <v>544</v>
      </c>
      <c r="AM9" s="2125"/>
      <c r="AN9" s="2275" t="s">
        <v>545</v>
      </c>
      <c r="AO9" s="2125"/>
      <c r="AP9" s="2275" t="s">
        <v>544</v>
      </c>
      <c r="AQ9" s="2125"/>
      <c r="AR9" s="2275" t="s">
        <v>545</v>
      </c>
      <c r="AS9" s="3290"/>
      <c r="AT9" s="3250"/>
      <c r="AU9" s="3250" t="s">
        <v>546</v>
      </c>
      <c r="AV9" s="2111"/>
      <c r="AW9" s="2596"/>
      <c r="AX9" s="2111"/>
      <c r="AY9" s="3254"/>
      <c r="AZ9" s="3254" t="s">
        <v>537</v>
      </c>
      <c r="BA9" s="3305" t="s">
        <v>547</v>
      </c>
      <c r="BB9" s="3306"/>
      <c r="BC9" s="2172"/>
      <c r="BD9" s="2172"/>
      <c r="BE9" s="2172"/>
      <c r="BF9" s="2172"/>
      <c r="BG9" s="2172"/>
      <c r="BH9" s="2172"/>
      <c r="BI9" s="2172"/>
      <c r="BJ9" s="2172"/>
      <c r="BK9" s="3311"/>
      <c r="BL9" s="2275" t="s">
        <v>548</v>
      </c>
      <c r="BM9" s="1430"/>
      <c r="BN9" s="3269"/>
      <c r="BO9" s="1430"/>
      <c r="BP9" s="1430"/>
      <c r="BQ9" s="1430"/>
      <c r="BR9" s="1430"/>
      <c r="BS9" s="1430"/>
      <c r="BT9" s="2160"/>
    </row>
    <row r="10" s="2940" customFormat="1" ht="13" spans="1:72">
      <c r="A10" s="3250"/>
      <c r="B10" s="3250"/>
      <c r="C10" s="3250"/>
      <c r="D10" s="3250"/>
      <c r="E10" s="3250"/>
      <c r="F10" s="3250"/>
      <c r="G10" s="2111"/>
      <c r="H10" s="3254"/>
      <c r="I10" s="3270" t="s">
        <v>408</v>
      </c>
      <c r="J10" s="2427"/>
      <c r="K10" s="3271"/>
      <c r="L10" s="2427"/>
      <c r="M10" s="3271"/>
      <c r="N10" s="2427"/>
      <c r="O10" s="3271"/>
      <c r="P10" s="2427"/>
      <c r="Q10" s="3271"/>
      <c r="R10" s="2427"/>
      <c r="S10" s="3271"/>
      <c r="T10" s="2427"/>
      <c r="U10" s="3271"/>
      <c r="V10" s="2427"/>
      <c r="W10" s="3271"/>
      <c r="X10" s="2427"/>
      <c r="Y10" s="3271"/>
      <c r="Z10" s="2427"/>
      <c r="AA10" s="3271"/>
      <c r="AB10" s="2427"/>
      <c r="AC10" s="2111"/>
      <c r="AD10" s="2275" t="s">
        <v>549</v>
      </c>
      <c r="AE10" s="3281"/>
      <c r="AF10" s="2275" t="s">
        <v>549</v>
      </c>
      <c r="AG10" s="3281"/>
      <c r="AH10" s="2275" t="s">
        <v>550</v>
      </c>
      <c r="AI10" s="3281"/>
      <c r="AJ10" s="2275" t="s">
        <v>550</v>
      </c>
      <c r="AK10" s="3281"/>
      <c r="AL10" s="2275" t="s">
        <v>551</v>
      </c>
      <c r="AM10" s="2125"/>
      <c r="AN10" s="2275" t="s">
        <v>551</v>
      </c>
      <c r="AO10" s="2125"/>
      <c r="AP10" s="2275" t="s">
        <v>552</v>
      </c>
      <c r="AQ10" s="2125"/>
      <c r="AR10" s="2275" t="s">
        <v>552</v>
      </c>
      <c r="AS10" s="2125"/>
      <c r="AT10" s="3250"/>
      <c r="AU10" s="3250"/>
      <c r="AV10" s="2111"/>
      <c r="AW10" s="2596"/>
      <c r="AX10" s="2111"/>
      <c r="AY10" s="3254"/>
      <c r="AZ10" s="3254"/>
      <c r="BA10" s="3255" t="s">
        <v>542</v>
      </c>
      <c r="BB10" s="3307" t="str">
        <f>I9</f>
        <v>地上</v>
      </c>
      <c r="BC10" s="2184">
        <f>K9</f>
        <v>0</v>
      </c>
      <c r="BD10" s="2184">
        <f>M9</f>
        <v>0</v>
      </c>
      <c r="BE10" s="2184">
        <f>O9</f>
        <v>0</v>
      </c>
      <c r="BF10" s="2184">
        <f>Q9</f>
        <v>0</v>
      </c>
      <c r="BG10" s="2184">
        <f>S9</f>
        <v>0</v>
      </c>
      <c r="BH10" s="2184">
        <f>U9</f>
        <v>0</v>
      </c>
      <c r="BI10" s="2184">
        <f>W9</f>
        <v>0</v>
      </c>
      <c r="BJ10" s="2184">
        <f>Y9</f>
        <v>0</v>
      </c>
      <c r="BK10" s="2184">
        <f>AA9</f>
        <v>0</v>
      </c>
      <c r="BL10" s="2180" t="s">
        <v>542</v>
      </c>
      <c r="BM10" s="1429" t="str">
        <f>AD9</f>
        <v>地上</v>
      </c>
      <c r="BN10" s="2184" t="str">
        <f>AF9</f>
        <v>地下</v>
      </c>
      <c r="BO10" s="1429" t="str">
        <f>AH9</f>
        <v>地上</v>
      </c>
      <c r="BP10" s="2184" t="str">
        <f>AJ9</f>
        <v>地下</v>
      </c>
      <c r="BQ10" s="1429" t="str">
        <f>AL9</f>
        <v>地上</v>
      </c>
      <c r="BR10" s="2184" t="str">
        <f>AN9</f>
        <v>地下</v>
      </c>
      <c r="BS10" s="1429" t="str">
        <f>AP9</f>
        <v>地上</v>
      </c>
      <c r="BT10" s="3315" t="str">
        <f>AR9</f>
        <v>地下</v>
      </c>
    </row>
    <row r="11" s="2940" customFormat="1" ht="13" spans="1:72">
      <c r="A11" s="3250"/>
      <c r="B11" s="3250"/>
      <c r="C11" s="3250"/>
      <c r="D11" s="3250"/>
      <c r="E11" s="3250"/>
      <c r="F11" s="3250"/>
      <c r="G11" s="2111"/>
      <c r="H11" s="3255"/>
      <c r="I11" s="3272" t="s">
        <v>553</v>
      </c>
      <c r="J11" s="3273"/>
      <c r="K11" s="3272"/>
      <c r="L11" s="3273"/>
      <c r="M11" s="3272"/>
      <c r="N11" s="3273"/>
      <c r="O11" s="3272"/>
      <c r="P11" s="3273"/>
      <c r="Q11" s="3272"/>
      <c r="R11" s="3273"/>
      <c r="S11" s="3272"/>
      <c r="T11" s="3273"/>
      <c r="U11" s="3272"/>
      <c r="V11" s="3273"/>
      <c r="W11" s="3272"/>
      <c r="X11" s="3273"/>
      <c r="Y11" s="3272"/>
      <c r="Z11" s="3273"/>
      <c r="AA11" s="3272"/>
      <c r="AB11" s="3273"/>
      <c r="AC11" s="2111"/>
      <c r="AD11" s="3282" t="s">
        <v>554</v>
      </c>
      <c r="AE11" s="1487"/>
      <c r="AF11" s="3282" t="s">
        <v>554</v>
      </c>
      <c r="AG11" s="1487"/>
      <c r="AH11" s="3282" t="s">
        <v>555</v>
      </c>
      <c r="AI11" s="3286"/>
      <c r="AJ11" s="3282" t="s">
        <v>555</v>
      </c>
      <c r="AK11" s="1487"/>
      <c r="AL11" s="1429"/>
      <c r="AM11" s="1487"/>
      <c r="AN11" s="1429"/>
      <c r="AO11" s="1487"/>
      <c r="AP11" s="1429"/>
      <c r="AQ11" s="1487"/>
      <c r="AR11" s="1429"/>
      <c r="AS11" s="1487"/>
      <c r="AT11" s="2596"/>
      <c r="AU11" s="3250"/>
      <c r="AV11" s="2111"/>
      <c r="AW11" s="2596"/>
      <c r="AX11" s="2111"/>
      <c r="AY11" s="3254"/>
      <c r="AZ11" s="3254"/>
      <c r="BA11" s="3254"/>
      <c r="BB11" s="3278" t="str">
        <f>I10</f>
        <v>工业</v>
      </c>
      <c r="BC11" s="3278">
        <f>K10</f>
        <v>0</v>
      </c>
      <c r="BD11" s="3278">
        <f>M10</f>
        <v>0</v>
      </c>
      <c r="BE11" s="3278">
        <f>O10</f>
        <v>0</v>
      </c>
      <c r="BF11" s="3278">
        <f>Q10</f>
        <v>0</v>
      </c>
      <c r="BG11" s="3278">
        <f>S10</f>
        <v>0</v>
      </c>
      <c r="BH11" s="3278">
        <f>U10</f>
        <v>0</v>
      </c>
      <c r="BI11" s="3278">
        <f>W10</f>
        <v>0</v>
      </c>
      <c r="BJ11" s="3278">
        <f>Y10</f>
        <v>0</v>
      </c>
      <c r="BK11" s="3278">
        <f>AA10</f>
        <v>0</v>
      </c>
      <c r="BL11" s="2111"/>
      <c r="BM11" s="1429" t="str">
        <f>AD10</f>
        <v>公共配套设施</v>
      </c>
      <c r="BN11" s="1429" t="str">
        <f>AF10</f>
        <v>公共配套设施</v>
      </c>
      <c r="BO11" s="1428" t="str">
        <f>AH10</f>
        <v>物业管理用房</v>
      </c>
      <c r="BP11" s="1428" t="str">
        <f>AJ10</f>
        <v>物业管理用房</v>
      </c>
      <c r="BQ11" s="1428" t="str">
        <f>AL10</f>
        <v>设备及其他</v>
      </c>
      <c r="BR11" s="1428" t="str">
        <f>AN10</f>
        <v>设备及其他</v>
      </c>
      <c r="BS11" s="2180" t="str">
        <f>AP10</f>
        <v>未注明</v>
      </c>
      <c r="BT11" s="3316" t="str">
        <f>AR10</f>
        <v>未注明</v>
      </c>
    </row>
    <row r="12" s="3229" customFormat="1" ht="13" spans="1:72">
      <c r="A12" s="3256"/>
      <c r="B12" s="3256"/>
      <c r="C12" s="3256"/>
      <c r="D12" s="3256"/>
      <c r="E12" s="3256"/>
      <c r="F12" s="3256"/>
      <c r="G12" s="1018"/>
      <c r="H12" s="3257"/>
      <c r="I12" s="2662" t="s">
        <v>556</v>
      </c>
      <c r="J12" s="1431" t="s">
        <v>557</v>
      </c>
      <c r="K12" s="1431" t="s">
        <v>556</v>
      </c>
      <c r="L12" s="1431" t="s">
        <v>557</v>
      </c>
      <c r="M12" s="1431" t="s">
        <v>556</v>
      </c>
      <c r="N12" s="1431" t="s">
        <v>557</v>
      </c>
      <c r="O12" s="1431" t="s">
        <v>556</v>
      </c>
      <c r="P12" s="1431" t="s">
        <v>557</v>
      </c>
      <c r="Q12" s="1431" t="s">
        <v>556</v>
      </c>
      <c r="R12" s="1431" t="s">
        <v>557</v>
      </c>
      <c r="S12" s="1431" t="s">
        <v>556</v>
      </c>
      <c r="T12" s="1431" t="s">
        <v>557</v>
      </c>
      <c r="U12" s="1431" t="s">
        <v>556</v>
      </c>
      <c r="V12" s="2508" t="s">
        <v>557</v>
      </c>
      <c r="W12" s="1431" t="s">
        <v>556</v>
      </c>
      <c r="X12" s="1431" t="s">
        <v>557</v>
      </c>
      <c r="Y12" s="1431" t="s">
        <v>556</v>
      </c>
      <c r="Z12" s="1431" t="s">
        <v>557</v>
      </c>
      <c r="AA12" s="1431" t="s">
        <v>556</v>
      </c>
      <c r="AB12" s="1431" t="s">
        <v>557</v>
      </c>
      <c r="AC12" s="3283"/>
      <c r="AD12" s="2662" t="s">
        <v>556</v>
      </c>
      <c r="AE12" s="1431" t="s">
        <v>557</v>
      </c>
      <c r="AF12" s="1431" t="s">
        <v>556</v>
      </c>
      <c r="AG12" s="1431" t="s">
        <v>557</v>
      </c>
      <c r="AH12" s="1431" t="s">
        <v>556</v>
      </c>
      <c r="AI12" s="1431" t="s">
        <v>557</v>
      </c>
      <c r="AJ12" s="1431" t="s">
        <v>556</v>
      </c>
      <c r="AK12" s="1431" t="s">
        <v>557</v>
      </c>
      <c r="AL12" s="1431" t="s">
        <v>556</v>
      </c>
      <c r="AM12" s="1431" t="s">
        <v>557</v>
      </c>
      <c r="AN12" s="1431" t="s">
        <v>556</v>
      </c>
      <c r="AO12" s="1431" t="s">
        <v>557</v>
      </c>
      <c r="AP12" s="1431" t="s">
        <v>556</v>
      </c>
      <c r="AQ12" s="1431" t="s">
        <v>557</v>
      </c>
      <c r="AR12" s="1018" t="s">
        <v>556</v>
      </c>
      <c r="AS12" s="3256" t="s">
        <v>557</v>
      </c>
      <c r="AT12" s="3291"/>
      <c r="AU12" s="3256"/>
      <c r="AV12" s="3292"/>
      <c r="AW12" s="2648"/>
      <c r="AX12" s="3292"/>
      <c r="AY12" s="3308"/>
      <c r="AZ12" s="3254"/>
      <c r="BA12" s="3255"/>
      <c r="BB12" s="1428" t="str">
        <f>I11</f>
        <v>办公楼</v>
      </c>
      <c r="BC12" s="3309">
        <f>K11</f>
        <v>0</v>
      </c>
      <c r="BD12" s="3309">
        <f>M11</f>
        <v>0</v>
      </c>
      <c r="BE12" s="3278">
        <f>O11</f>
        <v>0</v>
      </c>
      <c r="BF12" s="3278">
        <f>Q11</f>
        <v>0</v>
      </c>
      <c r="BG12" s="3278">
        <f>S11</f>
        <v>0</v>
      </c>
      <c r="BH12" s="3278">
        <f>U11</f>
        <v>0</v>
      </c>
      <c r="BI12" s="3278">
        <f>W11</f>
        <v>0</v>
      </c>
      <c r="BJ12" s="3278">
        <f>Y11</f>
        <v>0</v>
      </c>
      <c r="BK12" s="3278">
        <f>AA11</f>
        <v>0</v>
      </c>
      <c r="BL12" s="2111"/>
      <c r="BM12" s="1429" t="str">
        <f>AD11</f>
        <v>（住宅）</v>
      </c>
      <c r="BN12" s="1429" t="str">
        <f>AF11</f>
        <v>（住宅）</v>
      </c>
      <c r="BO12" s="1428" t="str">
        <f>AH11</f>
        <v>（住宅、计出让金）</v>
      </c>
      <c r="BP12" s="1428" t="str">
        <f>AJ11</f>
        <v>（住宅、计出让金）</v>
      </c>
      <c r="BQ12" s="1428">
        <f>AL11</f>
        <v>0</v>
      </c>
      <c r="BR12" s="1428">
        <f>AN11</f>
        <v>0</v>
      </c>
      <c r="BS12" s="2180">
        <f>AP11</f>
        <v>0</v>
      </c>
      <c r="BT12" s="3316">
        <f>AR11</f>
        <v>0</v>
      </c>
    </row>
    <row r="13" s="3229" customFormat="1" ht="13" spans="1:72">
      <c r="A13" s="3258"/>
      <c r="B13" s="3258"/>
      <c r="C13" s="3258"/>
      <c r="D13" s="3259" t="s">
        <v>558</v>
      </c>
      <c r="E13" s="3244">
        <f>IF($C$3="是",ROUND($A$3*G13/$B$3,2),ROUND($A$3*(G13-AT13)/$B$3,2))</f>
        <v>0</v>
      </c>
      <c r="F13" s="3260"/>
      <c r="G13" s="3261">
        <f>H13+AC13+AT13</f>
        <v>3013</v>
      </c>
      <c r="H13" s="3247">
        <f>SUMIF(I$12:AB$12,"总值",I13:AB13)</f>
        <v>3013</v>
      </c>
      <c r="I13" s="3274">
        <v>3013</v>
      </c>
      <c r="J13" s="3274"/>
      <c r="K13" s="3274"/>
      <c r="L13" s="3274"/>
      <c r="M13" s="3274"/>
      <c r="N13" s="3274"/>
      <c r="O13" s="3274"/>
      <c r="P13" s="3274"/>
      <c r="Q13" s="3274"/>
      <c r="R13" s="3274"/>
      <c r="S13" s="3274"/>
      <c r="T13" s="3274"/>
      <c r="U13" s="3274"/>
      <c r="V13" s="3274"/>
      <c r="W13" s="3274"/>
      <c r="X13" s="3274"/>
      <c r="Y13" s="3274"/>
      <c r="Z13" s="3274"/>
      <c r="AA13" s="3274"/>
      <c r="AB13" s="3274"/>
      <c r="AC13" s="3244">
        <f>SUMIF(AD$12:AS$12,"总值",AD13:AS13)</f>
        <v>0</v>
      </c>
      <c r="AD13" s="3284"/>
      <c r="AE13" s="3284"/>
      <c r="AF13" s="3284"/>
      <c r="AG13" s="3284"/>
      <c r="AH13" s="3284"/>
      <c r="AI13" s="3284"/>
      <c r="AJ13" s="3284"/>
      <c r="AK13" s="3284"/>
      <c r="AL13" s="3284"/>
      <c r="AM13" s="3284"/>
      <c r="AN13" s="3284"/>
      <c r="AO13" s="3284"/>
      <c r="AP13" s="3284"/>
      <c r="AQ13" s="3284"/>
      <c r="AR13" s="3284"/>
      <c r="AS13" s="3284"/>
      <c r="AT13" s="3293"/>
      <c r="AU13" s="3294"/>
      <c r="AV13" s="1431">
        <f t="shared" ref="AV13:AX17" si="6">A13</f>
        <v>0</v>
      </c>
      <c r="AW13" s="1431">
        <f t="shared" si="6"/>
        <v>0</v>
      </c>
      <c r="AX13" s="1431">
        <f t="shared" si="6"/>
        <v>0</v>
      </c>
      <c r="AY13" s="2662">
        <f>ROUND($AY$6*AZ13/$AZ$5,2)</f>
        <v>0</v>
      </c>
      <c r="AZ13" s="3244">
        <f>BA13+BL13</f>
        <v>3013</v>
      </c>
      <c r="BA13" s="3244">
        <f>SUM(BB13:BK13)</f>
        <v>3013</v>
      </c>
      <c r="BB13" s="3244">
        <f>IF($D13="是",I13-J13,0)</f>
        <v>3013</v>
      </c>
      <c r="BC13" s="3244">
        <f>IF($D13="是",K13-L13,0)</f>
        <v>0</v>
      </c>
      <c r="BD13" s="3244">
        <f>IF($D13="是",M13-N13,0)</f>
        <v>0</v>
      </c>
      <c r="BE13" s="3244">
        <f>IF($D13="是",O13-P13,0)</f>
        <v>0</v>
      </c>
      <c r="BF13" s="3244">
        <f>IF($D13="是",Q13-R13,0)</f>
        <v>0</v>
      </c>
      <c r="BG13" s="3244">
        <f>IF($D13="是",S13-T13,0)</f>
        <v>0</v>
      </c>
      <c r="BH13" s="3244">
        <f>IF($D13="是",U13-V13,0)</f>
        <v>0</v>
      </c>
      <c r="BI13" s="3244">
        <f>IF($D13="是",W13-X13,0)</f>
        <v>0</v>
      </c>
      <c r="BJ13" s="3244">
        <f>IF($D13="是",Y13-Z13,0)</f>
        <v>0</v>
      </c>
      <c r="BK13" s="3244">
        <f>IF($D13="是",AA13-AB13,0)</f>
        <v>0</v>
      </c>
      <c r="BL13" s="3244">
        <f>SUM(BM13:BT13)</f>
        <v>0</v>
      </c>
      <c r="BM13" s="3244">
        <f>IF($D13="是",AD13-AE13,0)</f>
        <v>0</v>
      </c>
      <c r="BN13" s="3244">
        <f>IF($D13="是",AF13-AG13,0)</f>
        <v>0</v>
      </c>
      <c r="BO13" s="3244">
        <f>IF($D13="是",AH13-AI13,0)</f>
        <v>0</v>
      </c>
      <c r="BP13" s="3244">
        <f>IF($D13="是",AJ13-AK13,0)</f>
        <v>0</v>
      </c>
      <c r="BQ13" s="3244">
        <f>IF($D13="是",AL13-AM13,0)</f>
        <v>0</v>
      </c>
      <c r="BR13" s="3244">
        <f>IF($D13="是",AN13-AO13,0)</f>
        <v>0</v>
      </c>
      <c r="BS13" s="3244">
        <f>IF($D13="是",AP13-AQ13,0)</f>
        <v>0</v>
      </c>
      <c r="BT13" s="3313">
        <f>IF($D13="是",AR13-AS13,0)</f>
        <v>0</v>
      </c>
    </row>
    <row r="14" s="3229" customFormat="1" ht="12.5" spans="1:72">
      <c r="A14" s="3258"/>
      <c r="B14" s="3258"/>
      <c r="C14" s="3258"/>
      <c r="D14" s="3259"/>
      <c r="E14" s="3244">
        <f>IF($C$3="是",ROUND($A$3*G14/$B$3,2),ROUND($A$3*(G14-AT14)/$B$3,2))</f>
        <v>0</v>
      </c>
      <c r="F14" s="3260"/>
      <c r="G14" s="3261">
        <f>H14+AC14+AT14</f>
        <v>0</v>
      </c>
      <c r="H14" s="3247">
        <f>SUMIF(I$12:AB$12,"总值",I14:AB14)</f>
        <v>0</v>
      </c>
      <c r="I14" s="3274"/>
      <c r="J14" s="3274"/>
      <c r="K14" s="3274"/>
      <c r="L14" s="3274"/>
      <c r="M14" s="3274"/>
      <c r="N14" s="3274"/>
      <c r="O14" s="3274"/>
      <c r="P14" s="3274"/>
      <c r="Q14" s="3274"/>
      <c r="R14" s="3274"/>
      <c r="S14" s="3274"/>
      <c r="T14" s="3274"/>
      <c r="U14" s="3274"/>
      <c r="V14" s="3274"/>
      <c r="W14" s="3274"/>
      <c r="X14" s="3274"/>
      <c r="Y14" s="3274"/>
      <c r="Z14" s="3274"/>
      <c r="AA14" s="3274"/>
      <c r="AB14" s="3274"/>
      <c r="AC14" s="3244">
        <f>SUMIF(AD$12:AS$12,"总值",AD14:AS14)</f>
        <v>0</v>
      </c>
      <c r="AD14" s="3284"/>
      <c r="AE14" s="3284"/>
      <c r="AF14" s="3284"/>
      <c r="AG14" s="3284"/>
      <c r="AH14" s="3284"/>
      <c r="AI14" s="3284"/>
      <c r="AJ14" s="3284"/>
      <c r="AK14" s="3284"/>
      <c r="AL14" s="3284"/>
      <c r="AM14" s="3284"/>
      <c r="AN14" s="3284"/>
      <c r="AO14" s="3284"/>
      <c r="AP14" s="3284"/>
      <c r="AQ14" s="3284"/>
      <c r="AR14" s="3284"/>
      <c r="AS14" s="3284"/>
      <c r="AT14" s="3293"/>
      <c r="AU14" s="3294"/>
      <c r="AV14" s="1431">
        <f t="shared" si="6"/>
        <v>0</v>
      </c>
      <c r="AW14" s="1431">
        <f t="shared" si="6"/>
        <v>0</v>
      </c>
      <c r="AX14" s="1431">
        <f t="shared" si="6"/>
        <v>0</v>
      </c>
      <c r="AY14" s="2662">
        <f>ROUND($AY$6*AZ14/$AZ$5,2)</f>
        <v>0</v>
      </c>
      <c r="AZ14" s="3244">
        <f>BA14+BL14</f>
        <v>0</v>
      </c>
      <c r="BA14" s="3244">
        <f>SUM(BB14:BK14)</f>
        <v>0</v>
      </c>
      <c r="BB14" s="3244">
        <f>IF($D14="是",I14-J14,0)</f>
        <v>0</v>
      </c>
      <c r="BC14" s="3244">
        <f>IF($D14="是",K14-L14,0)</f>
        <v>0</v>
      </c>
      <c r="BD14" s="3244">
        <f>IF($D14="是",M14-N14,0)</f>
        <v>0</v>
      </c>
      <c r="BE14" s="3244">
        <f>IF($D14="是",O14-P14,0)</f>
        <v>0</v>
      </c>
      <c r="BF14" s="3244">
        <f>IF($D14="是",Q14-R14,0)</f>
        <v>0</v>
      </c>
      <c r="BG14" s="3244">
        <f>IF($D14="是",S14-T14,0)</f>
        <v>0</v>
      </c>
      <c r="BH14" s="3244">
        <f>IF($D14="是",U14-V14,0)</f>
        <v>0</v>
      </c>
      <c r="BI14" s="3244">
        <f>IF($D14="是",W14-X14,0)</f>
        <v>0</v>
      </c>
      <c r="BJ14" s="3244">
        <f>IF($D14="是",Y14-Z14,0)</f>
        <v>0</v>
      </c>
      <c r="BK14" s="3244">
        <f>IF($D14="是",AA14-AB14,0)</f>
        <v>0</v>
      </c>
      <c r="BL14" s="3244">
        <f>SUM(BM14:BT14)</f>
        <v>0</v>
      </c>
      <c r="BM14" s="3244">
        <f>IF($D14="是",AD14-AE14,0)</f>
        <v>0</v>
      </c>
      <c r="BN14" s="3244">
        <f>IF($D14="是",AF14-AG14,0)</f>
        <v>0</v>
      </c>
      <c r="BO14" s="3244">
        <f>IF($D14="是",AH14-AI14,0)</f>
        <v>0</v>
      </c>
      <c r="BP14" s="3244">
        <f>IF($D14="是",AJ14-AK14,0)</f>
        <v>0</v>
      </c>
      <c r="BQ14" s="3244">
        <f>IF($D14="是",AL14-AM14,0)</f>
        <v>0</v>
      </c>
      <c r="BR14" s="3244">
        <f>IF($D14="是",AN14-AO14,0)</f>
        <v>0</v>
      </c>
      <c r="BS14" s="3244">
        <f>IF($D14="是",AP14-AQ14,0)</f>
        <v>0</v>
      </c>
      <c r="BT14" s="3313">
        <f>IF($D14="是",AR14-AS14,0)</f>
        <v>0</v>
      </c>
    </row>
    <row r="15" s="3229" customFormat="1" ht="12.5" spans="1:72">
      <c r="A15" s="3258"/>
      <c r="B15" s="3258"/>
      <c r="C15" s="3258"/>
      <c r="D15" s="3259"/>
      <c r="E15" s="3244">
        <f>IF($C$3="是",ROUND($A$3*G15/$B$3,2),ROUND($A$3*(G15-AT15)/$B$3,2))</f>
        <v>0</v>
      </c>
      <c r="F15" s="3260"/>
      <c r="G15" s="3261">
        <f>H15+AC15+AT15</f>
        <v>0</v>
      </c>
      <c r="H15" s="3247">
        <f>SUMIF(I$12:AB$12,"总值",I15:AB15)</f>
        <v>0</v>
      </c>
      <c r="I15" s="3274"/>
      <c r="J15" s="3274"/>
      <c r="K15" s="3274"/>
      <c r="L15" s="3274"/>
      <c r="M15" s="3274"/>
      <c r="N15" s="3274"/>
      <c r="O15" s="3274"/>
      <c r="P15" s="3274"/>
      <c r="Q15" s="3274"/>
      <c r="R15" s="3274"/>
      <c r="S15" s="3274"/>
      <c r="T15" s="3274"/>
      <c r="U15" s="3274"/>
      <c r="V15" s="3274"/>
      <c r="W15" s="3274"/>
      <c r="X15" s="3274"/>
      <c r="Y15" s="3274"/>
      <c r="Z15" s="3274"/>
      <c r="AA15" s="3274"/>
      <c r="AB15" s="3274"/>
      <c r="AC15" s="3244">
        <f>SUMIF(AD$12:AS$12,"总值",AD15:AS15)</f>
        <v>0</v>
      </c>
      <c r="AD15" s="3284"/>
      <c r="AE15" s="3284"/>
      <c r="AF15" s="3284"/>
      <c r="AG15" s="3284"/>
      <c r="AH15" s="3284"/>
      <c r="AI15" s="3284"/>
      <c r="AJ15" s="3284"/>
      <c r="AK15" s="3284"/>
      <c r="AL15" s="3284"/>
      <c r="AM15" s="3284"/>
      <c r="AN15" s="3284"/>
      <c r="AO15" s="3284"/>
      <c r="AP15" s="3284"/>
      <c r="AQ15" s="3284"/>
      <c r="AR15" s="3284"/>
      <c r="AS15" s="3284"/>
      <c r="AT15" s="3293"/>
      <c r="AU15" s="3294"/>
      <c r="AV15" s="1431">
        <f t="shared" si="6"/>
        <v>0</v>
      </c>
      <c r="AW15" s="1431">
        <f t="shared" si="6"/>
        <v>0</v>
      </c>
      <c r="AX15" s="1431">
        <f t="shared" si="6"/>
        <v>0</v>
      </c>
      <c r="AY15" s="2662">
        <f>ROUND($AY$6*AZ15/$AZ$5,2)</f>
        <v>0</v>
      </c>
      <c r="AZ15" s="3244">
        <f>BA15+BL15</f>
        <v>0</v>
      </c>
      <c r="BA15" s="3244">
        <f>SUM(BB15:BK15)</f>
        <v>0</v>
      </c>
      <c r="BB15" s="3244">
        <f>IF($D15="是",I15-J15,0)</f>
        <v>0</v>
      </c>
      <c r="BC15" s="3244">
        <f>IF($D15="是",K15-L15,0)</f>
        <v>0</v>
      </c>
      <c r="BD15" s="3244">
        <f>IF($D15="是",M15-N15,0)</f>
        <v>0</v>
      </c>
      <c r="BE15" s="3244">
        <f>IF($D15="是",O15-P15,0)</f>
        <v>0</v>
      </c>
      <c r="BF15" s="3244">
        <f>IF($D15="是",Q15-R15,0)</f>
        <v>0</v>
      </c>
      <c r="BG15" s="3244">
        <f>IF($D15="是",S15-T15,0)</f>
        <v>0</v>
      </c>
      <c r="BH15" s="3244">
        <f>IF($D15="是",U15-V15,0)</f>
        <v>0</v>
      </c>
      <c r="BI15" s="3244">
        <f>IF($D15="是",W15-X15,0)</f>
        <v>0</v>
      </c>
      <c r="BJ15" s="3244">
        <f>IF($D15="是",Y15-Z15,0)</f>
        <v>0</v>
      </c>
      <c r="BK15" s="3244">
        <f>IF($D15="是",AA15-AB15,0)</f>
        <v>0</v>
      </c>
      <c r="BL15" s="3244">
        <f>SUM(BM15:BT15)</f>
        <v>0</v>
      </c>
      <c r="BM15" s="3244">
        <f>IF($D15="是",AD15-AE15,0)</f>
        <v>0</v>
      </c>
      <c r="BN15" s="3244">
        <f>IF($D15="是",AF15-AG15,0)</f>
        <v>0</v>
      </c>
      <c r="BO15" s="3244">
        <f>IF($D15="是",AH15-AI15,0)</f>
        <v>0</v>
      </c>
      <c r="BP15" s="3244">
        <f>IF($D15="是",AJ15-AK15,0)</f>
        <v>0</v>
      </c>
      <c r="BQ15" s="3244">
        <f>IF($D15="是",AL15-AM15,0)</f>
        <v>0</v>
      </c>
      <c r="BR15" s="3244">
        <f>IF($D15="是",AN15-AO15,0)</f>
        <v>0</v>
      </c>
      <c r="BS15" s="3244">
        <f>IF($D15="是",AP15-AQ15,0)</f>
        <v>0</v>
      </c>
      <c r="BT15" s="3313">
        <f>IF($D15="是",AR15-AS15,0)</f>
        <v>0</v>
      </c>
    </row>
    <row r="16" s="3229" customFormat="1" ht="12.5" spans="1:72">
      <c r="A16" s="3258"/>
      <c r="B16" s="3258"/>
      <c r="C16" s="3258"/>
      <c r="D16" s="3259"/>
      <c r="E16" s="3244">
        <f>IF($C$3="是",ROUND($A$3*G16/$B$3,2),ROUND($A$3*(G16-AT16)/$B$3,2))</f>
        <v>0</v>
      </c>
      <c r="F16" s="3260"/>
      <c r="G16" s="3261">
        <f>H16+AC16+AT16</f>
        <v>0</v>
      </c>
      <c r="H16" s="3247">
        <f>SUMIF(I$12:AB$12,"总值",I16:AB16)</f>
        <v>0</v>
      </c>
      <c r="I16" s="3274"/>
      <c r="J16" s="3274"/>
      <c r="K16" s="3274"/>
      <c r="L16" s="3274"/>
      <c r="M16" s="3274"/>
      <c r="N16" s="3274"/>
      <c r="O16" s="3274"/>
      <c r="P16" s="3274"/>
      <c r="Q16" s="3274"/>
      <c r="R16" s="3274"/>
      <c r="S16" s="3274"/>
      <c r="T16" s="3274"/>
      <c r="U16" s="3274"/>
      <c r="V16" s="3274"/>
      <c r="W16" s="3274"/>
      <c r="X16" s="3274"/>
      <c r="Y16" s="3274"/>
      <c r="Z16" s="3274"/>
      <c r="AA16" s="3274"/>
      <c r="AB16" s="3274"/>
      <c r="AC16" s="3244">
        <f>SUMIF(AD$12:AS$12,"总值",AD16:AS16)</f>
        <v>0</v>
      </c>
      <c r="AD16" s="3284"/>
      <c r="AE16" s="3284"/>
      <c r="AF16" s="3284"/>
      <c r="AG16" s="3284"/>
      <c r="AH16" s="3284"/>
      <c r="AI16" s="3284"/>
      <c r="AJ16" s="3284"/>
      <c r="AK16" s="3284"/>
      <c r="AL16" s="3284"/>
      <c r="AM16" s="3284"/>
      <c r="AN16" s="3284"/>
      <c r="AO16" s="3284"/>
      <c r="AP16" s="3284"/>
      <c r="AQ16" s="3284"/>
      <c r="AR16" s="3284"/>
      <c r="AS16" s="3284"/>
      <c r="AT16" s="3293"/>
      <c r="AU16" s="3294"/>
      <c r="AV16" s="1431">
        <f t="shared" si="6"/>
        <v>0</v>
      </c>
      <c r="AW16" s="1431">
        <f t="shared" si="6"/>
        <v>0</v>
      </c>
      <c r="AX16" s="1431">
        <f t="shared" si="6"/>
        <v>0</v>
      </c>
      <c r="AY16" s="2662">
        <f>ROUND($AY$6*AZ16/$AZ$5,2)</f>
        <v>0</v>
      </c>
      <c r="AZ16" s="3244">
        <f>BA16+BL16</f>
        <v>0</v>
      </c>
      <c r="BA16" s="3244">
        <f>SUM(BB16:BK16)</f>
        <v>0</v>
      </c>
      <c r="BB16" s="3244">
        <f>IF($D16="是",I16-J16,0)</f>
        <v>0</v>
      </c>
      <c r="BC16" s="3244">
        <f>IF($D16="是",K16-L16,0)</f>
        <v>0</v>
      </c>
      <c r="BD16" s="3244">
        <f>IF($D16="是",M16-N16,0)</f>
        <v>0</v>
      </c>
      <c r="BE16" s="3244">
        <f>IF($D16="是",O16-P16,0)</f>
        <v>0</v>
      </c>
      <c r="BF16" s="3244">
        <f>IF($D16="是",Q16-R16,0)</f>
        <v>0</v>
      </c>
      <c r="BG16" s="3244">
        <f>IF($D16="是",S16-T16,0)</f>
        <v>0</v>
      </c>
      <c r="BH16" s="3244">
        <f>IF($D16="是",U16-V16,0)</f>
        <v>0</v>
      </c>
      <c r="BI16" s="3244">
        <f>IF($D16="是",W16-X16,0)</f>
        <v>0</v>
      </c>
      <c r="BJ16" s="3244">
        <f>IF($D16="是",Y16-Z16,0)</f>
        <v>0</v>
      </c>
      <c r="BK16" s="3244">
        <f>IF($D16="是",AA16-AB16,0)</f>
        <v>0</v>
      </c>
      <c r="BL16" s="3244">
        <f>SUM(BM16:BT16)</f>
        <v>0</v>
      </c>
      <c r="BM16" s="3244">
        <f>IF($D16="是",AD16-AE16,0)</f>
        <v>0</v>
      </c>
      <c r="BN16" s="3244">
        <f>IF($D16="是",AF16-AG16,0)</f>
        <v>0</v>
      </c>
      <c r="BO16" s="3244">
        <f>IF($D16="是",AH16-AI16,0)</f>
        <v>0</v>
      </c>
      <c r="BP16" s="3244">
        <f>IF($D16="是",AJ16-AK16,0)</f>
        <v>0</v>
      </c>
      <c r="BQ16" s="3244">
        <f>IF($D16="是",AL16-AM16,0)</f>
        <v>0</v>
      </c>
      <c r="BR16" s="3244">
        <f>IF($D16="是",AN16-AO16,0)</f>
        <v>0</v>
      </c>
      <c r="BS16" s="3244">
        <f>IF($D16="是",AP16-AQ16,0)</f>
        <v>0</v>
      </c>
      <c r="BT16" s="3313">
        <f>IF($D16="是",AR16-AS16,0)</f>
        <v>0</v>
      </c>
    </row>
    <row r="17" s="3229" customFormat="1" ht="12.5" spans="1:72">
      <c r="A17" s="3258"/>
      <c r="B17" s="3258"/>
      <c r="C17" s="3258"/>
      <c r="D17" s="3259"/>
      <c r="E17" s="3244">
        <f>IF($C$3="是",ROUND($A$3*G17/$B$3,2),ROUND($A$3*(G17-AT17)/$B$3,2))</f>
        <v>0</v>
      </c>
      <c r="F17" s="3260"/>
      <c r="G17" s="3261">
        <f>H17+AC17+AT17</f>
        <v>0</v>
      </c>
      <c r="H17" s="3247">
        <f>SUMIF(I$12:AB$12,"总值",I17:AB17)</f>
        <v>0</v>
      </c>
      <c r="I17" s="3274"/>
      <c r="J17" s="3274"/>
      <c r="K17" s="3274"/>
      <c r="L17" s="3274"/>
      <c r="M17" s="3274"/>
      <c r="N17" s="3274"/>
      <c r="O17" s="3274"/>
      <c r="P17" s="3274"/>
      <c r="Q17" s="3274"/>
      <c r="R17" s="3274"/>
      <c r="S17" s="3274"/>
      <c r="T17" s="3274"/>
      <c r="U17" s="3274"/>
      <c r="V17" s="3274"/>
      <c r="W17" s="3274"/>
      <c r="X17" s="3274"/>
      <c r="Y17" s="3274"/>
      <c r="Z17" s="3274"/>
      <c r="AA17" s="3274"/>
      <c r="AB17" s="3274"/>
      <c r="AC17" s="3244">
        <f>SUMIF(AD$12:AS$12,"总值",AD17:AS17)</f>
        <v>0</v>
      </c>
      <c r="AD17" s="3284"/>
      <c r="AE17" s="3284"/>
      <c r="AF17" s="3284"/>
      <c r="AG17" s="3284"/>
      <c r="AH17" s="3284"/>
      <c r="AI17" s="3284"/>
      <c r="AJ17" s="3284"/>
      <c r="AK17" s="3284"/>
      <c r="AL17" s="3284"/>
      <c r="AM17" s="3284"/>
      <c r="AN17" s="3284"/>
      <c r="AO17" s="3284"/>
      <c r="AP17" s="3284"/>
      <c r="AQ17" s="3284"/>
      <c r="AR17" s="3284"/>
      <c r="AS17" s="3284"/>
      <c r="AT17" s="3293"/>
      <c r="AU17" s="3294"/>
      <c r="AV17" s="1431">
        <f t="shared" si="6"/>
        <v>0</v>
      </c>
      <c r="AW17" s="1431">
        <f t="shared" si="6"/>
        <v>0</v>
      </c>
      <c r="AX17" s="1431">
        <f t="shared" si="6"/>
        <v>0</v>
      </c>
      <c r="AY17" s="2662">
        <f>ROUND($AY$6*AZ17/$AZ$5,2)</f>
        <v>0</v>
      </c>
      <c r="AZ17" s="3244">
        <f>BA17+BL17</f>
        <v>0</v>
      </c>
      <c r="BA17" s="3244">
        <f>SUM(BB17:BK17)</f>
        <v>0</v>
      </c>
      <c r="BB17" s="3244">
        <f>IF($D17="是",I17-J17,0)</f>
        <v>0</v>
      </c>
      <c r="BC17" s="3244">
        <f>IF($D17="是",K17-L17,0)</f>
        <v>0</v>
      </c>
      <c r="BD17" s="3244">
        <f>IF($D17="是",M17-N17,0)</f>
        <v>0</v>
      </c>
      <c r="BE17" s="3244">
        <f>IF($D17="是",O17-P17,0)</f>
        <v>0</v>
      </c>
      <c r="BF17" s="3244">
        <f>IF($D17="是",Q17-R17,0)</f>
        <v>0</v>
      </c>
      <c r="BG17" s="3244">
        <f>IF($D17="是",S17-T17,0)</f>
        <v>0</v>
      </c>
      <c r="BH17" s="3244">
        <f>IF($D17="是",U17-V17,0)</f>
        <v>0</v>
      </c>
      <c r="BI17" s="3244">
        <f>IF($D17="是",W17-X17,0)</f>
        <v>0</v>
      </c>
      <c r="BJ17" s="3244">
        <f>IF($D17="是",Y17-Z17,0)</f>
        <v>0</v>
      </c>
      <c r="BK17" s="3244">
        <f>IF($D17="是",AA17-AB17,0)</f>
        <v>0</v>
      </c>
      <c r="BL17" s="3244">
        <f>SUM(BM17:BT17)</f>
        <v>0</v>
      </c>
      <c r="BM17" s="3244">
        <f>IF($D17="是",AD17-AE17,0)</f>
        <v>0</v>
      </c>
      <c r="BN17" s="3244">
        <f>IF($D17="是",AF17-AG17,0)</f>
        <v>0</v>
      </c>
      <c r="BO17" s="3244">
        <f>IF($D17="是",AH17-AI17,0)</f>
        <v>0</v>
      </c>
      <c r="BP17" s="3244">
        <f>IF($D17="是",AJ17-AK17,0)</f>
        <v>0</v>
      </c>
      <c r="BQ17" s="3244">
        <f>IF($D17="是",AL17-AM17,0)</f>
        <v>0</v>
      </c>
      <c r="BR17" s="3244">
        <f>IF($D17="是",AN17-AO17,0)</f>
        <v>0</v>
      </c>
      <c r="BS17" s="3244">
        <f>IF($D17="是",AP17-AQ17,0)</f>
        <v>0</v>
      </c>
      <c r="BT17" s="3313">
        <f>IF($D17="是",AR17-AS17,0)</f>
        <v>0</v>
      </c>
    </row>
    <row r="18" spans="1:72">
      <c r="A18" s="3262"/>
      <c r="B18" s="3263"/>
      <c r="C18" s="3263"/>
      <c r="D18" s="3259"/>
      <c r="E18" s="3264">
        <f t="shared" ref="E18:E112" si="7">IF($C$3="是",ROUND($A$3*G18/$B$3,2),ROUND($A$3*(G18-AT18)/$B$3,2))</f>
        <v>0</v>
      </c>
      <c r="F18" s="3265"/>
      <c r="G18" s="3266">
        <f t="shared" ref="G18:G109" si="8">H18+AC18+AT18</f>
        <v>0</v>
      </c>
      <c r="H18" s="3267">
        <f t="shared" ref="H18:H109" si="9">SUMIF(I$12:AB$12,"总值",I18:AB18)</f>
        <v>0</v>
      </c>
      <c r="I18" s="3275"/>
      <c r="J18" s="3275"/>
      <c r="K18" s="3275"/>
      <c r="L18" s="3275"/>
      <c r="M18" s="3275"/>
      <c r="N18" s="3275"/>
      <c r="O18" s="3275"/>
      <c r="P18" s="3275"/>
      <c r="Q18" s="3275"/>
      <c r="R18" s="3275"/>
      <c r="S18" s="3275"/>
      <c r="T18" s="3275"/>
      <c r="U18" s="3275"/>
      <c r="V18" s="3275"/>
      <c r="W18" s="3275"/>
      <c r="X18" s="3275"/>
      <c r="Y18" s="3275"/>
      <c r="Z18" s="3275"/>
      <c r="AA18" s="3275"/>
      <c r="AB18" s="3275"/>
      <c r="AC18" s="3264">
        <f t="shared" ref="AC18:AC109" si="10">SUMIF(AD$12:AS$12,"总值",AD18:AS18)</f>
        <v>0</v>
      </c>
      <c r="AD18" s="3285"/>
      <c r="AE18" s="3285"/>
      <c r="AF18" s="3285"/>
      <c r="AG18" s="3285"/>
      <c r="AH18" s="3285"/>
      <c r="AI18" s="3285"/>
      <c r="AJ18" s="3285"/>
      <c r="AK18" s="3285"/>
      <c r="AL18" s="3285"/>
      <c r="AM18" s="3285"/>
      <c r="AN18" s="3285"/>
      <c r="AO18" s="3285"/>
      <c r="AP18" s="3285"/>
      <c r="AQ18" s="3285"/>
      <c r="AR18" s="3285"/>
      <c r="AS18" s="3285"/>
      <c r="AT18" s="3295"/>
      <c r="AU18" s="3296"/>
      <c r="AV18" s="830">
        <f t="shared" ref="AV18:AV112" si="11">A18</f>
        <v>0</v>
      </c>
      <c r="AW18" s="830">
        <f t="shared" ref="AW18:AW112" si="12">B18</f>
        <v>0</v>
      </c>
      <c r="AX18" s="830">
        <f t="shared" ref="AX18:AX112" si="13">C18</f>
        <v>0</v>
      </c>
      <c r="AY18" s="3310">
        <f t="shared" ref="AY18:AY109" si="14">ROUND($AY$6*AZ18/$AZ$5,2)</f>
        <v>0</v>
      </c>
      <c r="AZ18" s="3264">
        <f t="shared" ref="AZ18:AZ109" si="15">BA18+BL18</f>
        <v>0</v>
      </c>
      <c r="BA18" s="3264">
        <f t="shared" ref="BA18:BA109" si="16">SUM(BB18:BK18)</f>
        <v>0</v>
      </c>
      <c r="BB18" s="3264">
        <f t="shared" ref="BB18:BB109" si="17">IF($D18="是",I18-J18,0)</f>
        <v>0</v>
      </c>
      <c r="BC18" s="3264">
        <f t="shared" ref="BC18:BC109" si="18">IF($D18="是",K18-L18,0)</f>
        <v>0</v>
      </c>
      <c r="BD18" s="3264">
        <f t="shared" ref="BD18:BD109" si="19">IF($D18="是",M18-N18,0)</f>
        <v>0</v>
      </c>
      <c r="BE18" s="3264">
        <f t="shared" ref="BE18:BE109" si="20">IF($D18="是",O18-P18,0)</f>
        <v>0</v>
      </c>
      <c r="BF18" s="3264">
        <f t="shared" ref="BF18:BF109" si="21">IF($D18="是",Q18-R18,0)</f>
        <v>0</v>
      </c>
      <c r="BG18" s="3264">
        <f t="shared" ref="BG18:BG109" si="22">IF($D18="是",S18-T18,0)</f>
        <v>0</v>
      </c>
      <c r="BH18" s="3264">
        <f t="shared" ref="BH18:BH109" si="23">IF($D18="是",U18-V18,0)</f>
        <v>0</v>
      </c>
      <c r="BI18" s="3264">
        <f t="shared" ref="BI18:BI109" si="24">IF($D18="是",W18-X18,0)</f>
        <v>0</v>
      </c>
      <c r="BJ18" s="3264">
        <f t="shared" ref="BJ18:BJ109" si="25">IF($D18="是",Y18-Z18,0)</f>
        <v>0</v>
      </c>
      <c r="BK18" s="3264">
        <f t="shared" ref="BK18:BK109" si="26">IF($D18="是",AA18-AB18,0)</f>
        <v>0</v>
      </c>
      <c r="BL18" s="3264">
        <f t="shared" ref="BL18:BL109" si="27">SUM(BM18:BT18)</f>
        <v>0</v>
      </c>
      <c r="BM18" s="3264">
        <f t="shared" ref="BM18:BM109" si="28">IF($D18="是",AD18-AE18,0)</f>
        <v>0</v>
      </c>
      <c r="BN18" s="3264">
        <f t="shared" ref="BN18:BN109" si="29">IF($D18="是",AF18-AG18,0)</f>
        <v>0</v>
      </c>
      <c r="BO18" s="3264">
        <f t="shared" ref="BO18:BO109" si="30">IF($D18="是",AH18-AI18,0)</f>
        <v>0</v>
      </c>
      <c r="BP18" s="3264">
        <f t="shared" ref="BP18:BP109" si="31">IF($D18="是",AJ18-AK18,0)</f>
        <v>0</v>
      </c>
      <c r="BQ18" s="3264">
        <f t="shared" ref="BQ18:BQ109" si="32">IF($D18="是",AL18-AM18,0)</f>
        <v>0</v>
      </c>
      <c r="BR18" s="3264">
        <f t="shared" ref="BR18:BR109" si="33">IF($D18="是",AN18-AO18,0)</f>
        <v>0</v>
      </c>
      <c r="BS18" s="3264">
        <f t="shared" ref="BS18:BS109" si="34">IF($D18="是",AP18-AQ18,0)</f>
        <v>0</v>
      </c>
      <c r="BT18" s="3317">
        <f t="shared" ref="BT18:BT109" si="35">IF($D18="是",AR18-AS18,0)</f>
        <v>0</v>
      </c>
    </row>
    <row r="19" spans="1:72">
      <c r="A19" s="3262"/>
      <c r="B19" s="3263"/>
      <c r="C19" s="3263"/>
      <c r="D19" s="3259"/>
      <c r="E19" s="3264">
        <f t="shared" si="7"/>
        <v>0</v>
      </c>
      <c r="F19" s="3265"/>
      <c r="G19" s="3266">
        <f t="shared" si="8"/>
        <v>0</v>
      </c>
      <c r="H19" s="3267">
        <f t="shared" si="9"/>
        <v>0</v>
      </c>
      <c r="I19" s="3275"/>
      <c r="J19" s="3275"/>
      <c r="K19" s="3275"/>
      <c r="L19" s="3275"/>
      <c r="M19" s="3275"/>
      <c r="N19" s="3275"/>
      <c r="O19" s="3275"/>
      <c r="P19" s="3275"/>
      <c r="Q19" s="3275"/>
      <c r="R19" s="3275"/>
      <c r="S19" s="3275"/>
      <c r="T19" s="3275"/>
      <c r="U19" s="3275"/>
      <c r="V19" s="3275"/>
      <c r="W19" s="3275"/>
      <c r="X19" s="3275"/>
      <c r="Y19" s="3275"/>
      <c r="Z19" s="3275"/>
      <c r="AA19" s="3275"/>
      <c r="AB19" s="3275"/>
      <c r="AC19" s="3264">
        <f t="shared" si="10"/>
        <v>0</v>
      </c>
      <c r="AD19" s="3285"/>
      <c r="AE19" s="3285"/>
      <c r="AF19" s="3285"/>
      <c r="AG19" s="3285"/>
      <c r="AH19" s="3285"/>
      <c r="AI19" s="3285"/>
      <c r="AJ19" s="3285"/>
      <c r="AK19" s="3285"/>
      <c r="AL19" s="3285"/>
      <c r="AM19" s="3285"/>
      <c r="AN19" s="3285"/>
      <c r="AO19" s="3285"/>
      <c r="AP19" s="3285"/>
      <c r="AQ19" s="3285"/>
      <c r="AR19" s="3285"/>
      <c r="AS19" s="3285"/>
      <c r="AT19" s="3295"/>
      <c r="AU19" s="3296"/>
      <c r="AV19" s="830">
        <f t="shared" si="11"/>
        <v>0</v>
      </c>
      <c r="AW19" s="830">
        <f t="shared" si="12"/>
        <v>0</v>
      </c>
      <c r="AX19" s="830">
        <f t="shared" si="13"/>
        <v>0</v>
      </c>
      <c r="AY19" s="3310">
        <f t="shared" si="14"/>
        <v>0</v>
      </c>
      <c r="AZ19" s="3264">
        <f t="shared" si="15"/>
        <v>0</v>
      </c>
      <c r="BA19" s="3264">
        <f t="shared" si="16"/>
        <v>0</v>
      </c>
      <c r="BB19" s="3264">
        <f t="shared" si="17"/>
        <v>0</v>
      </c>
      <c r="BC19" s="3264">
        <f t="shared" si="18"/>
        <v>0</v>
      </c>
      <c r="BD19" s="3264">
        <f t="shared" si="19"/>
        <v>0</v>
      </c>
      <c r="BE19" s="3264">
        <f t="shared" si="20"/>
        <v>0</v>
      </c>
      <c r="BF19" s="3264">
        <f t="shared" si="21"/>
        <v>0</v>
      </c>
      <c r="BG19" s="3264">
        <f t="shared" si="22"/>
        <v>0</v>
      </c>
      <c r="BH19" s="3264">
        <f t="shared" si="23"/>
        <v>0</v>
      </c>
      <c r="BI19" s="3264">
        <f t="shared" si="24"/>
        <v>0</v>
      </c>
      <c r="BJ19" s="3264">
        <f t="shared" si="25"/>
        <v>0</v>
      </c>
      <c r="BK19" s="3264">
        <f t="shared" si="26"/>
        <v>0</v>
      </c>
      <c r="BL19" s="3264">
        <f t="shared" si="27"/>
        <v>0</v>
      </c>
      <c r="BM19" s="3264">
        <f t="shared" si="28"/>
        <v>0</v>
      </c>
      <c r="BN19" s="3264">
        <f t="shared" si="29"/>
        <v>0</v>
      </c>
      <c r="BO19" s="3264">
        <f t="shared" si="30"/>
        <v>0</v>
      </c>
      <c r="BP19" s="3264">
        <f t="shared" si="31"/>
        <v>0</v>
      </c>
      <c r="BQ19" s="3264">
        <f t="shared" si="32"/>
        <v>0</v>
      </c>
      <c r="BR19" s="3264">
        <f t="shared" si="33"/>
        <v>0</v>
      </c>
      <c r="BS19" s="3264">
        <f t="shared" si="34"/>
        <v>0</v>
      </c>
      <c r="BT19" s="3317">
        <f t="shared" si="35"/>
        <v>0</v>
      </c>
    </row>
    <row r="20" spans="1:72">
      <c r="A20" s="3262"/>
      <c r="B20" s="3263"/>
      <c r="C20" s="3263"/>
      <c r="D20" s="3259"/>
      <c r="E20" s="3264">
        <f t="shared" si="7"/>
        <v>0</v>
      </c>
      <c r="F20" s="3265"/>
      <c r="G20" s="3266">
        <f t="shared" si="8"/>
        <v>0</v>
      </c>
      <c r="H20" s="3267">
        <f t="shared" si="9"/>
        <v>0</v>
      </c>
      <c r="I20" s="3275"/>
      <c r="J20" s="3275"/>
      <c r="K20" s="3275"/>
      <c r="L20" s="3275"/>
      <c r="M20" s="3275"/>
      <c r="N20" s="3275"/>
      <c r="O20" s="3275"/>
      <c r="P20" s="3275"/>
      <c r="Q20" s="3275"/>
      <c r="R20" s="3275"/>
      <c r="S20" s="3275"/>
      <c r="T20" s="3275"/>
      <c r="U20" s="3275"/>
      <c r="V20" s="3275"/>
      <c r="W20" s="3275"/>
      <c r="X20" s="3275"/>
      <c r="Y20" s="3275"/>
      <c r="Z20" s="3275"/>
      <c r="AA20" s="3275"/>
      <c r="AB20" s="3275"/>
      <c r="AC20" s="3264">
        <f t="shared" si="10"/>
        <v>0</v>
      </c>
      <c r="AD20" s="3285"/>
      <c r="AE20" s="3285"/>
      <c r="AF20" s="3285"/>
      <c r="AG20" s="3285"/>
      <c r="AH20" s="3285"/>
      <c r="AI20" s="3285"/>
      <c r="AJ20" s="3285"/>
      <c r="AK20" s="3285"/>
      <c r="AL20" s="3285"/>
      <c r="AM20" s="3285"/>
      <c r="AN20" s="3285"/>
      <c r="AO20" s="3285"/>
      <c r="AP20" s="3285"/>
      <c r="AQ20" s="3285"/>
      <c r="AR20" s="3285"/>
      <c r="AS20" s="3285"/>
      <c r="AT20" s="3295"/>
      <c r="AU20" s="3296"/>
      <c r="AV20" s="830">
        <f t="shared" si="11"/>
        <v>0</v>
      </c>
      <c r="AW20" s="830">
        <f t="shared" si="12"/>
        <v>0</v>
      </c>
      <c r="AX20" s="830">
        <f t="shared" si="13"/>
        <v>0</v>
      </c>
      <c r="AY20" s="3310">
        <f t="shared" si="14"/>
        <v>0</v>
      </c>
      <c r="AZ20" s="3264">
        <f t="shared" si="15"/>
        <v>0</v>
      </c>
      <c r="BA20" s="3264">
        <f t="shared" si="16"/>
        <v>0</v>
      </c>
      <c r="BB20" s="3264">
        <f t="shared" si="17"/>
        <v>0</v>
      </c>
      <c r="BC20" s="3264">
        <f t="shared" si="18"/>
        <v>0</v>
      </c>
      <c r="BD20" s="3264">
        <f t="shared" si="19"/>
        <v>0</v>
      </c>
      <c r="BE20" s="3264">
        <f t="shared" si="20"/>
        <v>0</v>
      </c>
      <c r="BF20" s="3264">
        <f t="shared" si="21"/>
        <v>0</v>
      </c>
      <c r="BG20" s="3264">
        <f t="shared" si="22"/>
        <v>0</v>
      </c>
      <c r="BH20" s="3264">
        <f t="shared" si="23"/>
        <v>0</v>
      </c>
      <c r="BI20" s="3264">
        <f t="shared" si="24"/>
        <v>0</v>
      </c>
      <c r="BJ20" s="3264">
        <f t="shared" si="25"/>
        <v>0</v>
      </c>
      <c r="BK20" s="3264">
        <f t="shared" si="26"/>
        <v>0</v>
      </c>
      <c r="BL20" s="3264">
        <f t="shared" si="27"/>
        <v>0</v>
      </c>
      <c r="BM20" s="3264">
        <f t="shared" si="28"/>
        <v>0</v>
      </c>
      <c r="BN20" s="3264">
        <f t="shared" si="29"/>
        <v>0</v>
      </c>
      <c r="BO20" s="3264">
        <f t="shared" si="30"/>
        <v>0</v>
      </c>
      <c r="BP20" s="3264">
        <f t="shared" si="31"/>
        <v>0</v>
      </c>
      <c r="BQ20" s="3264">
        <f t="shared" si="32"/>
        <v>0</v>
      </c>
      <c r="BR20" s="3264">
        <f t="shared" si="33"/>
        <v>0</v>
      </c>
      <c r="BS20" s="3264">
        <f t="shared" si="34"/>
        <v>0</v>
      </c>
      <c r="BT20" s="3317">
        <f t="shared" si="35"/>
        <v>0</v>
      </c>
    </row>
    <row r="21" spans="1:72">
      <c r="A21" s="3262"/>
      <c r="B21" s="3263"/>
      <c r="C21" s="3263"/>
      <c r="D21" s="3268"/>
      <c r="E21" s="3264">
        <f t="shared" si="7"/>
        <v>0</v>
      </c>
      <c r="F21" s="3265"/>
      <c r="G21" s="3266">
        <f t="shared" si="8"/>
        <v>0</v>
      </c>
      <c r="H21" s="3267">
        <f t="shared" si="9"/>
        <v>0</v>
      </c>
      <c r="I21" s="3275"/>
      <c r="J21" s="3275"/>
      <c r="K21" s="3275"/>
      <c r="L21" s="3275"/>
      <c r="M21" s="3275"/>
      <c r="N21" s="3275"/>
      <c r="O21" s="3275"/>
      <c r="P21" s="3275"/>
      <c r="Q21" s="3275"/>
      <c r="R21" s="3275"/>
      <c r="S21" s="3275"/>
      <c r="T21" s="3275"/>
      <c r="U21" s="3275"/>
      <c r="V21" s="3275"/>
      <c r="W21" s="3275"/>
      <c r="X21" s="3275"/>
      <c r="Y21" s="3275"/>
      <c r="Z21" s="3275"/>
      <c r="AA21" s="3275"/>
      <c r="AB21" s="3275"/>
      <c r="AC21" s="3264">
        <f t="shared" si="10"/>
        <v>0</v>
      </c>
      <c r="AD21" s="3285"/>
      <c r="AE21" s="3285"/>
      <c r="AF21" s="3285"/>
      <c r="AG21" s="3285"/>
      <c r="AH21" s="3285"/>
      <c r="AI21" s="3285"/>
      <c r="AJ21" s="3285"/>
      <c r="AK21" s="3285"/>
      <c r="AL21" s="3285"/>
      <c r="AM21" s="3285"/>
      <c r="AN21" s="3285"/>
      <c r="AO21" s="3285"/>
      <c r="AP21" s="3285"/>
      <c r="AQ21" s="3285"/>
      <c r="AR21" s="3285"/>
      <c r="AS21" s="3285"/>
      <c r="AT21" s="3295"/>
      <c r="AU21" s="3296"/>
      <c r="AV21" s="830">
        <f t="shared" si="11"/>
        <v>0</v>
      </c>
      <c r="AW21" s="830">
        <f t="shared" si="12"/>
        <v>0</v>
      </c>
      <c r="AX21" s="830">
        <f t="shared" si="13"/>
        <v>0</v>
      </c>
      <c r="AY21" s="3310">
        <f t="shared" si="14"/>
        <v>0</v>
      </c>
      <c r="AZ21" s="3264">
        <f t="shared" si="15"/>
        <v>0</v>
      </c>
      <c r="BA21" s="3264">
        <f t="shared" si="16"/>
        <v>0</v>
      </c>
      <c r="BB21" s="3264">
        <f t="shared" si="17"/>
        <v>0</v>
      </c>
      <c r="BC21" s="3264">
        <f t="shared" si="18"/>
        <v>0</v>
      </c>
      <c r="BD21" s="3264">
        <f t="shared" si="19"/>
        <v>0</v>
      </c>
      <c r="BE21" s="3264">
        <f t="shared" si="20"/>
        <v>0</v>
      </c>
      <c r="BF21" s="3264">
        <f t="shared" si="21"/>
        <v>0</v>
      </c>
      <c r="BG21" s="3264">
        <f t="shared" si="22"/>
        <v>0</v>
      </c>
      <c r="BH21" s="3264">
        <f t="shared" si="23"/>
        <v>0</v>
      </c>
      <c r="BI21" s="3264">
        <f t="shared" si="24"/>
        <v>0</v>
      </c>
      <c r="BJ21" s="3264">
        <f t="shared" si="25"/>
        <v>0</v>
      </c>
      <c r="BK21" s="3264">
        <f t="shared" si="26"/>
        <v>0</v>
      </c>
      <c r="BL21" s="3264">
        <f t="shared" si="27"/>
        <v>0</v>
      </c>
      <c r="BM21" s="3264">
        <f t="shared" si="28"/>
        <v>0</v>
      </c>
      <c r="BN21" s="3264">
        <f t="shared" si="29"/>
        <v>0</v>
      </c>
      <c r="BO21" s="3264">
        <f t="shared" si="30"/>
        <v>0</v>
      </c>
      <c r="BP21" s="3264">
        <f t="shared" si="31"/>
        <v>0</v>
      </c>
      <c r="BQ21" s="3264">
        <f t="shared" si="32"/>
        <v>0</v>
      </c>
      <c r="BR21" s="3264">
        <f t="shared" si="33"/>
        <v>0</v>
      </c>
      <c r="BS21" s="3264">
        <f t="shared" si="34"/>
        <v>0</v>
      </c>
      <c r="BT21" s="3317">
        <f t="shared" si="35"/>
        <v>0</v>
      </c>
    </row>
    <row r="22" spans="1:72">
      <c r="A22" s="3262"/>
      <c r="B22" s="3263"/>
      <c r="C22" s="3263"/>
      <c r="D22" s="3268"/>
      <c r="E22" s="3264">
        <f t="shared" si="7"/>
        <v>0</v>
      </c>
      <c r="F22" s="3265"/>
      <c r="G22" s="3266">
        <f t="shared" si="8"/>
        <v>0</v>
      </c>
      <c r="H22" s="3267">
        <f t="shared" si="9"/>
        <v>0</v>
      </c>
      <c r="I22" s="3275"/>
      <c r="J22" s="3275"/>
      <c r="K22" s="3275"/>
      <c r="L22" s="3275"/>
      <c r="M22" s="3275"/>
      <c r="N22" s="3275"/>
      <c r="O22" s="3275"/>
      <c r="P22" s="3275"/>
      <c r="Q22" s="3275"/>
      <c r="R22" s="3275"/>
      <c r="S22" s="3275"/>
      <c r="T22" s="3275"/>
      <c r="U22" s="3275"/>
      <c r="V22" s="3275"/>
      <c r="W22" s="3275"/>
      <c r="X22" s="3275"/>
      <c r="Y22" s="3275"/>
      <c r="Z22" s="3275"/>
      <c r="AA22" s="3275"/>
      <c r="AB22" s="3275"/>
      <c r="AC22" s="3264">
        <f t="shared" si="10"/>
        <v>0</v>
      </c>
      <c r="AD22" s="3285"/>
      <c r="AE22" s="3285"/>
      <c r="AF22" s="3285"/>
      <c r="AG22" s="3285"/>
      <c r="AH22" s="3285"/>
      <c r="AI22" s="3285"/>
      <c r="AJ22" s="3285"/>
      <c r="AK22" s="3285"/>
      <c r="AL22" s="3285"/>
      <c r="AM22" s="3285"/>
      <c r="AN22" s="3285"/>
      <c r="AO22" s="3285"/>
      <c r="AP22" s="3285"/>
      <c r="AQ22" s="3285"/>
      <c r="AR22" s="3285"/>
      <c r="AS22" s="3285"/>
      <c r="AT22" s="3295"/>
      <c r="AU22" s="3296"/>
      <c r="AV22" s="830">
        <f t="shared" si="11"/>
        <v>0</v>
      </c>
      <c r="AW22" s="830">
        <f t="shared" si="12"/>
        <v>0</v>
      </c>
      <c r="AX22" s="830">
        <f t="shared" si="13"/>
        <v>0</v>
      </c>
      <c r="AY22" s="3310">
        <f t="shared" si="14"/>
        <v>0</v>
      </c>
      <c r="AZ22" s="3264">
        <f t="shared" si="15"/>
        <v>0</v>
      </c>
      <c r="BA22" s="3264">
        <f t="shared" si="16"/>
        <v>0</v>
      </c>
      <c r="BB22" s="3264">
        <f t="shared" si="17"/>
        <v>0</v>
      </c>
      <c r="BC22" s="3264">
        <f t="shared" si="18"/>
        <v>0</v>
      </c>
      <c r="BD22" s="3264">
        <f t="shared" si="19"/>
        <v>0</v>
      </c>
      <c r="BE22" s="3264">
        <f t="shared" si="20"/>
        <v>0</v>
      </c>
      <c r="BF22" s="3264">
        <f t="shared" si="21"/>
        <v>0</v>
      </c>
      <c r="BG22" s="3264">
        <f t="shared" si="22"/>
        <v>0</v>
      </c>
      <c r="BH22" s="3264">
        <f t="shared" si="23"/>
        <v>0</v>
      </c>
      <c r="BI22" s="3264">
        <f t="shared" si="24"/>
        <v>0</v>
      </c>
      <c r="BJ22" s="3264">
        <f t="shared" si="25"/>
        <v>0</v>
      </c>
      <c r="BK22" s="3264">
        <f t="shared" si="26"/>
        <v>0</v>
      </c>
      <c r="BL22" s="3264">
        <f t="shared" si="27"/>
        <v>0</v>
      </c>
      <c r="BM22" s="3264">
        <f t="shared" si="28"/>
        <v>0</v>
      </c>
      <c r="BN22" s="3264">
        <f t="shared" si="29"/>
        <v>0</v>
      </c>
      <c r="BO22" s="3264">
        <f t="shared" si="30"/>
        <v>0</v>
      </c>
      <c r="BP22" s="3264">
        <f t="shared" si="31"/>
        <v>0</v>
      </c>
      <c r="BQ22" s="3264">
        <f t="shared" si="32"/>
        <v>0</v>
      </c>
      <c r="BR22" s="3264">
        <f t="shared" si="33"/>
        <v>0</v>
      </c>
      <c r="BS22" s="3264">
        <f t="shared" si="34"/>
        <v>0</v>
      </c>
      <c r="BT22" s="3317">
        <f t="shared" si="35"/>
        <v>0</v>
      </c>
    </row>
    <row r="23" spans="1:72">
      <c r="A23" s="3262"/>
      <c r="B23" s="3263"/>
      <c r="C23" s="3263"/>
      <c r="D23" s="3268"/>
      <c r="E23" s="3264">
        <f t="shared" si="7"/>
        <v>0</v>
      </c>
      <c r="F23" s="3265"/>
      <c r="G23" s="3266">
        <f t="shared" si="8"/>
        <v>0</v>
      </c>
      <c r="H23" s="3267">
        <f t="shared" si="9"/>
        <v>0</v>
      </c>
      <c r="I23" s="3275"/>
      <c r="J23" s="3275"/>
      <c r="K23" s="3275"/>
      <c r="L23" s="3275"/>
      <c r="M23" s="3275"/>
      <c r="N23" s="3275"/>
      <c r="O23" s="3275"/>
      <c r="P23" s="3275"/>
      <c r="Q23" s="3275"/>
      <c r="R23" s="3275"/>
      <c r="S23" s="3275"/>
      <c r="T23" s="3275"/>
      <c r="U23" s="3275"/>
      <c r="V23" s="3275"/>
      <c r="W23" s="3275"/>
      <c r="X23" s="3275"/>
      <c r="Y23" s="3275"/>
      <c r="Z23" s="3275"/>
      <c r="AA23" s="3275"/>
      <c r="AB23" s="3275"/>
      <c r="AC23" s="3264">
        <f t="shared" si="10"/>
        <v>0</v>
      </c>
      <c r="AD23" s="3285"/>
      <c r="AE23" s="3285"/>
      <c r="AF23" s="3285"/>
      <c r="AG23" s="3285"/>
      <c r="AH23" s="3285"/>
      <c r="AI23" s="3285"/>
      <c r="AJ23" s="3285"/>
      <c r="AK23" s="3285"/>
      <c r="AL23" s="3285"/>
      <c r="AM23" s="3285"/>
      <c r="AN23" s="3285"/>
      <c r="AO23" s="3285"/>
      <c r="AP23" s="3285"/>
      <c r="AQ23" s="3285"/>
      <c r="AR23" s="3285"/>
      <c r="AS23" s="3285"/>
      <c r="AT23" s="3295"/>
      <c r="AU23" s="3296"/>
      <c r="AV23" s="830">
        <f t="shared" si="11"/>
        <v>0</v>
      </c>
      <c r="AW23" s="830">
        <f t="shared" si="12"/>
        <v>0</v>
      </c>
      <c r="AX23" s="830">
        <f t="shared" si="13"/>
        <v>0</v>
      </c>
      <c r="AY23" s="3310">
        <f t="shared" si="14"/>
        <v>0</v>
      </c>
      <c r="AZ23" s="3264">
        <f t="shared" si="15"/>
        <v>0</v>
      </c>
      <c r="BA23" s="3264">
        <f t="shared" si="16"/>
        <v>0</v>
      </c>
      <c r="BB23" s="3264">
        <f t="shared" si="17"/>
        <v>0</v>
      </c>
      <c r="BC23" s="3264">
        <f t="shared" si="18"/>
        <v>0</v>
      </c>
      <c r="BD23" s="3264">
        <f t="shared" si="19"/>
        <v>0</v>
      </c>
      <c r="BE23" s="3264">
        <f t="shared" si="20"/>
        <v>0</v>
      </c>
      <c r="BF23" s="3264">
        <f t="shared" si="21"/>
        <v>0</v>
      </c>
      <c r="BG23" s="3264">
        <f t="shared" si="22"/>
        <v>0</v>
      </c>
      <c r="BH23" s="3264">
        <f t="shared" si="23"/>
        <v>0</v>
      </c>
      <c r="BI23" s="3264">
        <f t="shared" si="24"/>
        <v>0</v>
      </c>
      <c r="BJ23" s="3264">
        <f t="shared" si="25"/>
        <v>0</v>
      </c>
      <c r="BK23" s="3264">
        <f t="shared" si="26"/>
        <v>0</v>
      </c>
      <c r="BL23" s="3264">
        <f t="shared" si="27"/>
        <v>0</v>
      </c>
      <c r="BM23" s="3264">
        <f t="shared" si="28"/>
        <v>0</v>
      </c>
      <c r="BN23" s="3264">
        <f t="shared" si="29"/>
        <v>0</v>
      </c>
      <c r="BO23" s="3264">
        <f t="shared" si="30"/>
        <v>0</v>
      </c>
      <c r="BP23" s="3264">
        <f t="shared" si="31"/>
        <v>0</v>
      </c>
      <c r="BQ23" s="3264">
        <f t="shared" si="32"/>
        <v>0</v>
      </c>
      <c r="BR23" s="3264">
        <f t="shared" si="33"/>
        <v>0</v>
      </c>
      <c r="BS23" s="3264">
        <f t="shared" si="34"/>
        <v>0</v>
      </c>
      <c r="BT23" s="3317">
        <f t="shared" si="35"/>
        <v>0</v>
      </c>
    </row>
    <row r="24" spans="1:72">
      <c r="A24" s="3262"/>
      <c r="B24" s="3263"/>
      <c r="C24" s="3263"/>
      <c r="D24" s="3268"/>
      <c r="E24" s="3264">
        <f t="shared" si="7"/>
        <v>0</v>
      </c>
      <c r="F24" s="3265"/>
      <c r="G24" s="3266">
        <f t="shared" si="8"/>
        <v>0</v>
      </c>
      <c r="H24" s="3267">
        <f t="shared" si="9"/>
        <v>0</v>
      </c>
      <c r="I24" s="3275"/>
      <c r="J24" s="3275"/>
      <c r="K24" s="3275"/>
      <c r="L24" s="3275"/>
      <c r="M24" s="3275"/>
      <c r="N24" s="3275"/>
      <c r="O24" s="3275"/>
      <c r="P24" s="3275"/>
      <c r="Q24" s="3275"/>
      <c r="R24" s="3275"/>
      <c r="S24" s="3275"/>
      <c r="T24" s="3275"/>
      <c r="U24" s="3275"/>
      <c r="V24" s="3275"/>
      <c r="W24" s="3275"/>
      <c r="X24" s="3275"/>
      <c r="Y24" s="3275"/>
      <c r="Z24" s="3275"/>
      <c r="AA24" s="3275"/>
      <c r="AB24" s="3275"/>
      <c r="AC24" s="3264">
        <f t="shared" si="10"/>
        <v>0</v>
      </c>
      <c r="AD24" s="3285"/>
      <c r="AE24" s="3285"/>
      <c r="AF24" s="3285"/>
      <c r="AG24" s="3285"/>
      <c r="AH24" s="3285"/>
      <c r="AI24" s="3285"/>
      <c r="AJ24" s="3285"/>
      <c r="AK24" s="3285"/>
      <c r="AL24" s="3285"/>
      <c r="AM24" s="3285"/>
      <c r="AN24" s="3285"/>
      <c r="AO24" s="3285"/>
      <c r="AP24" s="3285"/>
      <c r="AQ24" s="3285"/>
      <c r="AR24" s="3285"/>
      <c r="AS24" s="3285"/>
      <c r="AT24" s="3295"/>
      <c r="AU24" s="3296"/>
      <c r="AV24" s="830">
        <f t="shared" si="11"/>
        <v>0</v>
      </c>
      <c r="AW24" s="830">
        <f t="shared" si="12"/>
        <v>0</v>
      </c>
      <c r="AX24" s="830">
        <f t="shared" si="13"/>
        <v>0</v>
      </c>
      <c r="AY24" s="3310">
        <f t="shared" si="14"/>
        <v>0</v>
      </c>
      <c r="AZ24" s="3264">
        <f t="shared" si="15"/>
        <v>0</v>
      </c>
      <c r="BA24" s="3264">
        <f t="shared" si="16"/>
        <v>0</v>
      </c>
      <c r="BB24" s="3264">
        <f t="shared" si="17"/>
        <v>0</v>
      </c>
      <c r="BC24" s="3264">
        <f t="shared" si="18"/>
        <v>0</v>
      </c>
      <c r="BD24" s="3264">
        <f t="shared" si="19"/>
        <v>0</v>
      </c>
      <c r="BE24" s="3264">
        <f t="shared" si="20"/>
        <v>0</v>
      </c>
      <c r="BF24" s="3264">
        <f t="shared" si="21"/>
        <v>0</v>
      </c>
      <c r="BG24" s="3264">
        <f t="shared" si="22"/>
        <v>0</v>
      </c>
      <c r="BH24" s="3264">
        <f t="shared" si="23"/>
        <v>0</v>
      </c>
      <c r="BI24" s="3264">
        <f t="shared" si="24"/>
        <v>0</v>
      </c>
      <c r="BJ24" s="3264">
        <f t="shared" si="25"/>
        <v>0</v>
      </c>
      <c r="BK24" s="3264">
        <f t="shared" si="26"/>
        <v>0</v>
      </c>
      <c r="BL24" s="3264">
        <f t="shared" si="27"/>
        <v>0</v>
      </c>
      <c r="BM24" s="3264">
        <f t="shared" si="28"/>
        <v>0</v>
      </c>
      <c r="BN24" s="3264">
        <f t="shared" si="29"/>
        <v>0</v>
      </c>
      <c r="BO24" s="3264">
        <f t="shared" si="30"/>
        <v>0</v>
      </c>
      <c r="BP24" s="3264">
        <f t="shared" si="31"/>
        <v>0</v>
      </c>
      <c r="BQ24" s="3264">
        <f t="shared" si="32"/>
        <v>0</v>
      </c>
      <c r="BR24" s="3264">
        <f t="shared" si="33"/>
        <v>0</v>
      </c>
      <c r="BS24" s="3264">
        <f t="shared" si="34"/>
        <v>0</v>
      </c>
      <c r="BT24" s="3317">
        <f t="shared" si="35"/>
        <v>0</v>
      </c>
    </row>
    <row r="25" spans="1:72">
      <c r="A25" s="3262"/>
      <c r="B25" s="3263"/>
      <c r="C25" s="3263"/>
      <c r="D25" s="3268"/>
      <c r="E25" s="3264">
        <f t="shared" si="7"/>
        <v>0</v>
      </c>
      <c r="F25" s="3265"/>
      <c r="G25" s="3266">
        <f t="shared" si="8"/>
        <v>0</v>
      </c>
      <c r="H25" s="3267">
        <f t="shared" si="9"/>
        <v>0</v>
      </c>
      <c r="I25" s="3275"/>
      <c r="J25" s="3275"/>
      <c r="K25" s="3275"/>
      <c r="L25" s="3275"/>
      <c r="M25" s="3275"/>
      <c r="N25" s="3275"/>
      <c r="O25" s="3275"/>
      <c r="P25" s="3275"/>
      <c r="Q25" s="3275"/>
      <c r="R25" s="3275"/>
      <c r="S25" s="3275"/>
      <c r="T25" s="3275"/>
      <c r="U25" s="3275"/>
      <c r="V25" s="3275"/>
      <c r="W25" s="3275"/>
      <c r="X25" s="3275"/>
      <c r="Y25" s="3275"/>
      <c r="Z25" s="3275"/>
      <c r="AA25" s="3275"/>
      <c r="AB25" s="3275"/>
      <c r="AC25" s="3264">
        <f t="shared" si="10"/>
        <v>0</v>
      </c>
      <c r="AD25" s="3285"/>
      <c r="AE25" s="3285"/>
      <c r="AF25" s="3285"/>
      <c r="AG25" s="3285"/>
      <c r="AH25" s="3285"/>
      <c r="AI25" s="3285"/>
      <c r="AJ25" s="3285"/>
      <c r="AK25" s="3285"/>
      <c r="AL25" s="3285"/>
      <c r="AM25" s="3285"/>
      <c r="AN25" s="3285"/>
      <c r="AO25" s="3285"/>
      <c r="AP25" s="3285"/>
      <c r="AQ25" s="3285"/>
      <c r="AR25" s="3285"/>
      <c r="AS25" s="3285"/>
      <c r="AT25" s="3295"/>
      <c r="AU25" s="3296"/>
      <c r="AV25" s="830">
        <f t="shared" si="11"/>
        <v>0</v>
      </c>
      <c r="AW25" s="830">
        <f t="shared" si="12"/>
        <v>0</v>
      </c>
      <c r="AX25" s="830">
        <f t="shared" si="13"/>
        <v>0</v>
      </c>
      <c r="AY25" s="3310">
        <f t="shared" si="14"/>
        <v>0</v>
      </c>
      <c r="AZ25" s="3264">
        <f t="shared" si="15"/>
        <v>0</v>
      </c>
      <c r="BA25" s="3264">
        <f t="shared" si="16"/>
        <v>0</v>
      </c>
      <c r="BB25" s="3264">
        <f t="shared" si="17"/>
        <v>0</v>
      </c>
      <c r="BC25" s="3264">
        <f t="shared" si="18"/>
        <v>0</v>
      </c>
      <c r="BD25" s="3264">
        <f t="shared" si="19"/>
        <v>0</v>
      </c>
      <c r="BE25" s="3264">
        <f t="shared" si="20"/>
        <v>0</v>
      </c>
      <c r="BF25" s="3264">
        <f t="shared" si="21"/>
        <v>0</v>
      </c>
      <c r="BG25" s="3264">
        <f t="shared" si="22"/>
        <v>0</v>
      </c>
      <c r="BH25" s="3264">
        <f t="shared" si="23"/>
        <v>0</v>
      </c>
      <c r="BI25" s="3264">
        <f t="shared" si="24"/>
        <v>0</v>
      </c>
      <c r="BJ25" s="3264">
        <f t="shared" si="25"/>
        <v>0</v>
      </c>
      <c r="BK25" s="3264">
        <f t="shared" si="26"/>
        <v>0</v>
      </c>
      <c r="BL25" s="3264">
        <f t="shared" si="27"/>
        <v>0</v>
      </c>
      <c r="BM25" s="3264">
        <f t="shared" si="28"/>
        <v>0</v>
      </c>
      <c r="BN25" s="3264">
        <f t="shared" si="29"/>
        <v>0</v>
      </c>
      <c r="BO25" s="3264">
        <f t="shared" si="30"/>
        <v>0</v>
      </c>
      <c r="BP25" s="3264">
        <f t="shared" si="31"/>
        <v>0</v>
      </c>
      <c r="BQ25" s="3264">
        <f t="shared" si="32"/>
        <v>0</v>
      </c>
      <c r="BR25" s="3264">
        <f t="shared" si="33"/>
        <v>0</v>
      </c>
      <c r="BS25" s="3264">
        <f t="shared" si="34"/>
        <v>0</v>
      </c>
      <c r="BT25" s="3317">
        <f t="shared" si="35"/>
        <v>0</v>
      </c>
    </row>
    <row r="26" spans="1:72">
      <c r="A26" s="3262"/>
      <c r="B26" s="3263"/>
      <c r="C26" s="3263"/>
      <c r="D26" s="3268"/>
      <c r="E26" s="3264">
        <f t="shared" si="7"/>
        <v>0</v>
      </c>
      <c r="F26" s="3265"/>
      <c r="G26" s="3266">
        <f t="shared" si="8"/>
        <v>0</v>
      </c>
      <c r="H26" s="3267">
        <f t="shared" si="9"/>
        <v>0</v>
      </c>
      <c r="I26" s="3275"/>
      <c r="J26" s="3275"/>
      <c r="K26" s="3275"/>
      <c r="L26" s="3275"/>
      <c r="M26" s="3275"/>
      <c r="N26" s="3275"/>
      <c r="O26" s="3275"/>
      <c r="P26" s="3275"/>
      <c r="Q26" s="3275"/>
      <c r="R26" s="3275"/>
      <c r="S26" s="3275"/>
      <c r="T26" s="3275"/>
      <c r="U26" s="3275"/>
      <c r="V26" s="3275"/>
      <c r="W26" s="3275"/>
      <c r="X26" s="3275"/>
      <c r="Y26" s="3275"/>
      <c r="Z26" s="3275"/>
      <c r="AA26" s="3275"/>
      <c r="AB26" s="3275"/>
      <c r="AC26" s="3264">
        <f t="shared" si="10"/>
        <v>0</v>
      </c>
      <c r="AD26" s="3285"/>
      <c r="AE26" s="3285"/>
      <c r="AF26" s="3285"/>
      <c r="AG26" s="3285"/>
      <c r="AH26" s="3285"/>
      <c r="AI26" s="3285"/>
      <c r="AJ26" s="3285"/>
      <c r="AK26" s="3285"/>
      <c r="AL26" s="3285"/>
      <c r="AM26" s="3285"/>
      <c r="AN26" s="3285"/>
      <c r="AO26" s="3285"/>
      <c r="AP26" s="3285"/>
      <c r="AQ26" s="3285"/>
      <c r="AR26" s="3285"/>
      <c r="AS26" s="3285"/>
      <c r="AT26" s="3295"/>
      <c r="AU26" s="3296"/>
      <c r="AV26" s="830">
        <f t="shared" si="11"/>
        <v>0</v>
      </c>
      <c r="AW26" s="830">
        <f t="shared" si="12"/>
        <v>0</v>
      </c>
      <c r="AX26" s="830">
        <f t="shared" si="13"/>
        <v>0</v>
      </c>
      <c r="AY26" s="3310">
        <f t="shared" si="14"/>
        <v>0</v>
      </c>
      <c r="AZ26" s="3264">
        <f t="shared" si="15"/>
        <v>0</v>
      </c>
      <c r="BA26" s="3264">
        <f t="shared" si="16"/>
        <v>0</v>
      </c>
      <c r="BB26" s="3264">
        <f t="shared" si="17"/>
        <v>0</v>
      </c>
      <c r="BC26" s="3264">
        <f t="shared" si="18"/>
        <v>0</v>
      </c>
      <c r="BD26" s="3264">
        <f t="shared" si="19"/>
        <v>0</v>
      </c>
      <c r="BE26" s="3264">
        <f t="shared" si="20"/>
        <v>0</v>
      </c>
      <c r="BF26" s="3264">
        <f t="shared" si="21"/>
        <v>0</v>
      </c>
      <c r="BG26" s="3264">
        <f t="shared" si="22"/>
        <v>0</v>
      </c>
      <c r="BH26" s="3264">
        <f t="shared" si="23"/>
        <v>0</v>
      </c>
      <c r="BI26" s="3264">
        <f t="shared" si="24"/>
        <v>0</v>
      </c>
      <c r="BJ26" s="3264">
        <f t="shared" si="25"/>
        <v>0</v>
      </c>
      <c r="BK26" s="3264">
        <f t="shared" si="26"/>
        <v>0</v>
      </c>
      <c r="BL26" s="3264">
        <f t="shared" si="27"/>
        <v>0</v>
      </c>
      <c r="BM26" s="3264">
        <f t="shared" si="28"/>
        <v>0</v>
      </c>
      <c r="BN26" s="3264">
        <f t="shared" si="29"/>
        <v>0</v>
      </c>
      <c r="BO26" s="3264">
        <f t="shared" si="30"/>
        <v>0</v>
      </c>
      <c r="BP26" s="3264">
        <f t="shared" si="31"/>
        <v>0</v>
      </c>
      <c r="BQ26" s="3264">
        <f t="shared" si="32"/>
        <v>0</v>
      </c>
      <c r="BR26" s="3264">
        <f t="shared" si="33"/>
        <v>0</v>
      </c>
      <c r="BS26" s="3264">
        <f t="shared" si="34"/>
        <v>0</v>
      </c>
      <c r="BT26" s="3317">
        <f t="shared" si="35"/>
        <v>0</v>
      </c>
    </row>
    <row r="27" spans="1:72">
      <c r="A27" s="3262"/>
      <c r="B27" s="3263"/>
      <c r="C27" s="3263"/>
      <c r="D27" s="3268"/>
      <c r="E27" s="3264">
        <f t="shared" si="7"/>
        <v>0</v>
      </c>
      <c r="F27" s="3265"/>
      <c r="G27" s="3266">
        <f t="shared" si="8"/>
        <v>0</v>
      </c>
      <c r="H27" s="3267">
        <f t="shared" si="9"/>
        <v>0</v>
      </c>
      <c r="I27" s="3275"/>
      <c r="J27" s="3275"/>
      <c r="K27" s="3275"/>
      <c r="L27" s="3275"/>
      <c r="M27" s="3275"/>
      <c r="N27" s="3275"/>
      <c r="O27" s="3275"/>
      <c r="P27" s="3275"/>
      <c r="Q27" s="3275"/>
      <c r="R27" s="3275"/>
      <c r="S27" s="3275"/>
      <c r="T27" s="3275"/>
      <c r="U27" s="3275"/>
      <c r="V27" s="3275"/>
      <c r="W27" s="3275"/>
      <c r="X27" s="3275"/>
      <c r="Y27" s="3275"/>
      <c r="Z27" s="3275"/>
      <c r="AA27" s="3275"/>
      <c r="AB27" s="3275"/>
      <c r="AC27" s="3264">
        <f t="shared" si="10"/>
        <v>0</v>
      </c>
      <c r="AD27" s="3285"/>
      <c r="AE27" s="3285"/>
      <c r="AF27" s="3285"/>
      <c r="AG27" s="3285"/>
      <c r="AH27" s="3285"/>
      <c r="AI27" s="3285"/>
      <c r="AJ27" s="3285"/>
      <c r="AK27" s="3285"/>
      <c r="AL27" s="3285"/>
      <c r="AM27" s="3285"/>
      <c r="AN27" s="3285"/>
      <c r="AO27" s="3285"/>
      <c r="AP27" s="3285"/>
      <c r="AQ27" s="3285"/>
      <c r="AR27" s="3285"/>
      <c r="AS27" s="3285"/>
      <c r="AT27" s="3295"/>
      <c r="AU27" s="3296"/>
      <c r="AV27" s="830">
        <f t="shared" si="11"/>
        <v>0</v>
      </c>
      <c r="AW27" s="830">
        <f t="shared" si="12"/>
        <v>0</v>
      </c>
      <c r="AX27" s="830">
        <f t="shared" si="13"/>
        <v>0</v>
      </c>
      <c r="AY27" s="3310">
        <f t="shared" si="14"/>
        <v>0</v>
      </c>
      <c r="AZ27" s="3264">
        <f t="shared" si="15"/>
        <v>0</v>
      </c>
      <c r="BA27" s="3264">
        <f t="shared" si="16"/>
        <v>0</v>
      </c>
      <c r="BB27" s="3264">
        <f t="shared" si="17"/>
        <v>0</v>
      </c>
      <c r="BC27" s="3264">
        <f t="shared" si="18"/>
        <v>0</v>
      </c>
      <c r="BD27" s="3264">
        <f t="shared" si="19"/>
        <v>0</v>
      </c>
      <c r="BE27" s="3264">
        <f t="shared" si="20"/>
        <v>0</v>
      </c>
      <c r="BF27" s="3264">
        <f t="shared" si="21"/>
        <v>0</v>
      </c>
      <c r="BG27" s="3264">
        <f t="shared" si="22"/>
        <v>0</v>
      </c>
      <c r="BH27" s="3264">
        <f t="shared" si="23"/>
        <v>0</v>
      </c>
      <c r="BI27" s="3264">
        <f t="shared" si="24"/>
        <v>0</v>
      </c>
      <c r="BJ27" s="3264">
        <f t="shared" si="25"/>
        <v>0</v>
      </c>
      <c r="BK27" s="3264">
        <f t="shared" si="26"/>
        <v>0</v>
      </c>
      <c r="BL27" s="3264">
        <f t="shared" si="27"/>
        <v>0</v>
      </c>
      <c r="BM27" s="3264">
        <f t="shared" si="28"/>
        <v>0</v>
      </c>
      <c r="BN27" s="3264">
        <f t="shared" si="29"/>
        <v>0</v>
      </c>
      <c r="BO27" s="3264">
        <f t="shared" si="30"/>
        <v>0</v>
      </c>
      <c r="BP27" s="3264">
        <f t="shared" si="31"/>
        <v>0</v>
      </c>
      <c r="BQ27" s="3264">
        <f t="shared" si="32"/>
        <v>0</v>
      </c>
      <c r="BR27" s="3264">
        <f t="shared" si="33"/>
        <v>0</v>
      </c>
      <c r="BS27" s="3264">
        <f t="shared" si="34"/>
        <v>0</v>
      </c>
      <c r="BT27" s="3317">
        <f t="shared" si="35"/>
        <v>0</v>
      </c>
    </row>
    <row r="28" spans="1:72">
      <c r="A28" s="3262"/>
      <c r="B28" s="3263"/>
      <c r="C28" s="3263"/>
      <c r="D28" s="3268"/>
      <c r="E28" s="3264">
        <f t="shared" si="7"/>
        <v>0</v>
      </c>
      <c r="F28" s="3265"/>
      <c r="G28" s="3266">
        <f t="shared" si="8"/>
        <v>0</v>
      </c>
      <c r="H28" s="3267">
        <f t="shared" si="9"/>
        <v>0</v>
      </c>
      <c r="I28" s="3275"/>
      <c r="J28" s="3275"/>
      <c r="K28" s="3275"/>
      <c r="L28" s="3275"/>
      <c r="M28" s="3275"/>
      <c r="N28" s="3275"/>
      <c r="O28" s="3275"/>
      <c r="P28" s="3275"/>
      <c r="Q28" s="3275"/>
      <c r="R28" s="3275"/>
      <c r="S28" s="3275"/>
      <c r="T28" s="3275"/>
      <c r="U28" s="3275"/>
      <c r="V28" s="3275"/>
      <c r="W28" s="3275"/>
      <c r="X28" s="3275"/>
      <c r="Y28" s="3275"/>
      <c r="Z28" s="3275"/>
      <c r="AA28" s="3275"/>
      <c r="AB28" s="3275"/>
      <c r="AC28" s="3264">
        <f t="shared" si="10"/>
        <v>0</v>
      </c>
      <c r="AD28" s="3285"/>
      <c r="AE28" s="3285"/>
      <c r="AF28" s="3285"/>
      <c r="AG28" s="3285"/>
      <c r="AH28" s="3285"/>
      <c r="AI28" s="3285"/>
      <c r="AJ28" s="3285"/>
      <c r="AK28" s="3285"/>
      <c r="AL28" s="3285"/>
      <c r="AM28" s="3285"/>
      <c r="AN28" s="3285"/>
      <c r="AO28" s="3285"/>
      <c r="AP28" s="3285"/>
      <c r="AQ28" s="3285"/>
      <c r="AR28" s="3285"/>
      <c r="AS28" s="3285"/>
      <c r="AT28" s="3295"/>
      <c r="AU28" s="3296"/>
      <c r="AV28" s="830">
        <f t="shared" si="11"/>
        <v>0</v>
      </c>
      <c r="AW28" s="830">
        <f t="shared" si="12"/>
        <v>0</v>
      </c>
      <c r="AX28" s="830">
        <f t="shared" si="13"/>
        <v>0</v>
      </c>
      <c r="AY28" s="3310">
        <f t="shared" si="14"/>
        <v>0</v>
      </c>
      <c r="AZ28" s="3264">
        <f t="shared" si="15"/>
        <v>0</v>
      </c>
      <c r="BA28" s="3264">
        <f t="shared" si="16"/>
        <v>0</v>
      </c>
      <c r="BB28" s="3264">
        <f t="shared" si="17"/>
        <v>0</v>
      </c>
      <c r="BC28" s="3264">
        <f t="shared" si="18"/>
        <v>0</v>
      </c>
      <c r="BD28" s="3264">
        <f t="shared" si="19"/>
        <v>0</v>
      </c>
      <c r="BE28" s="3264">
        <f t="shared" si="20"/>
        <v>0</v>
      </c>
      <c r="BF28" s="3264">
        <f t="shared" si="21"/>
        <v>0</v>
      </c>
      <c r="BG28" s="3264">
        <f t="shared" si="22"/>
        <v>0</v>
      </c>
      <c r="BH28" s="3264">
        <f t="shared" si="23"/>
        <v>0</v>
      </c>
      <c r="BI28" s="3264">
        <f t="shared" si="24"/>
        <v>0</v>
      </c>
      <c r="BJ28" s="3264">
        <f t="shared" si="25"/>
        <v>0</v>
      </c>
      <c r="BK28" s="3264">
        <f t="shared" si="26"/>
        <v>0</v>
      </c>
      <c r="BL28" s="3264">
        <f t="shared" si="27"/>
        <v>0</v>
      </c>
      <c r="BM28" s="3264">
        <f t="shared" si="28"/>
        <v>0</v>
      </c>
      <c r="BN28" s="3264">
        <f t="shared" si="29"/>
        <v>0</v>
      </c>
      <c r="BO28" s="3264">
        <f t="shared" si="30"/>
        <v>0</v>
      </c>
      <c r="BP28" s="3264">
        <f t="shared" si="31"/>
        <v>0</v>
      </c>
      <c r="BQ28" s="3264">
        <f t="shared" si="32"/>
        <v>0</v>
      </c>
      <c r="BR28" s="3264">
        <f t="shared" si="33"/>
        <v>0</v>
      </c>
      <c r="BS28" s="3264">
        <f t="shared" si="34"/>
        <v>0</v>
      </c>
      <c r="BT28" s="3317">
        <f t="shared" si="35"/>
        <v>0</v>
      </c>
    </row>
    <row r="29" spans="1:72">
      <c r="A29" s="3262"/>
      <c r="B29" s="3263"/>
      <c r="C29" s="3263"/>
      <c r="D29" s="3268"/>
      <c r="E29" s="3264">
        <f t="shared" si="7"/>
        <v>0</v>
      </c>
      <c r="F29" s="3265"/>
      <c r="G29" s="3266">
        <f t="shared" si="8"/>
        <v>0</v>
      </c>
      <c r="H29" s="3267">
        <f t="shared" si="9"/>
        <v>0</v>
      </c>
      <c r="I29" s="3275"/>
      <c r="J29" s="3275"/>
      <c r="K29" s="3275"/>
      <c r="L29" s="3275"/>
      <c r="M29" s="3275"/>
      <c r="N29" s="3275"/>
      <c r="O29" s="3275"/>
      <c r="P29" s="3275"/>
      <c r="Q29" s="3275"/>
      <c r="R29" s="3275"/>
      <c r="S29" s="3275"/>
      <c r="T29" s="3275"/>
      <c r="U29" s="3275"/>
      <c r="V29" s="3275"/>
      <c r="W29" s="3275"/>
      <c r="X29" s="3275"/>
      <c r="Y29" s="3275"/>
      <c r="Z29" s="3275"/>
      <c r="AA29" s="3275"/>
      <c r="AB29" s="3275"/>
      <c r="AC29" s="3264">
        <f t="shared" si="10"/>
        <v>0</v>
      </c>
      <c r="AD29" s="3285"/>
      <c r="AE29" s="3285"/>
      <c r="AF29" s="3285"/>
      <c r="AG29" s="3285"/>
      <c r="AH29" s="3285"/>
      <c r="AI29" s="3285"/>
      <c r="AJ29" s="3285"/>
      <c r="AK29" s="3285"/>
      <c r="AL29" s="3285"/>
      <c r="AM29" s="3285"/>
      <c r="AN29" s="3285"/>
      <c r="AO29" s="3285"/>
      <c r="AP29" s="3285"/>
      <c r="AQ29" s="3285"/>
      <c r="AR29" s="3285"/>
      <c r="AS29" s="3285"/>
      <c r="AT29" s="3295"/>
      <c r="AU29" s="3296"/>
      <c r="AV29" s="830">
        <f t="shared" si="11"/>
        <v>0</v>
      </c>
      <c r="AW29" s="830">
        <f t="shared" si="12"/>
        <v>0</v>
      </c>
      <c r="AX29" s="830">
        <f t="shared" si="13"/>
        <v>0</v>
      </c>
      <c r="AY29" s="3310">
        <f t="shared" si="14"/>
        <v>0</v>
      </c>
      <c r="AZ29" s="3264">
        <f t="shared" si="15"/>
        <v>0</v>
      </c>
      <c r="BA29" s="3264">
        <f t="shared" si="16"/>
        <v>0</v>
      </c>
      <c r="BB29" s="3264">
        <f t="shared" si="17"/>
        <v>0</v>
      </c>
      <c r="BC29" s="3264">
        <f t="shared" si="18"/>
        <v>0</v>
      </c>
      <c r="BD29" s="3264">
        <f t="shared" si="19"/>
        <v>0</v>
      </c>
      <c r="BE29" s="3264">
        <f t="shared" si="20"/>
        <v>0</v>
      </c>
      <c r="BF29" s="3264">
        <f t="shared" si="21"/>
        <v>0</v>
      </c>
      <c r="BG29" s="3264">
        <f t="shared" si="22"/>
        <v>0</v>
      </c>
      <c r="BH29" s="3264">
        <f t="shared" si="23"/>
        <v>0</v>
      </c>
      <c r="BI29" s="3264">
        <f t="shared" si="24"/>
        <v>0</v>
      </c>
      <c r="BJ29" s="3264">
        <f t="shared" si="25"/>
        <v>0</v>
      </c>
      <c r="BK29" s="3264">
        <f t="shared" si="26"/>
        <v>0</v>
      </c>
      <c r="BL29" s="3264">
        <f t="shared" si="27"/>
        <v>0</v>
      </c>
      <c r="BM29" s="3264">
        <f t="shared" si="28"/>
        <v>0</v>
      </c>
      <c r="BN29" s="3264">
        <f t="shared" si="29"/>
        <v>0</v>
      </c>
      <c r="BO29" s="3264">
        <f t="shared" si="30"/>
        <v>0</v>
      </c>
      <c r="BP29" s="3264">
        <f t="shared" si="31"/>
        <v>0</v>
      </c>
      <c r="BQ29" s="3264">
        <f t="shared" si="32"/>
        <v>0</v>
      </c>
      <c r="BR29" s="3264">
        <f t="shared" si="33"/>
        <v>0</v>
      </c>
      <c r="BS29" s="3264">
        <f t="shared" si="34"/>
        <v>0</v>
      </c>
      <c r="BT29" s="3317">
        <f t="shared" si="35"/>
        <v>0</v>
      </c>
    </row>
    <row r="30" spans="1:72">
      <c r="A30" s="3262"/>
      <c r="B30" s="3263"/>
      <c r="C30" s="3263"/>
      <c r="D30" s="3268"/>
      <c r="E30" s="3264">
        <f t="shared" si="7"/>
        <v>0</v>
      </c>
      <c r="F30" s="3265"/>
      <c r="G30" s="3266">
        <f t="shared" si="8"/>
        <v>0</v>
      </c>
      <c r="H30" s="3267">
        <f t="shared" si="9"/>
        <v>0</v>
      </c>
      <c r="I30" s="3275"/>
      <c r="J30" s="3275"/>
      <c r="K30" s="3275"/>
      <c r="L30" s="3275"/>
      <c r="M30" s="3275"/>
      <c r="N30" s="3275"/>
      <c r="O30" s="3275"/>
      <c r="P30" s="3275"/>
      <c r="Q30" s="3275"/>
      <c r="R30" s="3275"/>
      <c r="S30" s="3275"/>
      <c r="T30" s="3275"/>
      <c r="U30" s="3275"/>
      <c r="V30" s="3275"/>
      <c r="W30" s="3275"/>
      <c r="X30" s="3275"/>
      <c r="Y30" s="3275"/>
      <c r="Z30" s="3275"/>
      <c r="AA30" s="3275"/>
      <c r="AB30" s="3275"/>
      <c r="AC30" s="3264">
        <f t="shared" si="10"/>
        <v>0</v>
      </c>
      <c r="AD30" s="3285"/>
      <c r="AE30" s="3285"/>
      <c r="AF30" s="3285"/>
      <c r="AG30" s="3285"/>
      <c r="AH30" s="3285"/>
      <c r="AI30" s="3285"/>
      <c r="AJ30" s="3285"/>
      <c r="AK30" s="3285"/>
      <c r="AL30" s="3285"/>
      <c r="AM30" s="3285"/>
      <c r="AN30" s="3285"/>
      <c r="AO30" s="3285"/>
      <c r="AP30" s="3285"/>
      <c r="AQ30" s="3285"/>
      <c r="AR30" s="3285"/>
      <c r="AS30" s="3285"/>
      <c r="AT30" s="3295"/>
      <c r="AU30" s="3296"/>
      <c r="AV30" s="830">
        <f t="shared" si="11"/>
        <v>0</v>
      </c>
      <c r="AW30" s="830">
        <f t="shared" si="12"/>
        <v>0</v>
      </c>
      <c r="AX30" s="830">
        <f t="shared" si="13"/>
        <v>0</v>
      </c>
      <c r="AY30" s="3310">
        <f t="shared" si="14"/>
        <v>0</v>
      </c>
      <c r="AZ30" s="3264">
        <f t="shared" si="15"/>
        <v>0</v>
      </c>
      <c r="BA30" s="3264">
        <f t="shared" si="16"/>
        <v>0</v>
      </c>
      <c r="BB30" s="3264">
        <f t="shared" si="17"/>
        <v>0</v>
      </c>
      <c r="BC30" s="3264">
        <f t="shared" si="18"/>
        <v>0</v>
      </c>
      <c r="BD30" s="3264">
        <f t="shared" si="19"/>
        <v>0</v>
      </c>
      <c r="BE30" s="3264">
        <f t="shared" si="20"/>
        <v>0</v>
      </c>
      <c r="BF30" s="3264">
        <f t="shared" si="21"/>
        <v>0</v>
      </c>
      <c r="BG30" s="3264">
        <f t="shared" si="22"/>
        <v>0</v>
      </c>
      <c r="BH30" s="3264">
        <f t="shared" si="23"/>
        <v>0</v>
      </c>
      <c r="BI30" s="3264">
        <f t="shared" si="24"/>
        <v>0</v>
      </c>
      <c r="BJ30" s="3264">
        <f t="shared" si="25"/>
        <v>0</v>
      </c>
      <c r="BK30" s="3264">
        <f t="shared" si="26"/>
        <v>0</v>
      </c>
      <c r="BL30" s="3264">
        <f t="shared" si="27"/>
        <v>0</v>
      </c>
      <c r="BM30" s="3264">
        <f t="shared" si="28"/>
        <v>0</v>
      </c>
      <c r="BN30" s="3264">
        <f t="shared" si="29"/>
        <v>0</v>
      </c>
      <c r="BO30" s="3264">
        <f t="shared" si="30"/>
        <v>0</v>
      </c>
      <c r="BP30" s="3264">
        <f t="shared" si="31"/>
        <v>0</v>
      </c>
      <c r="BQ30" s="3264">
        <f t="shared" si="32"/>
        <v>0</v>
      </c>
      <c r="BR30" s="3264">
        <f t="shared" si="33"/>
        <v>0</v>
      </c>
      <c r="BS30" s="3264">
        <f t="shared" si="34"/>
        <v>0</v>
      </c>
      <c r="BT30" s="3317">
        <f t="shared" si="35"/>
        <v>0</v>
      </c>
    </row>
    <row r="31" spans="1:72">
      <c r="A31" s="3262"/>
      <c r="B31" s="3263"/>
      <c r="C31" s="3263"/>
      <c r="D31" s="3268"/>
      <c r="E31" s="3264">
        <f t="shared" si="7"/>
        <v>0</v>
      </c>
      <c r="F31" s="3265"/>
      <c r="G31" s="3266">
        <f t="shared" si="8"/>
        <v>0</v>
      </c>
      <c r="H31" s="3267">
        <f t="shared" si="9"/>
        <v>0</v>
      </c>
      <c r="I31" s="3275"/>
      <c r="J31" s="3275"/>
      <c r="K31" s="3275"/>
      <c r="L31" s="3275"/>
      <c r="M31" s="3275"/>
      <c r="N31" s="3275"/>
      <c r="O31" s="3275"/>
      <c r="P31" s="3275"/>
      <c r="Q31" s="3275"/>
      <c r="R31" s="3275"/>
      <c r="S31" s="3275"/>
      <c r="T31" s="3275"/>
      <c r="U31" s="3275"/>
      <c r="V31" s="3275"/>
      <c r="W31" s="3275"/>
      <c r="X31" s="3275"/>
      <c r="Y31" s="3275"/>
      <c r="Z31" s="3275"/>
      <c r="AA31" s="3275"/>
      <c r="AB31" s="3275"/>
      <c r="AC31" s="3264">
        <f t="shared" si="10"/>
        <v>0</v>
      </c>
      <c r="AD31" s="3285"/>
      <c r="AE31" s="3285"/>
      <c r="AF31" s="3285"/>
      <c r="AG31" s="3285"/>
      <c r="AH31" s="3285"/>
      <c r="AI31" s="3285"/>
      <c r="AJ31" s="3285"/>
      <c r="AK31" s="3285"/>
      <c r="AL31" s="3285"/>
      <c r="AM31" s="3285"/>
      <c r="AN31" s="3285"/>
      <c r="AO31" s="3285"/>
      <c r="AP31" s="3285"/>
      <c r="AQ31" s="3285"/>
      <c r="AR31" s="3285"/>
      <c r="AS31" s="3285"/>
      <c r="AT31" s="3295"/>
      <c r="AU31" s="3296"/>
      <c r="AV31" s="830">
        <f t="shared" si="11"/>
        <v>0</v>
      </c>
      <c r="AW31" s="830">
        <f t="shared" si="12"/>
        <v>0</v>
      </c>
      <c r="AX31" s="830">
        <f t="shared" si="13"/>
        <v>0</v>
      </c>
      <c r="AY31" s="3310">
        <f t="shared" si="14"/>
        <v>0</v>
      </c>
      <c r="AZ31" s="3264">
        <f t="shared" si="15"/>
        <v>0</v>
      </c>
      <c r="BA31" s="3264">
        <f t="shared" si="16"/>
        <v>0</v>
      </c>
      <c r="BB31" s="3264">
        <f t="shared" si="17"/>
        <v>0</v>
      </c>
      <c r="BC31" s="3264">
        <f t="shared" si="18"/>
        <v>0</v>
      </c>
      <c r="BD31" s="3264">
        <f t="shared" si="19"/>
        <v>0</v>
      </c>
      <c r="BE31" s="3264">
        <f t="shared" si="20"/>
        <v>0</v>
      </c>
      <c r="BF31" s="3264">
        <f t="shared" si="21"/>
        <v>0</v>
      </c>
      <c r="BG31" s="3264">
        <f t="shared" si="22"/>
        <v>0</v>
      </c>
      <c r="BH31" s="3264">
        <f t="shared" si="23"/>
        <v>0</v>
      </c>
      <c r="BI31" s="3264">
        <f t="shared" si="24"/>
        <v>0</v>
      </c>
      <c r="BJ31" s="3264">
        <f t="shared" si="25"/>
        <v>0</v>
      </c>
      <c r="BK31" s="3264">
        <f t="shared" si="26"/>
        <v>0</v>
      </c>
      <c r="BL31" s="3264">
        <f t="shared" si="27"/>
        <v>0</v>
      </c>
      <c r="BM31" s="3264">
        <f t="shared" si="28"/>
        <v>0</v>
      </c>
      <c r="BN31" s="3264">
        <f t="shared" si="29"/>
        <v>0</v>
      </c>
      <c r="BO31" s="3264">
        <f t="shared" si="30"/>
        <v>0</v>
      </c>
      <c r="BP31" s="3264">
        <f t="shared" si="31"/>
        <v>0</v>
      </c>
      <c r="BQ31" s="3264">
        <f t="shared" si="32"/>
        <v>0</v>
      </c>
      <c r="BR31" s="3264">
        <f t="shared" si="33"/>
        <v>0</v>
      </c>
      <c r="BS31" s="3264">
        <f t="shared" si="34"/>
        <v>0</v>
      </c>
      <c r="BT31" s="3317">
        <f t="shared" si="35"/>
        <v>0</v>
      </c>
    </row>
    <row r="32" spans="1:72">
      <c r="A32" s="3262"/>
      <c r="B32" s="3263"/>
      <c r="C32" s="3263"/>
      <c r="D32" s="3268"/>
      <c r="E32" s="3264">
        <f t="shared" si="7"/>
        <v>0</v>
      </c>
      <c r="F32" s="3265"/>
      <c r="G32" s="3266">
        <f t="shared" si="8"/>
        <v>0</v>
      </c>
      <c r="H32" s="3267">
        <f t="shared" si="9"/>
        <v>0</v>
      </c>
      <c r="I32" s="3275"/>
      <c r="J32" s="3275"/>
      <c r="K32" s="3275"/>
      <c r="L32" s="3275"/>
      <c r="M32" s="3275"/>
      <c r="N32" s="3275"/>
      <c r="O32" s="3275"/>
      <c r="P32" s="3275"/>
      <c r="Q32" s="3275"/>
      <c r="R32" s="3275"/>
      <c r="S32" s="3275"/>
      <c r="T32" s="3275"/>
      <c r="U32" s="3275"/>
      <c r="V32" s="3275"/>
      <c r="W32" s="3275"/>
      <c r="X32" s="3275"/>
      <c r="Y32" s="3275"/>
      <c r="Z32" s="3275"/>
      <c r="AA32" s="3275"/>
      <c r="AB32" s="3275"/>
      <c r="AC32" s="3264">
        <f t="shared" si="10"/>
        <v>0</v>
      </c>
      <c r="AD32" s="3285"/>
      <c r="AE32" s="3285"/>
      <c r="AF32" s="3285"/>
      <c r="AG32" s="3285"/>
      <c r="AH32" s="3285"/>
      <c r="AI32" s="3285"/>
      <c r="AJ32" s="3285"/>
      <c r="AK32" s="3285"/>
      <c r="AL32" s="3285"/>
      <c r="AM32" s="3285"/>
      <c r="AN32" s="3285"/>
      <c r="AO32" s="3285"/>
      <c r="AP32" s="3285"/>
      <c r="AQ32" s="3285"/>
      <c r="AR32" s="3285"/>
      <c r="AS32" s="3285"/>
      <c r="AT32" s="3295"/>
      <c r="AU32" s="3296"/>
      <c r="AV32" s="830">
        <f t="shared" si="11"/>
        <v>0</v>
      </c>
      <c r="AW32" s="830">
        <f t="shared" si="12"/>
        <v>0</v>
      </c>
      <c r="AX32" s="830">
        <f t="shared" si="13"/>
        <v>0</v>
      </c>
      <c r="AY32" s="3310">
        <f t="shared" si="14"/>
        <v>0</v>
      </c>
      <c r="AZ32" s="3264">
        <f t="shared" si="15"/>
        <v>0</v>
      </c>
      <c r="BA32" s="3264">
        <f t="shared" si="16"/>
        <v>0</v>
      </c>
      <c r="BB32" s="3264">
        <f t="shared" si="17"/>
        <v>0</v>
      </c>
      <c r="BC32" s="3264">
        <f t="shared" si="18"/>
        <v>0</v>
      </c>
      <c r="BD32" s="3264">
        <f t="shared" si="19"/>
        <v>0</v>
      </c>
      <c r="BE32" s="3264">
        <f t="shared" si="20"/>
        <v>0</v>
      </c>
      <c r="BF32" s="3264">
        <f t="shared" si="21"/>
        <v>0</v>
      </c>
      <c r="BG32" s="3264">
        <f t="shared" si="22"/>
        <v>0</v>
      </c>
      <c r="BH32" s="3264">
        <f t="shared" si="23"/>
        <v>0</v>
      </c>
      <c r="BI32" s="3264">
        <f t="shared" si="24"/>
        <v>0</v>
      </c>
      <c r="BJ32" s="3264">
        <f t="shared" si="25"/>
        <v>0</v>
      </c>
      <c r="BK32" s="3264">
        <f t="shared" si="26"/>
        <v>0</v>
      </c>
      <c r="BL32" s="3264">
        <f t="shared" si="27"/>
        <v>0</v>
      </c>
      <c r="BM32" s="3264">
        <f t="shared" si="28"/>
        <v>0</v>
      </c>
      <c r="BN32" s="3264">
        <f t="shared" si="29"/>
        <v>0</v>
      </c>
      <c r="BO32" s="3264">
        <f t="shared" si="30"/>
        <v>0</v>
      </c>
      <c r="BP32" s="3264">
        <f t="shared" si="31"/>
        <v>0</v>
      </c>
      <c r="BQ32" s="3264">
        <f t="shared" si="32"/>
        <v>0</v>
      </c>
      <c r="BR32" s="3264">
        <f t="shared" si="33"/>
        <v>0</v>
      </c>
      <c r="BS32" s="3264">
        <f t="shared" si="34"/>
        <v>0</v>
      </c>
      <c r="BT32" s="3317">
        <f t="shared" si="35"/>
        <v>0</v>
      </c>
    </row>
    <row r="33" spans="1:72">
      <c r="A33" s="3262"/>
      <c r="B33" s="3263"/>
      <c r="C33" s="3263"/>
      <c r="D33" s="3268"/>
      <c r="E33" s="3264">
        <f t="shared" si="7"/>
        <v>0</v>
      </c>
      <c r="F33" s="3265"/>
      <c r="G33" s="3266">
        <f t="shared" si="8"/>
        <v>0</v>
      </c>
      <c r="H33" s="3267">
        <f t="shared" si="9"/>
        <v>0</v>
      </c>
      <c r="I33" s="3275"/>
      <c r="J33" s="3275"/>
      <c r="K33" s="3275"/>
      <c r="L33" s="3275"/>
      <c r="M33" s="3275"/>
      <c r="N33" s="3275"/>
      <c r="O33" s="3275"/>
      <c r="P33" s="3275"/>
      <c r="Q33" s="3275"/>
      <c r="R33" s="3275"/>
      <c r="S33" s="3275"/>
      <c r="T33" s="3275"/>
      <c r="U33" s="3275"/>
      <c r="V33" s="3275"/>
      <c r="W33" s="3275"/>
      <c r="X33" s="3275"/>
      <c r="Y33" s="3275"/>
      <c r="Z33" s="3275"/>
      <c r="AA33" s="3275"/>
      <c r="AB33" s="3275"/>
      <c r="AC33" s="3264">
        <f t="shared" si="10"/>
        <v>0</v>
      </c>
      <c r="AD33" s="3285"/>
      <c r="AE33" s="3285"/>
      <c r="AF33" s="3285"/>
      <c r="AG33" s="3285"/>
      <c r="AH33" s="3285"/>
      <c r="AI33" s="3285"/>
      <c r="AJ33" s="3285"/>
      <c r="AK33" s="3285"/>
      <c r="AL33" s="3285"/>
      <c r="AM33" s="3285"/>
      <c r="AN33" s="3285"/>
      <c r="AO33" s="3285"/>
      <c r="AP33" s="3285"/>
      <c r="AQ33" s="3285"/>
      <c r="AR33" s="3285"/>
      <c r="AS33" s="3285"/>
      <c r="AT33" s="3295"/>
      <c r="AU33" s="3296"/>
      <c r="AV33" s="830">
        <f t="shared" si="11"/>
        <v>0</v>
      </c>
      <c r="AW33" s="830">
        <f t="shared" si="12"/>
        <v>0</v>
      </c>
      <c r="AX33" s="830">
        <f t="shared" si="13"/>
        <v>0</v>
      </c>
      <c r="AY33" s="3310">
        <f t="shared" si="14"/>
        <v>0</v>
      </c>
      <c r="AZ33" s="3264">
        <f t="shared" si="15"/>
        <v>0</v>
      </c>
      <c r="BA33" s="3264">
        <f t="shared" si="16"/>
        <v>0</v>
      </c>
      <c r="BB33" s="3264">
        <f t="shared" si="17"/>
        <v>0</v>
      </c>
      <c r="BC33" s="3264">
        <f t="shared" si="18"/>
        <v>0</v>
      </c>
      <c r="BD33" s="3264">
        <f t="shared" si="19"/>
        <v>0</v>
      </c>
      <c r="BE33" s="3264">
        <f t="shared" si="20"/>
        <v>0</v>
      </c>
      <c r="BF33" s="3264">
        <f t="shared" si="21"/>
        <v>0</v>
      </c>
      <c r="BG33" s="3264">
        <f t="shared" si="22"/>
        <v>0</v>
      </c>
      <c r="BH33" s="3264">
        <f t="shared" si="23"/>
        <v>0</v>
      </c>
      <c r="BI33" s="3264">
        <f t="shared" si="24"/>
        <v>0</v>
      </c>
      <c r="BJ33" s="3264">
        <f t="shared" si="25"/>
        <v>0</v>
      </c>
      <c r="BK33" s="3264">
        <f t="shared" si="26"/>
        <v>0</v>
      </c>
      <c r="BL33" s="3264">
        <f t="shared" si="27"/>
        <v>0</v>
      </c>
      <c r="BM33" s="3264">
        <f t="shared" si="28"/>
        <v>0</v>
      </c>
      <c r="BN33" s="3264">
        <f t="shared" si="29"/>
        <v>0</v>
      </c>
      <c r="BO33" s="3264">
        <f t="shared" si="30"/>
        <v>0</v>
      </c>
      <c r="BP33" s="3264">
        <f t="shared" si="31"/>
        <v>0</v>
      </c>
      <c r="BQ33" s="3264">
        <f t="shared" si="32"/>
        <v>0</v>
      </c>
      <c r="BR33" s="3264">
        <f t="shared" si="33"/>
        <v>0</v>
      </c>
      <c r="BS33" s="3264">
        <f t="shared" si="34"/>
        <v>0</v>
      </c>
      <c r="BT33" s="3317">
        <f t="shared" si="35"/>
        <v>0</v>
      </c>
    </row>
    <row r="34" spans="1:72">
      <c r="A34" s="3262"/>
      <c r="B34" s="3263"/>
      <c r="C34" s="3263"/>
      <c r="D34" s="3268"/>
      <c r="E34" s="3264">
        <f t="shared" si="7"/>
        <v>0</v>
      </c>
      <c r="F34" s="3265"/>
      <c r="G34" s="3266">
        <f t="shared" si="8"/>
        <v>0</v>
      </c>
      <c r="H34" s="3267">
        <f t="shared" si="9"/>
        <v>0</v>
      </c>
      <c r="I34" s="3275"/>
      <c r="J34" s="3275"/>
      <c r="K34" s="3275"/>
      <c r="L34" s="3275"/>
      <c r="M34" s="3275"/>
      <c r="N34" s="3275"/>
      <c r="O34" s="3275"/>
      <c r="P34" s="3275"/>
      <c r="Q34" s="3275"/>
      <c r="R34" s="3275"/>
      <c r="S34" s="3275"/>
      <c r="T34" s="3275"/>
      <c r="U34" s="3275"/>
      <c r="V34" s="3275"/>
      <c r="W34" s="3275"/>
      <c r="X34" s="3275"/>
      <c r="Y34" s="3275"/>
      <c r="Z34" s="3275"/>
      <c r="AA34" s="3275"/>
      <c r="AB34" s="3275"/>
      <c r="AC34" s="3264">
        <f t="shared" si="10"/>
        <v>0</v>
      </c>
      <c r="AD34" s="3285"/>
      <c r="AE34" s="3285"/>
      <c r="AF34" s="3285"/>
      <c r="AG34" s="3285"/>
      <c r="AH34" s="3285"/>
      <c r="AI34" s="3285"/>
      <c r="AJ34" s="3285"/>
      <c r="AK34" s="3285"/>
      <c r="AL34" s="3285"/>
      <c r="AM34" s="3285"/>
      <c r="AN34" s="3285"/>
      <c r="AO34" s="3285"/>
      <c r="AP34" s="3285"/>
      <c r="AQ34" s="3285"/>
      <c r="AR34" s="3285"/>
      <c r="AS34" s="3285"/>
      <c r="AT34" s="3295"/>
      <c r="AU34" s="3296"/>
      <c r="AV34" s="830">
        <f t="shared" si="11"/>
        <v>0</v>
      </c>
      <c r="AW34" s="830">
        <f t="shared" si="12"/>
        <v>0</v>
      </c>
      <c r="AX34" s="830">
        <f t="shared" si="13"/>
        <v>0</v>
      </c>
      <c r="AY34" s="3310">
        <f t="shared" si="14"/>
        <v>0</v>
      </c>
      <c r="AZ34" s="3264">
        <f t="shared" si="15"/>
        <v>0</v>
      </c>
      <c r="BA34" s="3264">
        <f t="shared" si="16"/>
        <v>0</v>
      </c>
      <c r="BB34" s="3264">
        <f t="shared" si="17"/>
        <v>0</v>
      </c>
      <c r="BC34" s="3264">
        <f t="shared" si="18"/>
        <v>0</v>
      </c>
      <c r="BD34" s="3264">
        <f t="shared" si="19"/>
        <v>0</v>
      </c>
      <c r="BE34" s="3264">
        <f t="shared" si="20"/>
        <v>0</v>
      </c>
      <c r="BF34" s="3264">
        <f t="shared" si="21"/>
        <v>0</v>
      </c>
      <c r="BG34" s="3264">
        <f t="shared" si="22"/>
        <v>0</v>
      </c>
      <c r="BH34" s="3264">
        <f t="shared" si="23"/>
        <v>0</v>
      </c>
      <c r="BI34" s="3264">
        <f t="shared" si="24"/>
        <v>0</v>
      </c>
      <c r="BJ34" s="3264">
        <f t="shared" si="25"/>
        <v>0</v>
      </c>
      <c r="BK34" s="3264">
        <f t="shared" si="26"/>
        <v>0</v>
      </c>
      <c r="BL34" s="3264">
        <f t="shared" si="27"/>
        <v>0</v>
      </c>
      <c r="BM34" s="3264">
        <f t="shared" si="28"/>
        <v>0</v>
      </c>
      <c r="BN34" s="3264">
        <f t="shared" si="29"/>
        <v>0</v>
      </c>
      <c r="BO34" s="3264">
        <f t="shared" si="30"/>
        <v>0</v>
      </c>
      <c r="BP34" s="3264">
        <f t="shared" si="31"/>
        <v>0</v>
      </c>
      <c r="BQ34" s="3264">
        <f t="shared" si="32"/>
        <v>0</v>
      </c>
      <c r="BR34" s="3264">
        <f t="shared" si="33"/>
        <v>0</v>
      </c>
      <c r="BS34" s="3264">
        <f t="shared" si="34"/>
        <v>0</v>
      </c>
      <c r="BT34" s="3317">
        <f t="shared" si="35"/>
        <v>0</v>
      </c>
    </row>
    <row r="35" spans="1:72">
      <c r="A35" s="3262"/>
      <c r="B35" s="3263"/>
      <c r="C35" s="3263"/>
      <c r="D35" s="3268"/>
      <c r="E35" s="3264">
        <f t="shared" si="7"/>
        <v>0</v>
      </c>
      <c r="F35" s="3265"/>
      <c r="G35" s="3266">
        <f t="shared" si="8"/>
        <v>0</v>
      </c>
      <c r="H35" s="3267">
        <f t="shared" si="9"/>
        <v>0</v>
      </c>
      <c r="I35" s="3275"/>
      <c r="J35" s="3275"/>
      <c r="K35" s="3275"/>
      <c r="L35" s="3275"/>
      <c r="M35" s="3275"/>
      <c r="N35" s="3275"/>
      <c r="O35" s="3275"/>
      <c r="P35" s="3275"/>
      <c r="Q35" s="3275"/>
      <c r="R35" s="3275"/>
      <c r="S35" s="3275"/>
      <c r="T35" s="3275"/>
      <c r="U35" s="3275"/>
      <c r="V35" s="3275"/>
      <c r="W35" s="3275"/>
      <c r="X35" s="3275"/>
      <c r="Y35" s="3275"/>
      <c r="Z35" s="3275"/>
      <c r="AA35" s="3275"/>
      <c r="AB35" s="3275"/>
      <c r="AC35" s="3264">
        <f t="shared" si="10"/>
        <v>0</v>
      </c>
      <c r="AD35" s="3285"/>
      <c r="AE35" s="3285"/>
      <c r="AF35" s="3285"/>
      <c r="AG35" s="3285"/>
      <c r="AH35" s="3285"/>
      <c r="AI35" s="3285"/>
      <c r="AJ35" s="3285"/>
      <c r="AK35" s="3285"/>
      <c r="AL35" s="3285"/>
      <c r="AM35" s="3285"/>
      <c r="AN35" s="3285"/>
      <c r="AO35" s="3285"/>
      <c r="AP35" s="3285"/>
      <c r="AQ35" s="3285"/>
      <c r="AR35" s="3285"/>
      <c r="AS35" s="3285"/>
      <c r="AT35" s="3295"/>
      <c r="AU35" s="3296"/>
      <c r="AV35" s="830">
        <f t="shared" si="11"/>
        <v>0</v>
      </c>
      <c r="AW35" s="830">
        <f t="shared" si="12"/>
        <v>0</v>
      </c>
      <c r="AX35" s="830">
        <f t="shared" si="13"/>
        <v>0</v>
      </c>
      <c r="AY35" s="3310">
        <f t="shared" si="14"/>
        <v>0</v>
      </c>
      <c r="AZ35" s="3264">
        <f t="shared" si="15"/>
        <v>0</v>
      </c>
      <c r="BA35" s="3264">
        <f t="shared" si="16"/>
        <v>0</v>
      </c>
      <c r="BB35" s="3264">
        <f t="shared" si="17"/>
        <v>0</v>
      </c>
      <c r="BC35" s="3264">
        <f t="shared" si="18"/>
        <v>0</v>
      </c>
      <c r="BD35" s="3264">
        <f t="shared" si="19"/>
        <v>0</v>
      </c>
      <c r="BE35" s="3264">
        <f t="shared" si="20"/>
        <v>0</v>
      </c>
      <c r="BF35" s="3264">
        <f t="shared" si="21"/>
        <v>0</v>
      </c>
      <c r="BG35" s="3264">
        <f t="shared" si="22"/>
        <v>0</v>
      </c>
      <c r="BH35" s="3264">
        <f t="shared" si="23"/>
        <v>0</v>
      </c>
      <c r="BI35" s="3264">
        <f t="shared" si="24"/>
        <v>0</v>
      </c>
      <c r="BJ35" s="3264">
        <f t="shared" si="25"/>
        <v>0</v>
      </c>
      <c r="BK35" s="3264">
        <f t="shared" si="26"/>
        <v>0</v>
      </c>
      <c r="BL35" s="3264">
        <f t="shared" si="27"/>
        <v>0</v>
      </c>
      <c r="BM35" s="3264">
        <f t="shared" si="28"/>
        <v>0</v>
      </c>
      <c r="BN35" s="3264">
        <f t="shared" si="29"/>
        <v>0</v>
      </c>
      <c r="BO35" s="3264">
        <f t="shared" si="30"/>
        <v>0</v>
      </c>
      <c r="BP35" s="3264">
        <f t="shared" si="31"/>
        <v>0</v>
      </c>
      <c r="BQ35" s="3264">
        <f t="shared" si="32"/>
        <v>0</v>
      </c>
      <c r="BR35" s="3264">
        <f t="shared" si="33"/>
        <v>0</v>
      </c>
      <c r="BS35" s="3264">
        <f t="shared" si="34"/>
        <v>0</v>
      </c>
      <c r="BT35" s="3317">
        <f t="shared" si="35"/>
        <v>0</v>
      </c>
    </row>
    <row r="36" spans="1:72">
      <c r="A36" s="3262"/>
      <c r="B36" s="3263"/>
      <c r="C36" s="3263"/>
      <c r="D36" s="3268"/>
      <c r="E36" s="3264">
        <f t="shared" si="7"/>
        <v>0</v>
      </c>
      <c r="F36" s="3265"/>
      <c r="G36" s="3266">
        <f t="shared" si="8"/>
        <v>0</v>
      </c>
      <c r="H36" s="3267">
        <f t="shared" si="9"/>
        <v>0</v>
      </c>
      <c r="I36" s="3275"/>
      <c r="J36" s="3275"/>
      <c r="K36" s="3275"/>
      <c r="L36" s="3275"/>
      <c r="M36" s="3275"/>
      <c r="N36" s="3275"/>
      <c r="O36" s="3275"/>
      <c r="P36" s="3275"/>
      <c r="Q36" s="3275"/>
      <c r="R36" s="3275"/>
      <c r="S36" s="3275"/>
      <c r="T36" s="3275"/>
      <c r="U36" s="3275"/>
      <c r="V36" s="3275"/>
      <c r="W36" s="3275"/>
      <c r="X36" s="3275"/>
      <c r="Y36" s="3275"/>
      <c r="Z36" s="3275"/>
      <c r="AA36" s="3275"/>
      <c r="AB36" s="3275"/>
      <c r="AC36" s="3264">
        <f t="shared" si="10"/>
        <v>0</v>
      </c>
      <c r="AD36" s="3285"/>
      <c r="AE36" s="3285"/>
      <c r="AF36" s="3285"/>
      <c r="AG36" s="3285"/>
      <c r="AH36" s="3285"/>
      <c r="AI36" s="3285"/>
      <c r="AJ36" s="3285"/>
      <c r="AK36" s="3285"/>
      <c r="AL36" s="3285"/>
      <c r="AM36" s="3285"/>
      <c r="AN36" s="3285"/>
      <c r="AO36" s="3285"/>
      <c r="AP36" s="3285"/>
      <c r="AQ36" s="3285"/>
      <c r="AR36" s="3285"/>
      <c r="AS36" s="3285"/>
      <c r="AT36" s="3295"/>
      <c r="AU36" s="3296"/>
      <c r="AV36" s="830">
        <f t="shared" si="11"/>
        <v>0</v>
      </c>
      <c r="AW36" s="830">
        <f t="shared" si="12"/>
        <v>0</v>
      </c>
      <c r="AX36" s="830">
        <f t="shared" si="13"/>
        <v>0</v>
      </c>
      <c r="AY36" s="3310">
        <f t="shared" si="14"/>
        <v>0</v>
      </c>
      <c r="AZ36" s="3264">
        <f t="shared" si="15"/>
        <v>0</v>
      </c>
      <c r="BA36" s="3264">
        <f t="shared" si="16"/>
        <v>0</v>
      </c>
      <c r="BB36" s="3264">
        <f t="shared" si="17"/>
        <v>0</v>
      </c>
      <c r="BC36" s="3264">
        <f t="shared" si="18"/>
        <v>0</v>
      </c>
      <c r="BD36" s="3264">
        <f t="shared" si="19"/>
        <v>0</v>
      </c>
      <c r="BE36" s="3264">
        <f t="shared" si="20"/>
        <v>0</v>
      </c>
      <c r="BF36" s="3264">
        <f t="shared" si="21"/>
        <v>0</v>
      </c>
      <c r="BG36" s="3264">
        <f t="shared" si="22"/>
        <v>0</v>
      </c>
      <c r="BH36" s="3264">
        <f t="shared" si="23"/>
        <v>0</v>
      </c>
      <c r="BI36" s="3264">
        <f t="shared" si="24"/>
        <v>0</v>
      </c>
      <c r="BJ36" s="3264">
        <f t="shared" si="25"/>
        <v>0</v>
      </c>
      <c r="BK36" s="3264">
        <f t="shared" si="26"/>
        <v>0</v>
      </c>
      <c r="BL36" s="3264">
        <f t="shared" si="27"/>
        <v>0</v>
      </c>
      <c r="BM36" s="3264">
        <f t="shared" si="28"/>
        <v>0</v>
      </c>
      <c r="BN36" s="3264">
        <f t="shared" si="29"/>
        <v>0</v>
      </c>
      <c r="BO36" s="3264">
        <f t="shared" si="30"/>
        <v>0</v>
      </c>
      <c r="BP36" s="3264">
        <f t="shared" si="31"/>
        <v>0</v>
      </c>
      <c r="BQ36" s="3264">
        <f t="shared" si="32"/>
        <v>0</v>
      </c>
      <c r="BR36" s="3264">
        <f t="shared" si="33"/>
        <v>0</v>
      </c>
      <c r="BS36" s="3264">
        <f t="shared" si="34"/>
        <v>0</v>
      </c>
      <c r="BT36" s="3317">
        <f t="shared" si="35"/>
        <v>0</v>
      </c>
    </row>
    <row r="37" spans="1:72">
      <c r="A37" s="3262"/>
      <c r="B37" s="3263"/>
      <c r="C37" s="3263"/>
      <c r="D37" s="3268"/>
      <c r="E37" s="3264">
        <f t="shared" si="7"/>
        <v>0</v>
      </c>
      <c r="F37" s="3265"/>
      <c r="G37" s="3266">
        <f t="shared" si="8"/>
        <v>0</v>
      </c>
      <c r="H37" s="3267">
        <f t="shared" si="9"/>
        <v>0</v>
      </c>
      <c r="I37" s="3275"/>
      <c r="J37" s="3275"/>
      <c r="K37" s="3275"/>
      <c r="L37" s="3275"/>
      <c r="M37" s="3275"/>
      <c r="N37" s="3275"/>
      <c r="O37" s="3275"/>
      <c r="P37" s="3275"/>
      <c r="Q37" s="3275"/>
      <c r="R37" s="3275"/>
      <c r="S37" s="3275"/>
      <c r="T37" s="3275"/>
      <c r="U37" s="3275"/>
      <c r="V37" s="3275"/>
      <c r="W37" s="3275"/>
      <c r="X37" s="3275"/>
      <c r="Y37" s="3275"/>
      <c r="Z37" s="3275"/>
      <c r="AA37" s="3275"/>
      <c r="AB37" s="3275"/>
      <c r="AC37" s="3264">
        <f t="shared" si="10"/>
        <v>0</v>
      </c>
      <c r="AD37" s="3285"/>
      <c r="AE37" s="3285"/>
      <c r="AF37" s="3285"/>
      <c r="AG37" s="3285"/>
      <c r="AH37" s="3285"/>
      <c r="AI37" s="3285"/>
      <c r="AJ37" s="3285"/>
      <c r="AK37" s="3285"/>
      <c r="AL37" s="3285"/>
      <c r="AM37" s="3285"/>
      <c r="AN37" s="3285"/>
      <c r="AO37" s="3285"/>
      <c r="AP37" s="3285"/>
      <c r="AQ37" s="3285"/>
      <c r="AR37" s="3285"/>
      <c r="AS37" s="3285"/>
      <c r="AT37" s="3295"/>
      <c r="AU37" s="3296"/>
      <c r="AV37" s="830">
        <f t="shared" si="11"/>
        <v>0</v>
      </c>
      <c r="AW37" s="830">
        <f t="shared" si="12"/>
        <v>0</v>
      </c>
      <c r="AX37" s="830">
        <f t="shared" si="13"/>
        <v>0</v>
      </c>
      <c r="AY37" s="3310">
        <f t="shared" si="14"/>
        <v>0</v>
      </c>
      <c r="AZ37" s="3264">
        <f t="shared" si="15"/>
        <v>0</v>
      </c>
      <c r="BA37" s="3264">
        <f t="shared" si="16"/>
        <v>0</v>
      </c>
      <c r="BB37" s="3264">
        <f t="shared" si="17"/>
        <v>0</v>
      </c>
      <c r="BC37" s="3264">
        <f t="shared" si="18"/>
        <v>0</v>
      </c>
      <c r="BD37" s="3264">
        <f t="shared" si="19"/>
        <v>0</v>
      </c>
      <c r="BE37" s="3264">
        <f t="shared" si="20"/>
        <v>0</v>
      </c>
      <c r="BF37" s="3264">
        <f t="shared" si="21"/>
        <v>0</v>
      </c>
      <c r="BG37" s="3264">
        <f t="shared" si="22"/>
        <v>0</v>
      </c>
      <c r="BH37" s="3264">
        <f t="shared" si="23"/>
        <v>0</v>
      </c>
      <c r="BI37" s="3264">
        <f t="shared" si="24"/>
        <v>0</v>
      </c>
      <c r="BJ37" s="3264">
        <f t="shared" si="25"/>
        <v>0</v>
      </c>
      <c r="BK37" s="3264">
        <f t="shared" si="26"/>
        <v>0</v>
      </c>
      <c r="BL37" s="3264">
        <f t="shared" si="27"/>
        <v>0</v>
      </c>
      <c r="BM37" s="3264">
        <f t="shared" si="28"/>
        <v>0</v>
      </c>
      <c r="BN37" s="3264">
        <f t="shared" si="29"/>
        <v>0</v>
      </c>
      <c r="BO37" s="3264">
        <f t="shared" si="30"/>
        <v>0</v>
      </c>
      <c r="BP37" s="3264">
        <f t="shared" si="31"/>
        <v>0</v>
      </c>
      <c r="BQ37" s="3264">
        <f t="shared" si="32"/>
        <v>0</v>
      </c>
      <c r="BR37" s="3264">
        <f t="shared" si="33"/>
        <v>0</v>
      </c>
      <c r="BS37" s="3264">
        <f t="shared" si="34"/>
        <v>0</v>
      </c>
      <c r="BT37" s="3317">
        <f t="shared" si="35"/>
        <v>0</v>
      </c>
    </row>
    <row r="38" spans="1:72">
      <c r="A38" s="3262"/>
      <c r="B38" s="3263"/>
      <c r="C38" s="3263"/>
      <c r="D38" s="3268"/>
      <c r="E38" s="3264">
        <f t="shared" si="7"/>
        <v>0</v>
      </c>
      <c r="F38" s="3265"/>
      <c r="G38" s="3266">
        <f t="shared" si="8"/>
        <v>0</v>
      </c>
      <c r="H38" s="3267">
        <f t="shared" si="9"/>
        <v>0</v>
      </c>
      <c r="I38" s="3275"/>
      <c r="J38" s="3275"/>
      <c r="K38" s="3275"/>
      <c r="L38" s="3275"/>
      <c r="M38" s="3275"/>
      <c r="N38" s="3275"/>
      <c r="O38" s="3275"/>
      <c r="P38" s="3275"/>
      <c r="Q38" s="3275"/>
      <c r="R38" s="3275"/>
      <c r="S38" s="3275"/>
      <c r="T38" s="3275"/>
      <c r="U38" s="3275"/>
      <c r="V38" s="3275"/>
      <c r="W38" s="3275"/>
      <c r="X38" s="3275"/>
      <c r="Y38" s="3275"/>
      <c r="Z38" s="3275"/>
      <c r="AA38" s="3275"/>
      <c r="AB38" s="3275"/>
      <c r="AC38" s="3264">
        <f t="shared" si="10"/>
        <v>0</v>
      </c>
      <c r="AD38" s="3285"/>
      <c r="AE38" s="3285"/>
      <c r="AF38" s="3285"/>
      <c r="AG38" s="3285"/>
      <c r="AH38" s="3285"/>
      <c r="AI38" s="3285"/>
      <c r="AJ38" s="3285"/>
      <c r="AK38" s="3285"/>
      <c r="AL38" s="3285"/>
      <c r="AM38" s="3285"/>
      <c r="AN38" s="3285"/>
      <c r="AO38" s="3285"/>
      <c r="AP38" s="3285"/>
      <c r="AQ38" s="3285"/>
      <c r="AR38" s="3285"/>
      <c r="AS38" s="3285"/>
      <c r="AT38" s="3295"/>
      <c r="AU38" s="3296"/>
      <c r="AV38" s="830">
        <f t="shared" si="11"/>
        <v>0</v>
      </c>
      <c r="AW38" s="830">
        <f t="shared" si="12"/>
        <v>0</v>
      </c>
      <c r="AX38" s="830">
        <f t="shared" si="13"/>
        <v>0</v>
      </c>
      <c r="AY38" s="3310">
        <f t="shared" si="14"/>
        <v>0</v>
      </c>
      <c r="AZ38" s="3264">
        <f t="shared" si="15"/>
        <v>0</v>
      </c>
      <c r="BA38" s="3264">
        <f t="shared" si="16"/>
        <v>0</v>
      </c>
      <c r="BB38" s="3264">
        <f t="shared" si="17"/>
        <v>0</v>
      </c>
      <c r="BC38" s="3264">
        <f t="shared" si="18"/>
        <v>0</v>
      </c>
      <c r="BD38" s="3264">
        <f t="shared" si="19"/>
        <v>0</v>
      </c>
      <c r="BE38" s="3264">
        <f t="shared" si="20"/>
        <v>0</v>
      </c>
      <c r="BF38" s="3264">
        <f t="shared" si="21"/>
        <v>0</v>
      </c>
      <c r="BG38" s="3264">
        <f t="shared" si="22"/>
        <v>0</v>
      </c>
      <c r="BH38" s="3264">
        <f t="shared" si="23"/>
        <v>0</v>
      </c>
      <c r="BI38" s="3264">
        <f t="shared" si="24"/>
        <v>0</v>
      </c>
      <c r="BJ38" s="3264">
        <f t="shared" si="25"/>
        <v>0</v>
      </c>
      <c r="BK38" s="3264">
        <f t="shared" si="26"/>
        <v>0</v>
      </c>
      <c r="BL38" s="3264">
        <f t="shared" si="27"/>
        <v>0</v>
      </c>
      <c r="BM38" s="3264">
        <f t="shared" si="28"/>
        <v>0</v>
      </c>
      <c r="BN38" s="3264">
        <f t="shared" si="29"/>
        <v>0</v>
      </c>
      <c r="BO38" s="3264">
        <f t="shared" si="30"/>
        <v>0</v>
      </c>
      <c r="BP38" s="3264">
        <f t="shared" si="31"/>
        <v>0</v>
      </c>
      <c r="BQ38" s="3264">
        <f t="shared" si="32"/>
        <v>0</v>
      </c>
      <c r="BR38" s="3264">
        <f t="shared" si="33"/>
        <v>0</v>
      </c>
      <c r="BS38" s="3264">
        <f t="shared" si="34"/>
        <v>0</v>
      </c>
      <c r="BT38" s="3317">
        <f t="shared" si="35"/>
        <v>0</v>
      </c>
    </row>
    <row r="39" spans="1:72">
      <c r="A39" s="3262"/>
      <c r="B39" s="3263"/>
      <c r="C39" s="3263"/>
      <c r="D39" s="3268"/>
      <c r="E39" s="3264">
        <f t="shared" si="7"/>
        <v>0</v>
      </c>
      <c r="F39" s="3265"/>
      <c r="G39" s="3266">
        <f t="shared" si="8"/>
        <v>0</v>
      </c>
      <c r="H39" s="3267">
        <f t="shared" si="9"/>
        <v>0</v>
      </c>
      <c r="I39" s="3275"/>
      <c r="J39" s="3275"/>
      <c r="K39" s="3275"/>
      <c r="L39" s="3275"/>
      <c r="M39" s="3275"/>
      <c r="N39" s="3275"/>
      <c r="O39" s="3275"/>
      <c r="P39" s="3275"/>
      <c r="Q39" s="3275"/>
      <c r="R39" s="3275"/>
      <c r="S39" s="3275"/>
      <c r="T39" s="3275"/>
      <c r="U39" s="3275"/>
      <c r="V39" s="3275"/>
      <c r="W39" s="3275"/>
      <c r="X39" s="3275"/>
      <c r="Y39" s="3275"/>
      <c r="Z39" s="3275"/>
      <c r="AA39" s="3275"/>
      <c r="AB39" s="3275"/>
      <c r="AC39" s="3264">
        <f t="shared" si="10"/>
        <v>0</v>
      </c>
      <c r="AD39" s="3285"/>
      <c r="AE39" s="3285"/>
      <c r="AF39" s="3285"/>
      <c r="AG39" s="3285"/>
      <c r="AH39" s="3285"/>
      <c r="AI39" s="3285"/>
      <c r="AJ39" s="3285"/>
      <c r="AK39" s="3285"/>
      <c r="AL39" s="3285"/>
      <c r="AM39" s="3285"/>
      <c r="AN39" s="3285"/>
      <c r="AO39" s="3285"/>
      <c r="AP39" s="3285"/>
      <c r="AQ39" s="3285"/>
      <c r="AR39" s="3285"/>
      <c r="AS39" s="3285"/>
      <c r="AT39" s="3295"/>
      <c r="AU39" s="3296"/>
      <c r="AV39" s="830">
        <f t="shared" si="11"/>
        <v>0</v>
      </c>
      <c r="AW39" s="830">
        <f t="shared" si="12"/>
        <v>0</v>
      </c>
      <c r="AX39" s="830">
        <f t="shared" si="13"/>
        <v>0</v>
      </c>
      <c r="AY39" s="3310">
        <f t="shared" si="14"/>
        <v>0</v>
      </c>
      <c r="AZ39" s="3264">
        <f t="shared" si="15"/>
        <v>0</v>
      </c>
      <c r="BA39" s="3264">
        <f t="shared" si="16"/>
        <v>0</v>
      </c>
      <c r="BB39" s="3264">
        <f t="shared" si="17"/>
        <v>0</v>
      </c>
      <c r="BC39" s="3264">
        <f t="shared" si="18"/>
        <v>0</v>
      </c>
      <c r="BD39" s="3264">
        <f t="shared" si="19"/>
        <v>0</v>
      </c>
      <c r="BE39" s="3264">
        <f t="shared" si="20"/>
        <v>0</v>
      </c>
      <c r="BF39" s="3264">
        <f t="shared" si="21"/>
        <v>0</v>
      </c>
      <c r="BG39" s="3264">
        <f t="shared" si="22"/>
        <v>0</v>
      </c>
      <c r="BH39" s="3264">
        <f t="shared" si="23"/>
        <v>0</v>
      </c>
      <c r="BI39" s="3264">
        <f t="shared" si="24"/>
        <v>0</v>
      </c>
      <c r="BJ39" s="3264">
        <f t="shared" si="25"/>
        <v>0</v>
      </c>
      <c r="BK39" s="3264">
        <f t="shared" si="26"/>
        <v>0</v>
      </c>
      <c r="BL39" s="3264">
        <f t="shared" si="27"/>
        <v>0</v>
      </c>
      <c r="BM39" s="3264">
        <f t="shared" si="28"/>
        <v>0</v>
      </c>
      <c r="BN39" s="3264">
        <f t="shared" si="29"/>
        <v>0</v>
      </c>
      <c r="BO39" s="3264">
        <f t="shared" si="30"/>
        <v>0</v>
      </c>
      <c r="BP39" s="3264">
        <f t="shared" si="31"/>
        <v>0</v>
      </c>
      <c r="BQ39" s="3264">
        <f t="shared" si="32"/>
        <v>0</v>
      </c>
      <c r="BR39" s="3264">
        <f t="shared" si="33"/>
        <v>0</v>
      </c>
      <c r="BS39" s="3264">
        <f t="shared" si="34"/>
        <v>0</v>
      </c>
      <c r="BT39" s="3317">
        <f t="shared" si="35"/>
        <v>0</v>
      </c>
    </row>
    <row r="40" spans="1:72">
      <c r="A40" s="3262"/>
      <c r="B40" s="3263"/>
      <c r="C40" s="3263"/>
      <c r="D40" s="3268"/>
      <c r="E40" s="3264">
        <f t="shared" si="7"/>
        <v>0</v>
      </c>
      <c r="F40" s="3265"/>
      <c r="G40" s="3266">
        <f t="shared" si="8"/>
        <v>0</v>
      </c>
      <c r="H40" s="3267">
        <f t="shared" si="9"/>
        <v>0</v>
      </c>
      <c r="I40" s="3275"/>
      <c r="J40" s="3275"/>
      <c r="K40" s="3275"/>
      <c r="L40" s="3275"/>
      <c r="M40" s="3275"/>
      <c r="N40" s="3275"/>
      <c r="O40" s="3275"/>
      <c r="P40" s="3275"/>
      <c r="Q40" s="3275"/>
      <c r="R40" s="3275"/>
      <c r="S40" s="3275"/>
      <c r="T40" s="3275"/>
      <c r="U40" s="3275"/>
      <c r="V40" s="3275"/>
      <c r="W40" s="3275"/>
      <c r="X40" s="3275"/>
      <c r="Y40" s="3275"/>
      <c r="Z40" s="3275"/>
      <c r="AA40" s="3275"/>
      <c r="AB40" s="3275"/>
      <c r="AC40" s="3264">
        <f t="shared" si="10"/>
        <v>0</v>
      </c>
      <c r="AD40" s="3285"/>
      <c r="AE40" s="3285"/>
      <c r="AF40" s="3285"/>
      <c r="AG40" s="3285"/>
      <c r="AH40" s="3285"/>
      <c r="AI40" s="3285"/>
      <c r="AJ40" s="3285"/>
      <c r="AK40" s="3285"/>
      <c r="AL40" s="3285"/>
      <c r="AM40" s="3285"/>
      <c r="AN40" s="3285"/>
      <c r="AO40" s="3285"/>
      <c r="AP40" s="3285"/>
      <c r="AQ40" s="3285"/>
      <c r="AR40" s="3285"/>
      <c r="AS40" s="3285"/>
      <c r="AT40" s="3295"/>
      <c r="AU40" s="3296"/>
      <c r="AV40" s="830">
        <f t="shared" si="11"/>
        <v>0</v>
      </c>
      <c r="AW40" s="830">
        <f t="shared" si="12"/>
        <v>0</v>
      </c>
      <c r="AX40" s="830">
        <f t="shared" si="13"/>
        <v>0</v>
      </c>
      <c r="AY40" s="3310">
        <f t="shared" si="14"/>
        <v>0</v>
      </c>
      <c r="AZ40" s="3264">
        <f t="shared" si="15"/>
        <v>0</v>
      </c>
      <c r="BA40" s="3264">
        <f t="shared" si="16"/>
        <v>0</v>
      </c>
      <c r="BB40" s="3264">
        <f t="shared" si="17"/>
        <v>0</v>
      </c>
      <c r="BC40" s="3264">
        <f t="shared" si="18"/>
        <v>0</v>
      </c>
      <c r="BD40" s="3264">
        <f t="shared" si="19"/>
        <v>0</v>
      </c>
      <c r="BE40" s="3264">
        <f t="shared" si="20"/>
        <v>0</v>
      </c>
      <c r="BF40" s="3264">
        <f t="shared" si="21"/>
        <v>0</v>
      </c>
      <c r="BG40" s="3264">
        <f t="shared" si="22"/>
        <v>0</v>
      </c>
      <c r="BH40" s="3264">
        <f t="shared" si="23"/>
        <v>0</v>
      </c>
      <c r="BI40" s="3264">
        <f t="shared" si="24"/>
        <v>0</v>
      </c>
      <c r="BJ40" s="3264">
        <f t="shared" si="25"/>
        <v>0</v>
      </c>
      <c r="BK40" s="3264">
        <f t="shared" si="26"/>
        <v>0</v>
      </c>
      <c r="BL40" s="3264">
        <f t="shared" si="27"/>
        <v>0</v>
      </c>
      <c r="BM40" s="3264">
        <f t="shared" si="28"/>
        <v>0</v>
      </c>
      <c r="BN40" s="3264">
        <f t="shared" si="29"/>
        <v>0</v>
      </c>
      <c r="BO40" s="3264">
        <f t="shared" si="30"/>
        <v>0</v>
      </c>
      <c r="BP40" s="3264">
        <f t="shared" si="31"/>
        <v>0</v>
      </c>
      <c r="BQ40" s="3264">
        <f t="shared" si="32"/>
        <v>0</v>
      </c>
      <c r="BR40" s="3264">
        <f t="shared" si="33"/>
        <v>0</v>
      </c>
      <c r="BS40" s="3264">
        <f t="shared" si="34"/>
        <v>0</v>
      </c>
      <c r="BT40" s="3317">
        <f t="shared" si="35"/>
        <v>0</v>
      </c>
    </row>
    <row r="41" spans="1:72">
      <c r="A41" s="3262"/>
      <c r="B41" s="3263"/>
      <c r="C41" s="3263"/>
      <c r="D41" s="3268"/>
      <c r="E41" s="3264">
        <f t="shared" si="7"/>
        <v>0</v>
      </c>
      <c r="F41" s="3265"/>
      <c r="G41" s="3266">
        <f t="shared" si="8"/>
        <v>0</v>
      </c>
      <c r="H41" s="3267">
        <f t="shared" si="9"/>
        <v>0</v>
      </c>
      <c r="I41" s="3275"/>
      <c r="J41" s="3275"/>
      <c r="K41" s="3275"/>
      <c r="L41" s="3275"/>
      <c r="M41" s="3275"/>
      <c r="N41" s="3275"/>
      <c r="O41" s="3275"/>
      <c r="P41" s="3275"/>
      <c r="Q41" s="3275"/>
      <c r="R41" s="3275"/>
      <c r="S41" s="3275"/>
      <c r="T41" s="3275"/>
      <c r="U41" s="3275"/>
      <c r="V41" s="3275"/>
      <c r="W41" s="3275"/>
      <c r="X41" s="3275"/>
      <c r="Y41" s="3275"/>
      <c r="Z41" s="3275"/>
      <c r="AA41" s="3275"/>
      <c r="AB41" s="3275"/>
      <c r="AC41" s="3264">
        <f t="shared" si="10"/>
        <v>0</v>
      </c>
      <c r="AD41" s="3285"/>
      <c r="AE41" s="3285"/>
      <c r="AF41" s="3285"/>
      <c r="AG41" s="3285"/>
      <c r="AH41" s="3285"/>
      <c r="AI41" s="3285"/>
      <c r="AJ41" s="3285"/>
      <c r="AK41" s="3285"/>
      <c r="AL41" s="3285"/>
      <c r="AM41" s="3285"/>
      <c r="AN41" s="3285"/>
      <c r="AO41" s="3285"/>
      <c r="AP41" s="3285"/>
      <c r="AQ41" s="3285"/>
      <c r="AR41" s="3285"/>
      <c r="AS41" s="3285"/>
      <c r="AT41" s="3295"/>
      <c r="AU41" s="3296"/>
      <c r="AV41" s="830">
        <f t="shared" si="11"/>
        <v>0</v>
      </c>
      <c r="AW41" s="830">
        <f t="shared" si="12"/>
        <v>0</v>
      </c>
      <c r="AX41" s="830">
        <f t="shared" si="13"/>
        <v>0</v>
      </c>
      <c r="AY41" s="3310">
        <f t="shared" si="14"/>
        <v>0</v>
      </c>
      <c r="AZ41" s="3264">
        <f t="shared" si="15"/>
        <v>0</v>
      </c>
      <c r="BA41" s="3264">
        <f t="shared" si="16"/>
        <v>0</v>
      </c>
      <c r="BB41" s="3264">
        <f t="shared" si="17"/>
        <v>0</v>
      </c>
      <c r="BC41" s="3264">
        <f t="shared" si="18"/>
        <v>0</v>
      </c>
      <c r="BD41" s="3264">
        <f t="shared" si="19"/>
        <v>0</v>
      </c>
      <c r="BE41" s="3264">
        <f t="shared" si="20"/>
        <v>0</v>
      </c>
      <c r="BF41" s="3264">
        <f t="shared" si="21"/>
        <v>0</v>
      </c>
      <c r="BG41" s="3264">
        <f t="shared" si="22"/>
        <v>0</v>
      </c>
      <c r="BH41" s="3264">
        <f t="shared" si="23"/>
        <v>0</v>
      </c>
      <c r="BI41" s="3264">
        <f t="shared" si="24"/>
        <v>0</v>
      </c>
      <c r="BJ41" s="3264">
        <f t="shared" si="25"/>
        <v>0</v>
      </c>
      <c r="BK41" s="3264">
        <f t="shared" si="26"/>
        <v>0</v>
      </c>
      <c r="BL41" s="3264">
        <f t="shared" si="27"/>
        <v>0</v>
      </c>
      <c r="BM41" s="3264">
        <f t="shared" si="28"/>
        <v>0</v>
      </c>
      <c r="BN41" s="3264">
        <f t="shared" si="29"/>
        <v>0</v>
      </c>
      <c r="BO41" s="3264">
        <f t="shared" si="30"/>
        <v>0</v>
      </c>
      <c r="BP41" s="3264">
        <f t="shared" si="31"/>
        <v>0</v>
      </c>
      <c r="BQ41" s="3264">
        <f t="shared" si="32"/>
        <v>0</v>
      </c>
      <c r="BR41" s="3264">
        <f t="shared" si="33"/>
        <v>0</v>
      </c>
      <c r="BS41" s="3264">
        <f t="shared" si="34"/>
        <v>0</v>
      </c>
      <c r="BT41" s="3317">
        <f t="shared" si="35"/>
        <v>0</v>
      </c>
    </row>
    <row r="42" spans="1:72">
      <c r="A42" s="3262"/>
      <c r="B42" s="3263"/>
      <c r="C42" s="3263"/>
      <c r="D42" s="3268"/>
      <c r="E42" s="3264">
        <f t="shared" si="7"/>
        <v>0</v>
      </c>
      <c r="F42" s="3265"/>
      <c r="G42" s="3266">
        <f t="shared" si="8"/>
        <v>0</v>
      </c>
      <c r="H42" s="3267">
        <f t="shared" si="9"/>
        <v>0</v>
      </c>
      <c r="I42" s="3275"/>
      <c r="J42" s="3275"/>
      <c r="K42" s="3275"/>
      <c r="L42" s="3275"/>
      <c r="M42" s="3275"/>
      <c r="N42" s="3275"/>
      <c r="O42" s="3275"/>
      <c r="P42" s="3275"/>
      <c r="Q42" s="3275"/>
      <c r="R42" s="3275"/>
      <c r="S42" s="3275"/>
      <c r="T42" s="3275"/>
      <c r="U42" s="3275"/>
      <c r="V42" s="3275"/>
      <c r="W42" s="3275"/>
      <c r="X42" s="3275"/>
      <c r="Y42" s="3275"/>
      <c r="Z42" s="3275"/>
      <c r="AA42" s="3275"/>
      <c r="AB42" s="3275"/>
      <c r="AC42" s="3264">
        <f t="shared" si="10"/>
        <v>0</v>
      </c>
      <c r="AD42" s="3285"/>
      <c r="AE42" s="3285"/>
      <c r="AF42" s="3285"/>
      <c r="AG42" s="3285"/>
      <c r="AH42" s="3285"/>
      <c r="AI42" s="3285"/>
      <c r="AJ42" s="3285"/>
      <c r="AK42" s="3285"/>
      <c r="AL42" s="3285"/>
      <c r="AM42" s="3285"/>
      <c r="AN42" s="3285"/>
      <c r="AO42" s="3285"/>
      <c r="AP42" s="3285"/>
      <c r="AQ42" s="3285"/>
      <c r="AR42" s="3285"/>
      <c r="AS42" s="3285"/>
      <c r="AT42" s="3295"/>
      <c r="AU42" s="3296"/>
      <c r="AV42" s="830">
        <f t="shared" si="11"/>
        <v>0</v>
      </c>
      <c r="AW42" s="830">
        <f t="shared" si="12"/>
        <v>0</v>
      </c>
      <c r="AX42" s="830">
        <f t="shared" si="13"/>
        <v>0</v>
      </c>
      <c r="AY42" s="3310">
        <f t="shared" si="14"/>
        <v>0</v>
      </c>
      <c r="AZ42" s="3264">
        <f t="shared" si="15"/>
        <v>0</v>
      </c>
      <c r="BA42" s="3264">
        <f t="shared" si="16"/>
        <v>0</v>
      </c>
      <c r="BB42" s="3264">
        <f t="shared" si="17"/>
        <v>0</v>
      </c>
      <c r="BC42" s="3264">
        <f t="shared" si="18"/>
        <v>0</v>
      </c>
      <c r="BD42" s="3264">
        <f t="shared" si="19"/>
        <v>0</v>
      </c>
      <c r="BE42" s="3264">
        <f t="shared" si="20"/>
        <v>0</v>
      </c>
      <c r="BF42" s="3264">
        <f t="shared" si="21"/>
        <v>0</v>
      </c>
      <c r="BG42" s="3264">
        <f t="shared" si="22"/>
        <v>0</v>
      </c>
      <c r="BH42" s="3264">
        <f t="shared" si="23"/>
        <v>0</v>
      </c>
      <c r="BI42" s="3264">
        <f t="shared" si="24"/>
        <v>0</v>
      </c>
      <c r="BJ42" s="3264">
        <f t="shared" si="25"/>
        <v>0</v>
      </c>
      <c r="BK42" s="3264">
        <f t="shared" si="26"/>
        <v>0</v>
      </c>
      <c r="BL42" s="3264">
        <f t="shared" si="27"/>
        <v>0</v>
      </c>
      <c r="BM42" s="3264">
        <f t="shared" si="28"/>
        <v>0</v>
      </c>
      <c r="BN42" s="3264">
        <f t="shared" si="29"/>
        <v>0</v>
      </c>
      <c r="BO42" s="3264">
        <f t="shared" si="30"/>
        <v>0</v>
      </c>
      <c r="BP42" s="3264">
        <f t="shared" si="31"/>
        <v>0</v>
      </c>
      <c r="BQ42" s="3264">
        <f t="shared" si="32"/>
        <v>0</v>
      </c>
      <c r="BR42" s="3264">
        <f t="shared" si="33"/>
        <v>0</v>
      </c>
      <c r="BS42" s="3264">
        <f t="shared" si="34"/>
        <v>0</v>
      </c>
      <c r="BT42" s="3317">
        <f t="shared" si="35"/>
        <v>0</v>
      </c>
    </row>
    <row r="43" spans="1:72">
      <c r="A43" s="3262"/>
      <c r="B43" s="3263"/>
      <c r="C43" s="3263"/>
      <c r="D43" s="3268"/>
      <c r="E43" s="3264">
        <f t="shared" si="7"/>
        <v>0</v>
      </c>
      <c r="F43" s="3265"/>
      <c r="G43" s="3266">
        <f t="shared" si="8"/>
        <v>0</v>
      </c>
      <c r="H43" s="3267">
        <f t="shared" si="9"/>
        <v>0</v>
      </c>
      <c r="I43" s="3275"/>
      <c r="J43" s="3275"/>
      <c r="K43" s="3275"/>
      <c r="L43" s="3275"/>
      <c r="M43" s="3275"/>
      <c r="N43" s="3275"/>
      <c r="O43" s="3275"/>
      <c r="P43" s="3275"/>
      <c r="Q43" s="3275"/>
      <c r="R43" s="3275"/>
      <c r="S43" s="3275"/>
      <c r="T43" s="3275"/>
      <c r="U43" s="3275"/>
      <c r="V43" s="3275"/>
      <c r="W43" s="3275"/>
      <c r="X43" s="3275"/>
      <c r="Y43" s="3275"/>
      <c r="Z43" s="3275"/>
      <c r="AA43" s="3275"/>
      <c r="AB43" s="3275"/>
      <c r="AC43" s="3264">
        <f t="shared" si="10"/>
        <v>0</v>
      </c>
      <c r="AD43" s="3285"/>
      <c r="AE43" s="3285"/>
      <c r="AF43" s="3285"/>
      <c r="AG43" s="3285"/>
      <c r="AH43" s="3285"/>
      <c r="AI43" s="3285"/>
      <c r="AJ43" s="3285"/>
      <c r="AK43" s="3285"/>
      <c r="AL43" s="3285"/>
      <c r="AM43" s="3285"/>
      <c r="AN43" s="3285"/>
      <c r="AO43" s="3285"/>
      <c r="AP43" s="3285"/>
      <c r="AQ43" s="3285"/>
      <c r="AR43" s="3285"/>
      <c r="AS43" s="3285"/>
      <c r="AT43" s="3295"/>
      <c r="AU43" s="3296"/>
      <c r="AV43" s="830">
        <f t="shared" si="11"/>
        <v>0</v>
      </c>
      <c r="AW43" s="830">
        <f t="shared" si="12"/>
        <v>0</v>
      </c>
      <c r="AX43" s="830">
        <f t="shared" si="13"/>
        <v>0</v>
      </c>
      <c r="AY43" s="3310">
        <f t="shared" si="14"/>
        <v>0</v>
      </c>
      <c r="AZ43" s="3264">
        <f t="shared" si="15"/>
        <v>0</v>
      </c>
      <c r="BA43" s="3264">
        <f t="shared" si="16"/>
        <v>0</v>
      </c>
      <c r="BB43" s="3264">
        <f t="shared" si="17"/>
        <v>0</v>
      </c>
      <c r="BC43" s="3264">
        <f t="shared" si="18"/>
        <v>0</v>
      </c>
      <c r="BD43" s="3264">
        <f t="shared" si="19"/>
        <v>0</v>
      </c>
      <c r="BE43" s="3264">
        <f t="shared" si="20"/>
        <v>0</v>
      </c>
      <c r="BF43" s="3264">
        <f t="shared" si="21"/>
        <v>0</v>
      </c>
      <c r="BG43" s="3264">
        <f t="shared" si="22"/>
        <v>0</v>
      </c>
      <c r="BH43" s="3264">
        <f t="shared" si="23"/>
        <v>0</v>
      </c>
      <c r="BI43" s="3264">
        <f t="shared" si="24"/>
        <v>0</v>
      </c>
      <c r="BJ43" s="3264">
        <f t="shared" si="25"/>
        <v>0</v>
      </c>
      <c r="BK43" s="3264">
        <f t="shared" si="26"/>
        <v>0</v>
      </c>
      <c r="BL43" s="3264">
        <f t="shared" si="27"/>
        <v>0</v>
      </c>
      <c r="BM43" s="3264">
        <f t="shared" si="28"/>
        <v>0</v>
      </c>
      <c r="BN43" s="3264">
        <f t="shared" si="29"/>
        <v>0</v>
      </c>
      <c r="BO43" s="3264">
        <f t="shared" si="30"/>
        <v>0</v>
      </c>
      <c r="BP43" s="3264">
        <f t="shared" si="31"/>
        <v>0</v>
      </c>
      <c r="BQ43" s="3264">
        <f t="shared" si="32"/>
        <v>0</v>
      </c>
      <c r="BR43" s="3264">
        <f t="shared" si="33"/>
        <v>0</v>
      </c>
      <c r="BS43" s="3264">
        <f t="shared" si="34"/>
        <v>0</v>
      </c>
      <c r="BT43" s="3317">
        <f t="shared" si="35"/>
        <v>0</v>
      </c>
    </row>
    <row r="44" spans="1:72">
      <c r="A44" s="3262"/>
      <c r="B44" s="3263"/>
      <c r="C44" s="3263"/>
      <c r="D44" s="3268"/>
      <c r="E44" s="3264">
        <f t="shared" si="7"/>
        <v>0</v>
      </c>
      <c r="F44" s="3265"/>
      <c r="G44" s="3266">
        <f t="shared" si="8"/>
        <v>0</v>
      </c>
      <c r="H44" s="3267">
        <f t="shared" si="9"/>
        <v>0</v>
      </c>
      <c r="I44" s="3275"/>
      <c r="J44" s="3275"/>
      <c r="K44" s="3275"/>
      <c r="L44" s="3275"/>
      <c r="M44" s="3275"/>
      <c r="N44" s="3275"/>
      <c r="O44" s="3275"/>
      <c r="P44" s="3275"/>
      <c r="Q44" s="3275"/>
      <c r="R44" s="3275"/>
      <c r="S44" s="3275"/>
      <c r="T44" s="3275"/>
      <c r="U44" s="3275"/>
      <c r="V44" s="3275"/>
      <c r="W44" s="3275"/>
      <c r="X44" s="3275"/>
      <c r="Y44" s="3275"/>
      <c r="Z44" s="3275"/>
      <c r="AA44" s="3275"/>
      <c r="AB44" s="3275"/>
      <c r="AC44" s="3264">
        <f t="shared" si="10"/>
        <v>0</v>
      </c>
      <c r="AD44" s="3285"/>
      <c r="AE44" s="3285"/>
      <c r="AF44" s="3285"/>
      <c r="AG44" s="3285"/>
      <c r="AH44" s="3285"/>
      <c r="AI44" s="3285"/>
      <c r="AJ44" s="3285"/>
      <c r="AK44" s="3285"/>
      <c r="AL44" s="3285"/>
      <c r="AM44" s="3285"/>
      <c r="AN44" s="3285"/>
      <c r="AO44" s="3285"/>
      <c r="AP44" s="3285"/>
      <c r="AQ44" s="3285"/>
      <c r="AR44" s="3285"/>
      <c r="AS44" s="3285"/>
      <c r="AT44" s="3295"/>
      <c r="AU44" s="3296"/>
      <c r="AV44" s="830">
        <f t="shared" si="11"/>
        <v>0</v>
      </c>
      <c r="AW44" s="830">
        <f t="shared" si="12"/>
        <v>0</v>
      </c>
      <c r="AX44" s="830">
        <f t="shared" si="13"/>
        <v>0</v>
      </c>
      <c r="AY44" s="3310">
        <f t="shared" si="14"/>
        <v>0</v>
      </c>
      <c r="AZ44" s="3264">
        <f t="shared" si="15"/>
        <v>0</v>
      </c>
      <c r="BA44" s="3264">
        <f t="shared" si="16"/>
        <v>0</v>
      </c>
      <c r="BB44" s="3264">
        <f t="shared" si="17"/>
        <v>0</v>
      </c>
      <c r="BC44" s="3264">
        <f t="shared" si="18"/>
        <v>0</v>
      </c>
      <c r="BD44" s="3264">
        <f t="shared" si="19"/>
        <v>0</v>
      </c>
      <c r="BE44" s="3264">
        <f t="shared" si="20"/>
        <v>0</v>
      </c>
      <c r="BF44" s="3264">
        <f t="shared" si="21"/>
        <v>0</v>
      </c>
      <c r="BG44" s="3264">
        <f t="shared" si="22"/>
        <v>0</v>
      </c>
      <c r="BH44" s="3264">
        <f t="shared" si="23"/>
        <v>0</v>
      </c>
      <c r="BI44" s="3264">
        <f t="shared" si="24"/>
        <v>0</v>
      </c>
      <c r="BJ44" s="3264">
        <f t="shared" si="25"/>
        <v>0</v>
      </c>
      <c r="BK44" s="3264">
        <f t="shared" si="26"/>
        <v>0</v>
      </c>
      <c r="BL44" s="3264">
        <f t="shared" si="27"/>
        <v>0</v>
      </c>
      <c r="BM44" s="3264">
        <f t="shared" si="28"/>
        <v>0</v>
      </c>
      <c r="BN44" s="3264">
        <f t="shared" si="29"/>
        <v>0</v>
      </c>
      <c r="BO44" s="3264">
        <f t="shared" si="30"/>
        <v>0</v>
      </c>
      <c r="BP44" s="3264">
        <f t="shared" si="31"/>
        <v>0</v>
      </c>
      <c r="BQ44" s="3264">
        <f t="shared" si="32"/>
        <v>0</v>
      </c>
      <c r="BR44" s="3264">
        <f t="shared" si="33"/>
        <v>0</v>
      </c>
      <c r="BS44" s="3264">
        <f t="shared" si="34"/>
        <v>0</v>
      </c>
      <c r="BT44" s="3317">
        <f t="shared" si="35"/>
        <v>0</v>
      </c>
    </row>
    <row r="45" spans="1:72">
      <c r="A45" s="3262"/>
      <c r="B45" s="3263"/>
      <c r="C45" s="3263"/>
      <c r="D45" s="3268"/>
      <c r="E45" s="3264">
        <f t="shared" si="7"/>
        <v>0</v>
      </c>
      <c r="F45" s="3265"/>
      <c r="G45" s="3266">
        <f t="shared" si="8"/>
        <v>0</v>
      </c>
      <c r="H45" s="3267">
        <f t="shared" si="9"/>
        <v>0</v>
      </c>
      <c r="I45" s="3275"/>
      <c r="J45" s="3275"/>
      <c r="K45" s="3275"/>
      <c r="L45" s="3275"/>
      <c r="M45" s="3275"/>
      <c r="N45" s="3275"/>
      <c r="O45" s="3275"/>
      <c r="P45" s="3275"/>
      <c r="Q45" s="3275"/>
      <c r="R45" s="3275"/>
      <c r="S45" s="3275"/>
      <c r="T45" s="3275"/>
      <c r="U45" s="3275"/>
      <c r="V45" s="3275"/>
      <c r="W45" s="3275"/>
      <c r="X45" s="3275"/>
      <c r="Y45" s="3275"/>
      <c r="Z45" s="3275"/>
      <c r="AA45" s="3275"/>
      <c r="AB45" s="3275"/>
      <c r="AC45" s="3264">
        <f t="shared" si="10"/>
        <v>0</v>
      </c>
      <c r="AD45" s="3285"/>
      <c r="AE45" s="3285"/>
      <c r="AF45" s="3285"/>
      <c r="AG45" s="3285"/>
      <c r="AH45" s="3285"/>
      <c r="AI45" s="3285"/>
      <c r="AJ45" s="3285"/>
      <c r="AK45" s="3285"/>
      <c r="AL45" s="3285"/>
      <c r="AM45" s="3285"/>
      <c r="AN45" s="3285"/>
      <c r="AO45" s="3285"/>
      <c r="AP45" s="3285"/>
      <c r="AQ45" s="3285"/>
      <c r="AR45" s="3285"/>
      <c r="AS45" s="3285"/>
      <c r="AT45" s="3295"/>
      <c r="AU45" s="3296"/>
      <c r="AV45" s="830">
        <f t="shared" si="11"/>
        <v>0</v>
      </c>
      <c r="AW45" s="830">
        <f t="shared" si="12"/>
        <v>0</v>
      </c>
      <c r="AX45" s="830">
        <f t="shared" si="13"/>
        <v>0</v>
      </c>
      <c r="AY45" s="3310">
        <f t="shared" si="14"/>
        <v>0</v>
      </c>
      <c r="AZ45" s="3264">
        <f t="shared" si="15"/>
        <v>0</v>
      </c>
      <c r="BA45" s="3264">
        <f t="shared" si="16"/>
        <v>0</v>
      </c>
      <c r="BB45" s="3264">
        <f t="shared" si="17"/>
        <v>0</v>
      </c>
      <c r="BC45" s="3264">
        <f t="shared" si="18"/>
        <v>0</v>
      </c>
      <c r="BD45" s="3264">
        <f t="shared" si="19"/>
        <v>0</v>
      </c>
      <c r="BE45" s="3264">
        <f t="shared" si="20"/>
        <v>0</v>
      </c>
      <c r="BF45" s="3264">
        <f t="shared" si="21"/>
        <v>0</v>
      </c>
      <c r="BG45" s="3264">
        <f t="shared" si="22"/>
        <v>0</v>
      </c>
      <c r="BH45" s="3264">
        <f t="shared" si="23"/>
        <v>0</v>
      </c>
      <c r="BI45" s="3264">
        <f t="shared" si="24"/>
        <v>0</v>
      </c>
      <c r="BJ45" s="3264">
        <f t="shared" si="25"/>
        <v>0</v>
      </c>
      <c r="BK45" s="3264">
        <f t="shared" si="26"/>
        <v>0</v>
      </c>
      <c r="BL45" s="3264">
        <f t="shared" si="27"/>
        <v>0</v>
      </c>
      <c r="BM45" s="3264">
        <f t="shared" si="28"/>
        <v>0</v>
      </c>
      <c r="BN45" s="3264">
        <f t="shared" si="29"/>
        <v>0</v>
      </c>
      <c r="BO45" s="3264">
        <f t="shared" si="30"/>
        <v>0</v>
      </c>
      <c r="BP45" s="3264">
        <f t="shared" si="31"/>
        <v>0</v>
      </c>
      <c r="BQ45" s="3264">
        <f t="shared" si="32"/>
        <v>0</v>
      </c>
      <c r="BR45" s="3264">
        <f t="shared" si="33"/>
        <v>0</v>
      </c>
      <c r="BS45" s="3264">
        <f t="shared" si="34"/>
        <v>0</v>
      </c>
      <c r="BT45" s="3317">
        <f t="shared" si="35"/>
        <v>0</v>
      </c>
    </row>
    <row r="46" spans="1:72">
      <c r="A46" s="3262"/>
      <c r="B46" s="3263"/>
      <c r="C46" s="3263"/>
      <c r="D46" s="3268"/>
      <c r="E46" s="3264">
        <f t="shared" si="7"/>
        <v>0</v>
      </c>
      <c r="F46" s="3265"/>
      <c r="G46" s="3266">
        <f t="shared" si="8"/>
        <v>0</v>
      </c>
      <c r="H46" s="3267">
        <f t="shared" si="9"/>
        <v>0</v>
      </c>
      <c r="I46" s="3275"/>
      <c r="J46" s="3275"/>
      <c r="K46" s="3275"/>
      <c r="L46" s="3275"/>
      <c r="M46" s="3275"/>
      <c r="N46" s="3275"/>
      <c r="O46" s="3275"/>
      <c r="P46" s="3275"/>
      <c r="Q46" s="3275"/>
      <c r="R46" s="3275"/>
      <c r="S46" s="3275"/>
      <c r="T46" s="3275"/>
      <c r="U46" s="3275"/>
      <c r="V46" s="3275"/>
      <c r="W46" s="3275"/>
      <c r="X46" s="3275"/>
      <c r="Y46" s="3275"/>
      <c r="Z46" s="3275"/>
      <c r="AA46" s="3275"/>
      <c r="AB46" s="3275"/>
      <c r="AC46" s="3264">
        <f t="shared" si="10"/>
        <v>0</v>
      </c>
      <c r="AD46" s="3285"/>
      <c r="AE46" s="3285"/>
      <c r="AF46" s="3285"/>
      <c r="AG46" s="3285"/>
      <c r="AH46" s="3285"/>
      <c r="AI46" s="3285"/>
      <c r="AJ46" s="3285"/>
      <c r="AK46" s="3285"/>
      <c r="AL46" s="3285"/>
      <c r="AM46" s="3285"/>
      <c r="AN46" s="3285"/>
      <c r="AO46" s="3285"/>
      <c r="AP46" s="3285"/>
      <c r="AQ46" s="3285"/>
      <c r="AR46" s="3285"/>
      <c r="AS46" s="3285"/>
      <c r="AT46" s="3295"/>
      <c r="AU46" s="3296"/>
      <c r="AV46" s="830">
        <f t="shared" si="11"/>
        <v>0</v>
      </c>
      <c r="AW46" s="830">
        <f t="shared" si="12"/>
        <v>0</v>
      </c>
      <c r="AX46" s="830">
        <f t="shared" si="13"/>
        <v>0</v>
      </c>
      <c r="AY46" s="3310">
        <f t="shared" si="14"/>
        <v>0</v>
      </c>
      <c r="AZ46" s="3264">
        <f t="shared" si="15"/>
        <v>0</v>
      </c>
      <c r="BA46" s="3264">
        <f t="shared" si="16"/>
        <v>0</v>
      </c>
      <c r="BB46" s="3264">
        <f t="shared" si="17"/>
        <v>0</v>
      </c>
      <c r="BC46" s="3264">
        <f t="shared" si="18"/>
        <v>0</v>
      </c>
      <c r="BD46" s="3264">
        <f t="shared" si="19"/>
        <v>0</v>
      </c>
      <c r="BE46" s="3264">
        <f t="shared" si="20"/>
        <v>0</v>
      </c>
      <c r="BF46" s="3264">
        <f t="shared" si="21"/>
        <v>0</v>
      </c>
      <c r="BG46" s="3264">
        <f t="shared" si="22"/>
        <v>0</v>
      </c>
      <c r="BH46" s="3264">
        <f t="shared" si="23"/>
        <v>0</v>
      </c>
      <c r="BI46" s="3264">
        <f t="shared" si="24"/>
        <v>0</v>
      </c>
      <c r="BJ46" s="3264">
        <f t="shared" si="25"/>
        <v>0</v>
      </c>
      <c r="BK46" s="3264">
        <f t="shared" si="26"/>
        <v>0</v>
      </c>
      <c r="BL46" s="3264">
        <f t="shared" si="27"/>
        <v>0</v>
      </c>
      <c r="BM46" s="3264">
        <f t="shared" si="28"/>
        <v>0</v>
      </c>
      <c r="BN46" s="3264">
        <f t="shared" si="29"/>
        <v>0</v>
      </c>
      <c r="BO46" s="3264">
        <f t="shared" si="30"/>
        <v>0</v>
      </c>
      <c r="BP46" s="3264">
        <f t="shared" si="31"/>
        <v>0</v>
      </c>
      <c r="BQ46" s="3264">
        <f t="shared" si="32"/>
        <v>0</v>
      </c>
      <c r="BR46" s="3264">
        <f t="shared" si="33"/>
        <v>0</v>
      </c>
      <c r="BS46" s="3264">
        <f t="shared" si="34"/>
        <v>0</v>
      </c>
      <c r="BT46" s="3317">
        <f t="shared" si="35"/>
        <v>0</v>
      </c>
    </row>
    <row r="47" spans="1:72">
      <c r="A47" s="3262"/>
      <c r="B47" s="3263"/>
      <c r="C47" s="3263"/>
      <c r="D47" s="3268"/>
      <c r="E47" s="3264">
        <f t="shared" si="7"/>
        <v>0</v>
      </c>
      <c r="F47" s="3265"/>
      <c r="G47" s="3266">
        <f t="shared" si="8"/>
        <v>0</v>
      </c>
      <c r="H47" s="3267">
        <f t="shared" si="9"/>
        <v>0</v>
      </c>
      <c r="I47" s="3275"/>
      <c r="J47" s="3275"/>
      <c r="K47" s="3275"/>
      <c r="L47" s="3275"/>
      <c r="M47" s="3275"/>
      <c r="N47" s="3275"/>
      <c r="O47" s="3275"/>
      <c r="P47" s="3275"/>
      <c r="Q47" s="3275"/>
      <c r="R47" s="3275"/>
      <c r="S47" s="3275"/>
      <c r="T47" s="3275"/>
      <c r="U47" s="3275"/>
      <c r="V47" s="3275"/>
      <c r="W47" s="3275"/>
      <c r="X47" s="3275"/>
      <c r="Y47" s="3275"/>
      <c r="Z47" s="3275"/>
      <c r="AA47" s="3275"/>
      <c r="AB47" s="3275"/>
      <c r="AC47" s="3264">
        <f t="shared" si="10"/>
        <v>0</v>
      </c>
      <c r="AD47" s="3285"/>
      <c r="AE47" s="3285"/>
      <c r="AF47" s="3285"/>
      <c r="AG47" s="3285"/>
      <c r="AH47" s="3285"/>
      <c r="AI47" s="3285"/>
      <c r="AJ47" s="3285"/>
      <c r="AK47" s="3285"/>
      <c r="AL47" s="3285"/>
      <c r="AM47" s="3285"/>
      <c r="AN47" s="3285"/>
      <c r="AO47" s="3285"/>
      <c r="AP47" s="3285"/>
      <c r="AQ47" s="3285"/>
      <c r="AR47" s="3285"/>
      <c r="AS47" s="3285"/>
      <c r="AT47" s="3295"/>
      <c r="AU47" s="3296"/>
      <c r="AV47" s="830">
        <f t="shared" si="11"/>
        <v>0</v>
      </c>
      <c r="AW47" s="830">
        <f t="shared" si="12"/>
        <v>0</v>
      </c>
      <c r="AX47" s="830">
        <f t="shared" si="13"/>
        <v>0</v>
      </c>
      <c r="AY47" s="3310">
        <f t="shared" si="14"/>
        <v>0</v>
      </c>
      <c r="AZ47" s="3264">
        <f t="shared" si="15"/>
        <v>0</v>
      </c>
      <c r="BA47" s="3264">
        <f t="shared" si="16"/>
        <v>0</v>
      </c>
      <c r="BB47" s="3264">
        <f t="shared" si="17"/>
        <v>0</v>
      </c>
      <c r="BC47" s="3264">
        <f t="shared" si="18"/>
        <v>0</v>
      </c>
      <c r="BD47" s="3264">
        <f t="shared" si="19"/>
        <v>0</v>
      </c>
      <c r="BE47" s="3264">
        <f t="shared" si="20"/>
        <v>0</v>
      </c>
      <c r="BF47" s="3264">
        <f t="shared" si="21"/>
        <v>0</v>
      </c>
      <c r="BG47" s="3264">
        <f t="shared" si="22"/>
        <v>0</v>
      </c>
      <c r="BH47" s="3264">
        <f t="shared" si="23"/>
        <v>0</v>
      </c>
      <c r="BI47" s="3264">
        <f t="shared" si="24"/>
        <v>0</v>
      </c>
      <c r="BJ47" s="3264">
        <f t="shared" si="25"/>
        <v>0</v>
      </c>
      <c r="BK47" s="3264">
        <f t="shared" si="26"/>
        <v>0</v>
      </c>
      <c r="BL47" s="3264">
        <f t="shared" si="27"/>
        <v>0</v>
      </c>
      <c r="BM47" s="3264">
        <f t="shared" si="28"/>
        <v>0</v>
      </c>
      <c r="BN47" s="3264">
        <f t="shared" si="29"/>
        <v>0</v>
      </c>
      <c r="BO47" s="3264">
        <f t="shared" si="30"/>
        <v>0</v>
      </c>
      <c r="BP47" s="3264">
        <f t="shared" si="31"/>
        <v>0</v>
      </c>
      <c r="BQ47" s="3264">
        <f t="shared" si="32"/>
        <v>0</v>
      </c>
      <c r="BR47" s="3264">
        <f t="shared" si="33"/>
        <v>0</v>
      </c>
      <c r="BS47" s="3264">
        <f t="shared" si="34"/>
        <v>0</v>
      </c>
      <c r="BT47" s="3317">
        <f t="shared" si="35"/>
        <v>0</v>
      </c>
    </row>
    <row r="48" spans="1:72">
      <c r="A48" s="3262"/>
      <c r="B48" s="3263"/>
      <c r="C48" s="3263"/>
      <c r="D48" s="3268"/>
      <c r="E48" s="3264">
        <f t="shared" si="7"/>
        <v>0</v>
      </c>
      <c r="F48" s="3265"/>
      <c r="G48" s="3266">
        <f t="shared" si="8"/>
        <v>0</v>
      </c>
      <c r="H48" s="3267">
        <f t="shared" si="9"/>
        <v>0</v>
      </c>
      <c r="I48" s="3275"/>
      <c r="J48" s="3275"/>
      <c r="K48" s="3275"/>
      <c r="L48" s="3275"/>
      <c r="M48" s="3275"/>
      <c r="N48" s="3275"/>
      <c r="O48" s="3275"/>
      <c r="P48" s="3275"/>
      <c r="Q48" s="3275"/>
      <c r="R48" s="3275"/>
      <c r="S48" s="3275"/>
      <c r="T48" s="3275"/>
      <c r="U48" s="3275"/>
      <c r="V48" s="3275"/>
      <c r="W48" s="3275"/>
      <c r="X48" s="3275"/>
      <c r="Y48" s="3275"/>
      <c r="Z48" s="3275"/>
      <c r="AA48" s="3275"/>
      <c r="AB48" s="3275"/>
      <c r="AC48" s="3264">
        <f t="shared" si="10"/>
        <v>0</v>
      </c>
      <c r="AD48" s="3285"/>
      <c r="AE48" s="3285"/>
      <c r="AF48" s="3285"/>
      <c r="AG48" s="3285"/>
      <c r="AH48" s="3285"/>
      <c r="AI48" s="3285"/>
      <c r="AJ48" s="3285"/>
      <c r="AK48" s="3285"/>
      <c r="AL48" s="3285"/>
      <c r="AM48" s="3285"/>
      <c r="AN48" s="3285"/>
      <c r="AO48" s="3285"/>
      <c r="AP48" s="3285"/>
      <c r="AQ48" s="3285"/>
      <c r="AR48" s="3285"/>
      <c r="AS48" s="3285"/>
      <c r="AT48" s="3295"/>
      <c r="AU48" s="3296"/>
      <c r="AV48" s="830">
        <f t="shared" si="11"/>
        <v>0</v>
      </c>
      <c r="AW48" s="830">
        <f t="shared" si="12"/>
        <v>0</v>
      </c>
      <c r="AX48" s="830">
        <f t="shared" si="13"/>
        <v>0</v>
      </c>
      <c r="AY48" s="3310">
        <f t="shared" si="14"/>
        <v>0</v>
      </c>
      <c r="AZ48" s="3264">
        <f t="shared" si="15"/>
        <v>0</v>
      </c>
      <c r="BA48" s="3264">
        <f t="shared" si="16"/>
        <v>0</v>
      </c>
      <c r="BB48" s="3264">
        <f t="shared" si="17"/>
        <v>0</v>
      </c>
      <c r="BC48" s="3264">
        <f t="shared" si="18"/>
        <v>0</v>
      </c>
      <c r="BD48" s="3264">
        <f t="shared" si="19"/>
        <v>0</v>
      </c>
      <c r="BE48" s="3264">
        <f t="shared" si="20"/>
        <v>0</v>
      </c>
      <c r="BF48" s="3264">
        <f t="shared" si="21"/>
        <v>0</v>
      </c>
      <c r="BG48" s="3264">
        <f t="shared" si="22"/>
        <v>0</v>
      </c>
      <c r="BH48" s="3264">
        <f t="shared" si="23"/>
        <v>0</v>
      </c>
      <c r="BI48" s="3264">
        <f t="shared" si="24"/>
        <v>0</v>
      </c>
      <c r="BJ48" s="3264">
        <f t="shared" si="25"/>
        <v>0</v>
      </c>
      <c r="BK48" s="3264">
        <f t="shared" si="26"/>
        <v>0</v>
      </c>
      <c r="BL48" s="3264">
        <f t="shared" si="27"/>
        <v>0</v>
      </c>
      <c r="BM48" s="3264">
        <f t="shared" si="28"/>
        <v>0</v>
      </c>
      <c r="BN48" s="3264">
        <f t="shared" si="29"/>
        <v>0</v>
      </c>
      <c r="BO48" s="3264">
        <f t="shared" si="30"/>
        <v>0</v>
      </c>
      <c r="BP48" s="3264">
        <f t="shared" si="31"/>
        <v>0</v>
      </c>
      <c r="BQ48" s="3264">
        <f t="shared" si="32"/>
        <v>0</v>
      </c>
      <c r="BR48" s="3264">
        <f t="shared" si="33"/>
        <v>0</v>
      </c>
      <c r="BS48" s="3264">
        <f t="shared" si="34"/>
        <v>0</v>
      </c>
      <c r="BT48" s="3317">
        <f t="shared" si="35"/>
        <v>0</v>
      </c>
    </row>
    <row r="49" spans="1:72">
      <c r="A49" s="3262"/>
      <c r="B49" s="3263"/>
      <c r="C49" s="3263"/>
      <c r="D49" s="3268"/>
      <c r="E49" s="3264">
        <f t="shared" si="7"/>
        <v>0</v>
      </c>
      <c r="F49" s="3265"/>
      <c r="G49" s="3266">
        <f t="shared" si="8"/>
        <v>0</v>
      </c>
      <c r="H49" s="3267">
        <f t="shared" si="9"/>
        <v>0</v>
      </c>
      <c r="I49" s="3275"/>
      <c r="J49" s="3275"/>
      <c r="K49" s="3275"/>
      <c r="L49" s="3275"/>
      <c r="M49" s="3275"/>
      <c r="N49" s="3275"/>
      <c r="O49" s="3275"/>
      <c r="P49" s="3275"/>
      <c r="Q49" s="3275"/>
      <c r="R49" s="3275"/>
      <c r="S49" s="3275"/>
      <c r="T49" s="3275"/>
      <c r="U49" s="3275"/>
      <c r="V49" s="3275"/>
      <c r="W49" s="3275"/>
      <c r="X49" s="3275"/>
      <c r="Y49" s="3275"/>
      <c r="Z49" s="3275"/>
      <c r="AA49" s="3275"/>
      <c r="AB49" s="3275"/>
      <c r="AC49" s="3264">
        <f t="shared" si="10"/>
        <v>0</v>
      </c>
      <c r="AD49" s="3285"/>
      <c r="AE49" s="3285"/>
      <c r="AF49" s="3285"/>
      <c r="AG49" s="3285"/>
      <c r="AH49" s="3285"/>
      <c r="AI49" s="3285"/>
      <c r="AJ49" s="3285"/>
      <c r="AK49" s="3285"/>
      <c r="AL49" s="3285"/>
      <c r="AM49" s="3285"/>
      <c r="AN49" s="3285"/>
      <c r="AO49" s="3285"/>
      <c r="AP49" s="3285"/>
      <c r="AQ49" s="3285"/>
      <c r="AR49" s="3285"/>
      <c r="AS49" s="3285"/>
      <c r="AT49" s="3295"/>
      <c r="AU49" s="3296"/>
      <c r="AV49" s="830">
        <f t="shared" si="11"/>
        <v>0</v>
      </c>
      <c r="AW49" s="830">
        <f t="shared" si="12"/>
        <v>0</v>
      </c>
      <c r="AX49" s="830">
        <f t="shared" si="13"/>
        <v>0</v>
      </c>
      <c r="AY49" s="3310">
        <f t="shared" si="14"/>
        <v>0</v>
      </c>
      <c r="AZ49" s="3264">
        <f t="shared" si="15"/>
        <v>0</v>
      </c>
      <c r="BA49" s="3264">
        <f t="shared" si="16"/>
        <v>0</v>
      </c>
      <c r="BB49" s="3264">
        <f t="shared" si="17"/>
        <v>0</v>
      </c>
      <c r="BC49" s="3264">
        <f t="shared" si="18"/>
        <v>0</v>
      </c>
      <c r="BD49" s="3264">
        <f t="shared" si="19"/>
        <v>0</v>
      </c>
      <c r="BE49" s="3264">
        <f t="shared" si="20"/>
        <v>0</v>
      </c>
      <c r="BF49" s="3264">
        <f t="shared" si="21"/>
        <v>0</v>
      </c>
      <c r="BG49" s="3264">
        <f t="shared" si="22"/>
        <v>0</v>
      </c>
      <c r="BH49" s="3264">
        <f t="shared" si="23"/>
        <v>0</v>
      </c>
      <c r="BI49" s="3264">
        <f t="shared" si="24"/>
        <v>0</v>
      </c>
      <c r="BJ49" s="3264">
        <f t="shared" si="25"/>
        <v>0</v>
      </c>
      <c r="BK49" s="3264">
        <f t="shared" si="26"/>
        <v>0</v>
      </c>
      <c r="BL49" s="3264">
        <f t="shared" si="27"/>
        <v>0</v>
      </c>
      <c r="BM49" s="3264">
        <f t="shared" si="28"/>
        <v>0</v>
      </c>
      <c r="BN49" s="3264">
        <f t="shared" si="29"/>
        <v>0</v>
      </c>
      <c r="BO49" s="3264">
        <f t="shared" si="30"/>
        <v>0</v>
      </c>
      <c r="BP49" s="3264">
        <f t="shared" si="31"/>
        <v>0</v>
      </c>
      <c r="BQ49" s="3264">
        <f t="shared" si="32"/>
        <v>0</v>
      </c>
      <c r="BR49" s="3264">
        <f t="shared" si="33"/>
        <v>0</v>
      </c>
      <c r="BS49" s="3264">
        <f t="shared" si="34"/>
        <v>0</v>
      </c>
      <c r="BT49" s="3317">
        <f t="shared" si="35"/>
        <v>0</v>
      </c>
    </row>
    <row r="50" spans="1:72">
      <c r="A50" s="3262"/>
      <c r="B50" s="3263"/>
      <c r="C50" s="3263"/>
      <c r="D50" s="3268"/>
      <c r="E50" s="3264">
        <f t="shared" si="7"/>
        <v>0</v>
      </c>
      <c r="F50" s="3265"/>
      <c r="G50" s="3266">
        <f t="shared" si="8"/>
        <v>0</v>
      </c>
      <c r="H50" s="3267">
        <f t="shared" si="9"/>
        <v>0</v>
      </c>
      <c r="I50" s="3275"/>
      <c r="J50" s="3275"/>
      <c r="K50" s="3275"/>
      <c r="L50" s="3275"/>
      <c r="M50" s="3275"/>
      <c r="N50" s="3275"/>
      <c r="O50" s="3275"/>
      <c r="P50" s="3275"/>
      <c r="Q50" s="3275"/>
      <c r="R50" s="3275"/>
      <c r="S50" s="3275"/>
      <c r="T50" s="3275"/>
      <c r="U50" s="3275"/>
      <c r="V50" s="3275"/>
      <c r="W50" s="3275"/>
      <c r="X50" s="3275"/>
      <c r="Y50" s="3275"/>
      <c r="Z50" s="3275"/>
      <c r="AA50" s="3275"/>
      <c r="AB50" s="3275"/>
      <c r="AC50" s="3264">
        <f t="shared" si="10"/>
        <v>0</v>
      </c>
      <c r="AD50" s="3285"/>
      <c r="AE50" s="3285"/>
      <c r="AF50" s="3285"/>
      <c r="AG50" s="3285"/>
      <c r="AH50" s="3285"/>
      <c r="AI50" s="3285"/>
      <c r="AJ50" s="3285"/>
      <c r="AK50" s="3285"/>
      <c r="AL50" s="3285"/>
      <c r="AM50" s="3285"/>
      <c r="AN50" s="3285"/>
      <c r="AO50" s="3285"/>
      <c r="AP50" s="3285"/>
      <c r="AQ50" s="3285"/>
      <c r="AR50" s="3285"/>
      <c r="AS50" s="3285"/>
      <c r="AT50" s="3295"/>
      <c r="AU50" s="3296"/>
      <c r="AV50" s="830">
        <f t="shared" si="11"/>
        <v>0</v>
      </c>
      <c r="AW50" s="830">
        <f t="shared" si="12"/>
        <v>0</v>
      </c>
      <c r="AX50" s="830">
        <f t="shared" si="13"/>
        <v>0</v>
      </c>
      <c r="AY50" s="3310">
        <f t="shared" si="14"/>
        <v>0</v>
      </c>
      <c r="AZ50" s="3264">
        <f t="shared" si="15"/>
        <v>0</v>
      </c>
      <c r="BA50" s="3264">
        <f t="shared" si="16"/>
        <v>0</v>
      </c>
      <c r="BB50" s="3264">
        <f t="shared" si="17"/>
        <v>0</v>
      </c>
      <c r="BC50" s="3264">
        <f t="shared" si="18"/>
        <v>0</v>
      </c>
      <c r="BD50" s="3264">
        <f t="shared" si="19"/>
        <v>0</v>
      </c>
      <c r="BE50" s="3264">
        <f t="shared" si="20"/>
        <v>0</v>
      </c>
      <c r="BF50" s="3264">
        <f t="shared" si="21"/>
        <v>0</v>
      </c>
      <c r="BG50" s="3264">
        <f t="shared" si="22"/>
        <v>0</v>
      </c>
      <c r="BH50" s="3264">
        <f t="shared" si="23"/>
        <v>0</v>
      </c>
      <c r="BI50" s="3264">
        <f t="shared" si="24"/>
        <v>0</v>
      </c>
      <c r="BJ50" s="3264">
        <f t="shared" si="25"/>
        <v>0</v>
      </c>
      <c r="BK50" s="3264">
        <f t="shared" si="26"/>
        <v>0</v>
      </c>
      <c r="BL50" s="3264">
        <f t="shared" si="27"/>
        <v>0</v>
      </c>
      <c r="BM50" s="3264">
        <f t="shared" si="28"/>
        <v>0</v>
      </c>
      <c r="BN50" s="3264">
        <f t="shared" si="29"/>
        <v>0</v>
      </c>
      <c r="BO50" s="3264">
        <f t="shared" si="30"/>
        <v>0</v>
      </c>
      <c r="BP50" s="3264">
        <f t="shared" si="31"/>
        <v>0</v>
      </c>
      <c r="BQ50" s="3264">
        <f t="shared" si="32"/>
        <v>0</v>
      </c>
      <c r="BR50" s="3264">
        <f t="shared" si="33"/>
        <v>0</v>
      </c>
      <c r="BS50" s="3264">
        <f t="shared" si="34"/>
        <v>0</v>
      </c>
      <c r="BT50" s="3317">
        <f t="shared" si="35"/>
        <v>0</v>
      </c>
    </row>
    <row r="51" spans="1:72">
      <c r="A51" s="3262"/>
      <c r="B51" s="3263"/>
      <c r="C51" s="3263"/>
      <c r="D51" s="3268"/>
      <c r="E51" s="3264">
        <f t="shared" si="7"/>
        <v>0</v>
      </c>
      <c r="F51" s="3265"/>
      <c r="G51" s="3266">
        <f t="shared" si="8"/>
        <v>0</v>
      </c>
      <c r="H51" s="3267">
        <f t="shared" si="9"/>
        <v>0</v>
      </c>
      <c r="I51" s="3275"/>
      <c r="J51" s="3275"/>
      <c r="K51" s="3275"/>
      <c r="L51" s="3275"/>
      <c r="M51" s="3275"/>
      <c r="N51" s="3275"/>
      <c r="O51" s="3275"/>
      <c r="P51" s="3275"/>
      <c r="Q51" s="3275"/>
      <c r="R51" s="3275"/>
      <c r="S51" s="3275"/>
      <c r="T51" s="3275"/>
      <c r="U51" s="3275"/>
      <c r="V51" s="3275"/>
      <c r="W51" s="3275"/>
      <c r="X51" s="3275"/>
      <c r="Y51" s="3275"/>
      <c r="Z51" s="3275"/>
      <c r="AA51" s="3275"/>
      <c r="AB51" s="3275"/>
      <c r="AC51" s="3264">
        <f t="shared" si="10"/>
        <v>0</v>
      </c>
      <c r="AD51" s="3285"/>
      <c r="AE51" s="3285"/>
      <c r="AF51" s="3285"/>
      <c r="AG51" s="3285"/>
      <c r="AH51" s="3285"/>
      <c r="AI51" s="3285"/>
      <c r="AJ51" s="3285"/>
      <c r="AK51" s="3285"/>
      <c r="AL51" s="3285"/>
      <c r="AM51" s="3285"/>
      <c r="AN51" s="3285"/>
      <c r="AO51" s="3285"/>
      <c r="AP51" s="3285"/>
      <c r="AQ51" s="3285"/>
      <c r="AR51" s="3285"/>
      <c r="AS51" s="3285"/>
      <c r="AT51" s="3295"/>
      <c r="AU51" s="3296"/>
      <c r="AV51" s="830">
        <f t="shared" si="11"/>
        <v>0</v>
      </c>
      <c r="AW51" s="830">
        <f t="shared" si="12"/>
        <v>0</v>
      </c>
      <c r="AX51" s="830">
        <f t="shared" si="13"/>
        <v>0</v>
      </c>
      <c r="AY51" s="3310">
        <f t="shared" si="14"/>
        <v>0</v>
      </c>
      <c r="AZ51" s="3264">
        <f t="shared" si="15"/>
        <v>0</v>
      </c>
      <c r="BA51" s="3264">
        <f t="shared" si="16"/>
        <v>0</v>
      </c>
      <c r="BB51" s="3264">
        <f t="shared" si="17"/>
        <v>0</v>
      </c>
      <c r="BC51" s="3264">
        <f t="shared" si="18"/>
        <v>0</v>
      </c>
      <c r="BD51" s="3264">
        <f t="shared" si="19"/>
        <v>0</v>
      </c>
      <c r="BE51" s="3264">
        <f t="shared" si="20"/>
        <v>0</v>
      </c>
      <c r="BF51" s="3264">
        <f t="shared" si="21"/>
        <v>0</v>
      </c>
      <c r="BG51" s="3264">
        <f t="shared" si="22"/>
        <v>0</v>
      </c>
      <c r="BH51" s="3264">
        <f t="shared" si="23"/>
        <v>0</v>
      </c>
      <c r="BI51" s="3264">
        <f t="shared" si="24"/>
        <v>0</v>
      </c>
      <c r="BJ51" s="3264">
        <f t="shared" si="25"/>
        <v>0</v>
      </c>
      <c r="BK51" s="3264">
        <f t="shared" si="26"/>
        <v>0</v>
      </c>
      <c r="BL51" s="3264">
        <f t="shared" si="27"/>
        <v>0</v>
      </c>
      <c r="BM51" s="3264">
        <f t="shared" si="28"/>
        <v>0</v>
      </c>
      <c r="BN51" s="3264">
        <f t="shared" si="29"/>
        <v>0</v>
      </c>
      <c r="BO51" s="3264">
        <f t="shared" si="30"/>
        <v>0</v>
      </c>
      <c r="BP51" s="3264">
        <f t="shared" si="31"/>
        <v>0</v>
      </c>
      <c r="BQ51" s="3264">
        <f t="shared" si="32"/>
        <v>0</v>
      </c>
      <c r="BR51" s="3264">
        <f t="shared" si="33"/>
        <v>0</v>
      </c>
      <c r="BS51" s="3264">
        <f t="shared" si="34"/>
        <v>0</v>
      </c>
      <c r="BT51" s="3317">
        <f t="shared" si="35"/>
        <v>0</v>
      </c>
    </row>
    <row r="52" spans="1:72">
      <c r="A52" s="3262"/>
      <c r="B52" s="3263"/>
      <c r="C52" s="3263"/>
      <c r="D52" s="3268"/>
      <c r="E52" s="3264">
        <f t="shared" si="7"/>
        <v>0</v>
      </c>
      <c r="F52" s="3265"/>
      <c r="G52" s="3266">
        <f t="shared" si="8"/>
        <v>0</v>
      </c>
      <c r="H52" s="3267">
        <f t="shared" si="9"/>
        <v>0</v>
      </c>
      <c r="I52" s="3275"/>
      <c r="J52" s="3275"/>
      <c r="K52" s="3275"/>
      <c r="L52" s="3275"/>
      <c r="M52" s="3275"/>
      <c r="N52" s="3275"/>
      <c r="O52" s="3275"/>
      <c r="P52" s="3275"/>
      <c r="Q52" s="3275"/>
      <c r="R52" s="3275"/>
      <c r="S52" s="3275"/>
      <c r="T52" s="3275"/>
      <c r="U52" s="3275"/>
      <c r="V52" s="3275"/>
      <c r="W52" s="3275"/>
      <c r="X52" s="3275"/>
      <c r="Y52" s="3275"/>
      <c r="Z52" s="3275"/>
      <c r="AA52" s="3275"/>
      <c r="AB52" s="3275"/>
      <c r="AC52" s="3264">
        <f t="shared" si="10"/>
        <v>0</v>
      </c>
      <c r="AD52" s="3285"/>
      <c r="AE52" s="3285"/>
      <c r="AF52" s="3285"/>
      <c r="AG52" s="3285"/>
      <c r="AH52" s="3285"/>
      <c r="AI52" s="3285"/>
      <c r="AJ52" s="3285"/>
      <c r="AK52" s="3285"/>
      <c r="AL52" s="3285"/>
      <c r="AM52" s="3285"/>
      <c r="AN52" s="3285"/>
      <c r="AO52" s="3285"/>
      <c r="AP52" s="3285"/>
      <c r="AQ52" s="3285"/>
      <c r="AR52" s="3285"/>
      <c r="AS52" s="3285"/>
      <c r="AT52" s="3295"/>
      <c r="AU52" s="3296"/>
      <c r="AV52" s="830">
        <f t="shared" si="11"/>
        <v>0</v>
      </c>
      <c r="AW52" s="830">
        <f t="shared" si="12"/>
        <v>0</v>
      </c>
      <c r="AX52" s="830">
        <f t="shared" si="13"/>
        <v>0</v>
      </c>
      <c r="AY52" s="3310">
        <f t="shared" si="14"/>
        <v>0</v>
      </c>
      <c r="AZ52" s="3264">
        <f t="shared" si="15"/>
        <v>0</v>
      </c>
      <c r="BA52" s="3264">
        <f t="shared" si="16"/>
        <v>0</v>
      </c>
      <c r="BB52" s="3264">
        <f t="shared" si="17"/>
        <v>0</v>
      </c>
      <c r="BC52" s="3264">
        <f t="shared" si="18"/>
        <v>0</v>
      </c>
      <c r="BD52" s="3264">
        <f t="shared" si="19"/>
        <v>0</v>
      </c>
      <c r="BE52" s="3264">
        <f t="shared" si="20"/>
        <v>0</v>
      </c>
      <c r="BF52" s="3264">
        <f t="shared" si="21"/>
        <v>0</v>
      </c>
      <c r="BG52" s="3264">
        <f t="shared" si="22"/>
        <v>0</v>
      </c>
      <c r="BH52" s="3264">
        <f t="shared" si="23"/>
        <v>0</v>
      </c>
      <c r="BI52" s="3264">
        <f t="shared" si="24"/>
        <v>0</v>
      </c>
      <c r="BJ52" s="3264">
        <f t="shared" si="25"/>
        <v>0</v>
      </c>
      <c r="BK52" s="3264">
        <f t="shared" si="26"/>
        <v>0</v>
      </c>
      <c r="BL52" s="3264">
        <f t="shared" si="27"/>
        <v>0</v>
      </c>
      <c r="BM52" s="3264">
        <f t="shared" si="28"/>
        <v>0</v>
      </c>
      <c r="BN52" s="3264">
        <f t="shared" si="29"/>
        <v>0</v>
      </c>
      <c r="BO52" s="3264">
        <f t="shared" si="30"/>
        <v>0</v>
      </c>
      <c r="BP52" s="3264">
        <f t="shared" si="31"/>
        <v>0</v>
      </c>
      <c r="BQ52" s="3264">
        <f t="shared" si="32"/>
        <v>0</v>
      </c>
      <c r="BR52" s="3264">
        <f t="shared" si="33"/>
        <v>0</v>
      </c>
      <c r="BS52" s="3264">
        <f t="shared" si="34"/>
        <v>0</v>
      </c>
      <c r="BT52" s="3317">
        <f t="shared" si="35"/>
        <v>0</v>
      </c>
    </row>
    <row r="53" spans="1:72">
      <c r="A53" s="3262"/>
      <c r="B53" s="3263"/>
      <c r="C53" s="3263"/>
      <c r="D53" s="3268"/>
      <c r="E53" s="3264">
        <f t="shared" si="7"/>
        <v>0</v>
      </c>
      <c r="F53" s="3265"/>
      <c r="G53" s="3266">
        <f t="shared" si="8"/>
        <v>0</v>
      </c>
      <c r="H53" s="3267">
        <f t="shared" si="9"/>
        <v>0</v>
      </c>
      <c r="I53" s="3275"/>
      <c r="J53" s="3275"/>
      <c r="K53" s="3275"/>
      <c r="L53" s="3275"/>
      <c r="M53" s="3275"/>
      <c r="N53" s="3275"/>
      <c r="O53" s="3275"/>
      <c r="P53" s="3275"/>
      <c r="Q53" s="3275"/>
      <c r="R53" s="3275"/>
      <c r="S53" s="3275"/>
      <c r="T53" s="3275"/>
      <c r="U53" s="3275"/>
      <c r="V53" s="3275"/>
      <c r="W53" s="3275"/>
      <c r="X53" s="3275"/>
      <c r="Y53" s="3275"/>
      <c r="Z53" s="3275"/>
      <c r="AA53" s="3275"/>
      <c r="AB53" s="3275"/>
      <c r="AC53" s="3264">
        <f t="shared" si="10"/>
        <v>0</v>
      </c>
      <c r="AD53" s="3285"/>
      <c r="AE53" s="3285"/>
      <c r="AF53" s="3285"/>
      <c r="AG53" s="3285"/>
      <c r="AH53" s="3285"/>
      <c r="AI53" s="3285"/>
      <c r="AJ53" s="3285"/>
      <c r="AK53" s="3285"/>
      <c r="AL53" s="3285"/>
      <c r="AM53" s="3285"/>
      <c r="AN53" s="3285"/>
      <c r="AO53" s="3285"/>
      <c r="AP53" s="3285"/>
      <c r="AQ53" s="3285"/>
      <c r="AR53" s="3285"/>
      <c r="AS53" s="3285"/>
      <c r="AT53" s="3295"/>
      <c r="AU53" s="3296"/>
      <c r="AV53" s="830">
        <f t="shared" si="11"/>
        <v>0</v>
      </c>
      <c r="AW53" s="830">
        <f t="shared" si="12"/>
        <v>0</v>
      </c>
      <c r="AX53" s="830">
        <f t="shared" si="13"/>
        <v>0</v>
      </c>
      <c r="AY53" s="3310">
        <f t="shared" si="14"/>
        <v>0</v>
      </c>
      <c r="AZ53" s="3264">
        <f t="shared" si="15"/>
        <v>0</v>
      </c>
      <c r="BA53" s="3264">
        <f t="shared" si="16"/>
        <v>0</v>
      </c>
      <c r="BB53" s="3264">
        <f t="shared" si="17"/>
        <v>0</v>
      </c>
      <c r="BC53" s="3264">
        <f t="shared" si="18"/>
        <v>0</v>
      </c>
      <c r="BD53" s="3264">
        <f t="shared" si="19"/>
        <v>0</v>
      </c>
      <c r="BE53" s="3264">
        <f t="shared" si="20"/>
        <v>0</v>
      </c>
      <c r="BF53" s="3264">
        <f t="shared" si="21"/>
        <v>0</v>
      </c>
      <c r="BG53" s="3264">
        <f t="shared" si="22"/>
        <v>0</v>
      </c>
      <c r="BH53" s="3264">
        <f t="shared" si="23"/>
        <v>0</v>
      </c>
      <c r="BI53" s="3264">
        <f t="shared" si="24"/>
        <v>0</v>
      </c>
      <c r="BJ53" s="3264">
        <f t="shared" si="25"/>
        <v>0</v>
      </c>
      <c r="BK53" s="3264">
        <f t="shared" si="26"/>
        <v>0</v>
      </c>
      <c r="BL53" s="3264">
        <f t="shared" si="27"/>
        <v>0</v>
      </c>
      <c r="BM53" s="3264">
        <f t="shared" si="28"/>
        <v>0</v>
      </c>
      <c r="BN53" s="3264">
        <f t="shared" si="29"/>
        <v>0</v>
      </c>
      <c r="BO53" s="3264">
        <f t="shared" si="30"/>
        <v>0</v>
      </c>
      <c r="BP53" s="3264">
        <f t="shared" si="31"/>
        <v>0</v>
      </c>
      <c r="BQ53" s="3264">
        <f t="shared" si="32"/>
        <v>0</v>
      </c>
      <c r="BR53" s="3264">
        <f t="shared" si="33"/>
        <v>0</v>
      </c>
      <c r="BS53" s="3264">
        <f t="shared" si="34"/>
        <v>0</v>
      </c>
      <c r="BT53" s="3317">
        <f t="shared" si="35"/>
        <v>0</v>
      </c>
    </row>
    <row r="54" spans="1:72">
      <c r="A54" s="3262"/>
      <c r="B54" s="3263"/>
      <c r="C54" s="3263"/>
      <c r="D54" s="3268"/>
      <c r="E54" s="3264">
        <f t="shared" si="7"/>
        <v>0</v>
      </c>
      <c r="F54" s="3265"/>
      <c r="G54" s="3266">
        <f t="shared" si="8"/>
        <v>0</v>
      </c>
      <c r="H54" s="3267">
        <f t="shared" si="9"/>
        <v>0</v>
      </c>
      <c r="I54" s="3275"/>
      <c r="J54" s="3275"/>
      <c r="K54" s="3275"/>
      <c r="L54" s="3275"/>
      <c r="M54" s="3275"/>
      <c r="N54" s="3275"/>
      <c r="O54" s="3275"/>
      <c r="P54" s="3275"/>
      <c r="Q54" s="3275"/>
      <c r="R54" s="3275"/>
      <c r="S54" s="3275"/>
      <c r="T54" s="3275"/>
      <c r="U54" s="3275"/>
      <c r="V54" s="3275"/>
      <c r="W54" s="3275"/>
      <c r="X54" s="3275"/>
      <c r="Y54" s="3275"/>
      <c r="Z54" s="3275"/>
      <c r="AA54" s="3275"/>
      <c r="AB54" s="3275"/>
      <c r="AC54" s="3264">
        <f t="shared" si="10"/>
        <v>0</v>
      </c>
      <c r="AD54" s="3285"/>
      <c r="AE54" s="3285"/>
      <c r="AF54" s="3285"/>
      <c r="AG54" s="3285"/>
      <c r="AH54" s="3285"/>
      <c r="AI54" s="3285"/>
      <c r="AJ54" s="3285"/>
      <c r="AK54" s="3285"/>
      <c r="AL54" s="3285"/>
      <c r="AM54" s="3285"/>
      <c r="AN54" s="3285"/>
      <c r="AO54" s="3285"/>
      <c r="AP54" s="3285"/>
      <c r="AQ54" s="3285"/>
      <c r="AR54" s="3285"/>
      <c r="AS54" s="3285"/>
      <c r="AT54" s="3295"/>
      <c r="AU54" s="3296"/>
      <c r="AV54" s="830">
        <f t="shared" si="11"/>
        <v>0</v>
      </c>
      <c r="AW54" s="830">
        <f t="shared" si="12"/>
        <v>0</v>
      </c>
      <c r="AX54" s="830">
        <f t="shared" si="13"/>
        <v>0</v>
      </c>
      <c r="AY54" s="3310">
        <f t="shared" si="14"/>
        <v>0</v>
      </c>
      <c r="AZ54" s="3264">
        <f t="shared" si="15"/>
        <v>0</v>
      </c>
      <c r="BA54" s="3264">
        <f t="shared" si="16"/>
        <v>0</v>
      </c>
      <c r="BB54" s="3264">
        <f t="shared" si="17"/>
        <v>0</v>
      </c>
      <c r="BC54" s="3264">
        <f t="shared" si="18"/>
        <v>0</v>
      </c>
      <c r="BD54" s="3264">
        <f t="shared" si="19"/>
        <v>0</v>
      </c>
      <c r="BE54" s="3264">
        <f t="shared" si="20"/>
        <v>0</v>
      </c>
      <c r="BF54" s="3264">
        <f t="shared" si="21"/>
        <v>0</v>
      </c>
      <c r="BG54" s="3264">
        <f t="shared" si="22"/>
        <v>0</v>
      </c>
      <c r="BH54" s="3264">
        <f t="shared" si="23"/>
        <v>0</v>
      </c>
      <c r="BI54" s="3264">
        <f t="shared" si="24"/>
        <v>0</v>
      </c>
      <c r="BJ54" s="3264">
        <f t="shared" si="25"/>
        <v>0</v>
      </c>
      <c r="BK54" s="3264">
        <f t="shared" si="26"/>
        <v>0</v>
      </c>
      <c r="BL54" s="3264">
        <f t="shared" si="27"/>
        <v>0</v>
      </c>
      <c r="BM54" s="3264">
        <f t="shared" si="28"/>
        <v>0</v>
      </c>
      <c r="BN54" s="3264">
        <f t="shared" si="29"/>
        <v>0</v>
      </c>
      <c r="BO54" s="3264">
        <f t="shared" si="30"/>
        <v>0</v>
      </c>
      <c r="BP54" s="3264">
        <f t="shared" si="31"/>
        <v>0</v>
      </c>
      <c r="BQ54" s="3264">
        <f t="shared" si="32"/>
        <v>0</v>
      </c>
      <c r="BR54" s="3264">
        <f t="shared" si="33"/>
        <v>0</v>
      </c>
      <c r="BS54" s="3264">
        <f t="shared" si="34"/>
        <v>0</v>
      </c>
      <c r="BT54" s="3317">
        <f t="shared" si="35"/>
        <v>0</v>
      </c>
    </row>
    <row r="55" spans="1:72">
      <c r="A55" s="3262"/>
      <c r="B55" s="3263"/>
      <c r="C55" s="3263"/>
      <c r="D55" s="3268"/>
      <c r="E55" s="3264">
        <f t="shared" si="7"/>
        <v>0</v>
      </c>
      <c r="F55" s="3265"/>
      <c r="G55" s="3266">
        <f t="shared" si="8"/>
        <v>0</v>
      </c>
      <c r="H55" s="3267">
        <f t="shared" si="9"/>
        <v>0</v>
      </c>
      <c r="I55" s="3275"/>
      <c r="J55" s="3275"/>
      <c r="K55" s="3275"/>
      <c r="L55" s="3275"/>
      <c r="M55" s="3275"/>
      <c r="N55" s="3275"/>
      <c r="O55" s="3275"/>
      <c r="P55" s="3275"/>
      <c r="Q55" s="3275"/>
      <c r="R55" s="3275"/>
      <c r="S55" s="3275"/>
      <c r="T55" s="3275"/>
      <c r="U55" s="3275"/>
      <c r="V55" s="3275"/>
      <c r="W55" s="3275"/>
      <c r="X55" s="3275"/>
      <c r="Y55" s="3275"/>
      <c r="Z55" s="3275"/>
      <c r="AA55" s="3275"/>
      <c r="AB55" s="3275"/>
      <c r="AC55" s="3264">
        <f t="shared" si="10"/>
        <v>0</v>
      </c>
      <c r="AD55" s="3285"/>
      <c r="AE55" s="3285"/>
      <c r="AF55" s="3285"/>
      <c r="AG55" s="3285"/>
      <c r="AH55" s="3285"/>
      <c r="AI55" s="3285"/>
      <c r="AJ55" s="3285"/>
      <c r="AK55" s="3285"/>
      <c r="AL55" s="3285"/>
      <c r="AM55" s="3285"/>
      <c r="AN55" s="3285"/>
      <c r="AO55" s="3285"/>
      <c r="AP55" s="3285"/>
      <c r="AQ55" s="3285"/>
      <c r="AR55" s="3285"/>
      <c r="AS55" s="3285"/>
      <c r="AT55" s="3295"/>
      <c r="AU55" s="3296"/>
      <c r="AV55" s="830">
        <f t="shared" si="11"/>
        <v>0</v>
      </c>
      <c r="AW55" s="830">
        <f t="shared" si="12"/>
        <v>0</v>
      </c>
      <c r="AX55" s="830">
        <f t="shared" si="13"/>
        <v>0</v>
      </c>
      <c r="AY55" s="3310">
        <f t="shared" si="14"/>
        <v>0</v>
      </c>
      <c r="AZ55" s="3264">
        <f t="shared" si="15"/>
        <v>0</v>
      </c>
      <c r="BA55" s="3264">
        <f t="shared" si="16"/>
        <v>0</v>
      </c>
      <c r="BB55" s="3264">
        <f t="shared" si="17"/>
        <v>0</v>
      </c>
      <c r="BC55" s="3264">
        <f t="shared" si="18"/>
        <v>0</v>
      </c>
      <c r="BD55" s="3264">
        <f t="shared" si="19"/>
        <v>0</v>
      </c>
      <c r="BE55" s="3264">
        <f t="shared" si="20"/>
        <v>0</v>
      </c>
      <c r="BF55" s="3264">
        <f t="shared" si="21"/>
        <v>0</v>
      </c>
      <c r="BG55" s="3264">
        <f t="shared" si="22"/>
        <v>0</v>
      </c>
      <c r="BH55" s="3264">
        <f t="shared" si="23"/>
        <v>0</v>
      </c>
      <c r="BI55" s="3264">
        <f t="shared" si="24"/>
        <v>0</v>
      </c>
      <c r="BJ55" s="3264">
        <f t="shared" si="25"/>
        <v>0</v>
      </c>
      <c r="BK55" s="3264">
        <f t="shared" si="26"/>
        <v>0</v>
      </c>
      <c r="BL55" s="3264">
        <f t="shared" si="27"/>
        <v>0</v>
      </c>
      <c r="BM55" s="3264">
        <f t="shared" si="28"/>
        <v>0</v>
      </c>
      <c r="BN55" s="3264">
        <f t="shared" si="29"/>
        <v>0</v>
      </c>
      <c r="BO55" s="3264">
        <f t="shared" si="30"/>
        <v>0</v>
      </c>
      <c r="BP55" s="3264">
        <f t="shared" si="31"/>
        <v>0</v>
      </c>
      <c r="BQ55" s="3264">
        <f t="shared" si="32"/>
        <v>0</v>
      </c>
      <c r="BR55" s="3264">
        <f t="shared" si="33"/>
        <v>0</v>
      </c>
      <c r="BS55" s="3264">
        <f t="shared" si="34"/>
        <v>0</v>
      </c>
      <c r="BT55" s="3317">
        <f t="shared" si="35"/>
        <v>0</v>
      </c>
    </row>
    <row r="56" spans="1:72">
      <c r="A56" s="3262"/>
      <c r="B56" s="3263"/>
      <c r="C56" s="3263"/>
      <c r="D56" s="3268"/>
      <c r="E56" s="3264">
        <f t="shared" si="7"/>
        <v>0</v>
      </c>
      <c r="F56" s="3265"/>
      <c r="G56" s="3266">
        <f t="shared" si="8"/>
        <v>0</v>
      </c>
      <c r="H56" s="3267">
        <f t="shared" si="9"/>
        <v>0</v>
      </c>
      <c r="I56" s="3275"/>
      <c r="J56" s="3275"/>
      <c r="K56" s="3275"/>
      <c r="L56" s="3275"/>
      <c r="M56" s="3275"/>
      <c r="N56" s="3275"/>
      <c r="O56" s="3275"/>
      <c r="P56" s="3275"/>
      <c r="Q56" s="3275"/>
      <c r="R56" s="3275"/>
      <c r="S56" s="3275"/>
      <c r="T56" s="3275"/>
      <c r="U56" s="3275"/>
      <c r="V56" s="3275"/>
      <c r="W56" s="3275"/>
      <c r="X56" s="3275"/>
      <c r="Y56" s="3275"/>
      <c r="Z56" s="3275"/>
      <c r="AA56" s="3275"/>
      <c r="AB56" s="3275"/>
      <c r="AC56" s="3264">
        <f t="shared" si="10"/>
        <v>0</v>
      </c>
      <c r="AD56" s="3285"/>
      <c r="AE56" s="3285"/>
      <c r="AF56" s="3285"/>
      <c r="AG56" s="3285"/>
      <c r="AH56" s="3285"/>
      <c r="AI56" s="3285"/>
      <c r="AJ56" s="3285"/>
      <c r="AK56" s="3285"/>
      <c r="AL56" s="3285"/>
      <c r="AM56" s="3285"/>
      <c r="AN56" s="3285"/>
      <c r="AO56" s="3285"/>
      <c r="AP56" s="3285"/>
      <c r="AQ56" s="3285"/>
      <c r="AR56" s="3285"/>
      <c r="AS56" s="3285"/>
      <c r="AT56" s="3295"/>
      <c r="AU56" s="3296"/>
      <c r="AV56" s="830">
        <f t="shared" si="11"/>
        <v>0</v>
      </c>
      <c r="AW56" s="830">
        <f t="shared" si="12"/>
        <v>0</v>
      </c>
      <c r="AX56" s="830">
        <f t="shared" si="13"/>
        <v>0</v>
      </c>
      <c r="AY56" s="3310">
        <f t="shared" si="14"/>
        <v>0</v>
      </c>
      <c r="AZ56" s="3264">
        <f t="shared" si="15"/>
        <v>0</v>
      </c>
      <c r="BA56" s="3264">
        <f t="shared" si="16"/>
        <v>0</v>
      </c>
      <c r="BB56" s="3264">
        <f t="shared" si="17"/>
        <v>0</v>
      </c>
      <c r="BC56" s="3264">
        <f t="shared" si="18"/>
        <v>0</v>
      </c>
      <c r="BD56" s="3264">
        <f t="shared" si="19"/>
        <v>0</v>
      </c>
      <c r="BE56" s="3264">
        <f t="shared" si="20"/>
        <v>0</v>
      </c>
      <c r="BF56" s="3264">
        <f t="shared" si="21"/>
        <v>0</v>
      </c>
      <c r="BG56" s="3264">
        <f t="shared" si="22"/>
        <v>0</v>
      </c>
      <c r="BH56" s="3264">
        <f t="shared" si="23"/>
        <v>0</v>
      </c>
      <c r="BI56" s="3264">
        <f t="shared" si="24"/>
        <v>0</v>
      </c>
      <c r="BJ56" s="3264">
        <f t="shared" si="25"/>
        <v>0</v>
      </c>
      <c r="BK56" s="3264">
        <f t="shared" si="26"/>
        <v>0</v>
      </c>
      <c r="BL56" s="3264">
        <f t="shared" si="27"/>
        <v>0</v>
      </c>
      <c r="BM56" s="3264">
        <f t="shared" si="28"/>
        <v>0</v>
      </c>
      <c r="BN56" s="3264">
        <f t="shared" si="29"/>
        <v>0</v>
      </c>
      <c r="BO56" s="3264">
        <f t="shared" si="30"/>
        <v>0</v>
      </c>
      <c r="BP56" s="3264">
        <f t="shared" si="31"/>
        <v>0</v>
      </c>
      <c r="BQ56" s="3264">
        <f t="shared" si="32"/>
        <v>0</v>
      </c>
      <c r="BR56" s="3264">
        <f t="shared" si="33"/>
        <v>0</v>
      </c>
      <c r="BS56" s="3264">
        <f t="shared" si="34"/>
        <v>0</v>
      </c>
      <c r="BT56" s="3317">
        <f t="shared" si="35"/>
        <v>0</v>
      </c>
    </row>
    <row r="57" spans="1:72">
      <c r="A57" s="3262"/>
      <c r="B57" s="3263"/>
      <c r="C57" s="3263"/>
      <c r="D57" s="3268"/>
      <c r="E57" s="3264">
        <f t="shared" si="7"/>
        <v>0</v>
      </c>
      <c r="F57" s="3265"/>
      <c r="G57" s="3266">
        <f t="shared" si="8"/>
        <v>0</v>
      </c>
      <c r="H57" s="3267">
        <f t="shared" si="9"/>
        <v>0</v>
      </c>
      <c r="I57" s="3275"/>
      <c r="J57" s="3275"/>
      <c r="K57" s="3275"/>
      <c r="L57" s="3275"/>
      <c r="M57" s="3275"/>
      <c r="N57" s="3275"/>
      <c r="O57" s="3275"/>
      <c r="P57" s="3275"/>
      <c r="Q57" s="3275"/>
      <c r="R57" s="3275"/>
      <c r="S57" s="3275"/>
      <c r="T57" s="3275"/>
      <c r="U57" s="3275"/>
      <c r="V57" s="3275"/>
      <c r="W57" s="3275"/>
      <c r="X57" s="3275"/>
      <c r="Y57" s="3275"/>
      <c r="Z57" s="3275"/>
      <c r="AA57" s="3275"/>
      <c r="AB57" s="3275"/>
      <c r="AC57" s="3264">
        <f t="shared" si="10"/>
        <v>0</v>
      </c>
      <c r="AD57" s="3285"/>
      <c r="AE57" s="3285"/>
      <c r="AF57" s="3285"/>
      <c r="AG57" s="3285"/>
      <c r="AH57" s="3285"/>
      <c r="AI57" s="3285"/>
      <c r="AJ57" s="3285"/>
      <c r="AK57" s="3285"/>
      <c r="AL57" s="3285"/>
      <c r="AM57" s="3285"/>
      <c r="AN57" s="3285"/>
      <c r="AO57" s="3285"/>
      <c r="AP57" s="3285"/>
      <c r="AQ57" s="3285"/>
      <c r="AR57" s="3285"/>
      <c r="AS57" s="3285"/>
      <c r="AT57" s="3295"/>
      <c r="AU57" s="3296"/>
      <c r="AV57" s="830">
        <f t="shared" si="11"/>
        <v>0</v>
      </c>
      <c r="AW57" s="830">
        <f t="shared" si="12"/>
        <v>0</v>
      </c>
      <c r="AX57" s="830">
        <f t="shared" si="13"/>
        <v>0</v>
      </c>
      <c r="AY57" s="3310">
        <f t="shared" si="14"/>
        <v>0</v>
      </c>
      <c r="AZ57" s="3264">
        <f t="shared" si="15"/>
        <v>0</v>
      </c>
      <c r="BA57" s="3264">
        <f t="shared" si="16"/>
        <v>0</v>
      </c>
      <c r="BB57" s="3264">
        <f t="shared" si="17"/>
        <v>0</v>
      </c>
      <c r="BC57" s="3264">
        <f t="shared" si="18"/>
        <v>0</v>
      </c>
      <c r="BD57" s="3264">
        <f t="shared" si="19"/>
        <v>0</v>
      </c>
      <c r="BE57" s="3264">
        <f t="shared" si="20"/>
        <v>0</v>
      </c>
      <c r="BF57" s="3264">
        <f t="shared" si="21"/>
        <v>0</v>
      </c>
      <c r="BG57" s="3264">
        <f t="shared" si="22"/>
        <v>0</v>
      </c>
      <c r="BH57" s="3264">
        <f t="shared" si="23"/>
        <v>0</v>
      </c>
      <c r="BI57" s="3264">
        <f t="shared" si="24"/>
        <v>0</v>
      </c>
      <c r="BJ57" s="3264">
        <f t="shared" si="25"/>
        <v>0</v>
      </c>
      <c r="BK57" s="3264">
        <f t="shared" si="26"/>
        <v>0</v>
      </c>
      <c r="BL57" s="3264">
        <f t="shared" si="27"/>
        <v>0</v>
      </c>
      <c r="BM57" s="3264">
        <f t="shared" si="28"/>
        <v>0</v>
      </c>
      <c r="BN57" s="3264">
        <f t="shared" si="29"/>
        <v>0</v>
      </c>
      <c r="BO57" s="3264">
        <f t="shared" si="30"/>
        <v>0</v>
      </c>
      <c r="BP57" s="3264">
        <f t="shared" si="31"/>
        <v>0</v>
      </c>
      <c r="BQ57" s="3264">
        <f t="shared" si="32"/>
        <v>0</v>
      </c>
      <c r="BR57" s="3264">
        <f t="shared" si="33"/>
        <v>0</v>
      </c>
      <c r="BS57" s="3264">
        <f t="shared" si="34"/>
        <v>0</v>
      </c>
      <c r="BT57" s="3317">
        <f t="shared" si="35"/>
        <v>0</v>
      </c>
    </row>
    <row r="58" spans="1:72">
      <c r="A58" s="3262"/>
      <c r="B58" s="3263"/>
      <c r="C58" s="3263"/>
      <c r="D58" s="3268"/>
      <c r="E58" s="3264">
        <f t="shared" si="7"/>
        <v>0</v>
      </c>
      <c r="F58" s="3265"/>
      <c r="G58" s="3266">
        <f t="shared" si="8"/>
        <v>0</v>
      </c>
      <c r="H58" s="3267">
        <f t="shared" si="9"/>
        <v>0</v>
      </c>
      <c r="I58" s="3275"/>
      <c r="J58" s="3275"/>
      <c r="K58" s="3275"/>
      <c r="L58" s="3275"/>
      <c r="M58" s="3275"/>
      <c r="N58" s="3275"/>
      <c r="O58" s="3275"/>
      <c r="P58" s="3275"/>
      <c r="Q58" s="3275"/>
      <c r="R58" s="3275"/>
      <c r="S58" s="3275"/>
      <c r="T58" s="3275"/>
      <c r="U58" s="3275"/>
      <c r="V58" s="3275"/>
      <c r="W58" s="3275"/>
      <c r="X58" s="3275"/>
      <c r="Y58" s="3275"/>
      <c r="Z58" s="3275"/>
      <c r="AA58" s="3275"/>
      <c r="AB58" s="3275"/>
      <c r="AC58" s="3264">
        <f t="shared" si="10"/>
        <v>0</v>
      </c>
      <c r="AD58" s="3285"/>
      <c r="AE58" s="3285"/>
      <c r="AF58" s="3285"/>
      <c r="AG58" s="3285"/>
      <c r="AH58" s="3285"/>
      <c r="AI58" s="3285"/>
      <c r="AJ58" s="3285"/>
      <c r="AK58" s="3285"/>
      <c r="AL58" s="3285"/>
      <c r="AM58" s="3285"/>
      <c r="AN58" s="3285"/>
      <c r="AO58" s="3285"/>
      <c r="AP58" s="3285"/>
      <c r="AQ58" s="3285"/>
      <c r="AR58" s="3285"/>
      <c r="AS58" s="3285"/>
      <c r="AT58" s="3295"/>
      <c r="AU58" s="3296"/>
      <c r="AV58" s="830">
        <f t="shared" si="11"/>
        <v>0</v>
      </c>
      <c r="AW58" s="830">
        <f t="shared" si="12"/>
        <v>0</v>
      </c>
      <c r="AX58" s="830">
        <f t="shared" si="13"/>
        <v>0</v>
      </c>
      <c r="AY58" s="3310">
        <f t="shared" si="14"/>
        <v>0</v>
      </c>
      <c r="AZ58" s="3264">
        <f t="shared" si="15"/>
        <v>0</v>
      </c>
      <c r="BA58" s="3264">
        <f t="shared" si="16"/>
        <v>0</v>
      </c>
      <c r="BB58" s="3264">
        <f t="shared" si="17"/>
        <v>0</v>
      </c>
      <c r="BC58" s="3264">
        <f t="shared" si="18"/>
        <v>0</v>
      </c>
      <c r="BD58" s="3264">
        <f t="shared" si="19"/>
        <v>0</v>
      </c>
      <c r="BE58" s="3264">
        <f t="shared" si="20"/>
        <v>0</v>
      </c>
      <c r="BF58" s="3264">
        <f t="shared" si="21"/>
        <v>0</v>
      </c>
      <c r="BG58" s="3264">
        <f t="shared" si="22"/>
        <v>0</v>
      </c>
      <c r="BH58" s="3264">
        <f t="shared" si="23"/>
        <v>0</v>
      </c>
      <c r="BI58" s="3264">
        <f t="shared" si="24"/>
        <v>0</v>
      </c>
      <c r="BJ58" s="3264">
        <f t="shared" si="25"/>
        <v>0</v>
      </c>
      <c r="BK58" s="3264">
        <f t="shared" si="26"/>
        <v>0</v>
      </c>
      <c r="BL58" s="3264">
        <f t="shared" si="27"/>
        <v>0</v>
      </c>
      <c r="BM58" s="3264">
        <f t="shared" si="28"/>
        <v>0</v>
      </c>
      <c r="BN58" s="3264">
        <f t="shared" si="29"/>
        <v>0</v>
      </c>
      <c r="BO58" s="3264">
        <f t="shared" si="30"/>
        <v>0</v>
      </c>
      <c r="BP58" s="3264">
        <f t="shared" si="31"/>
        <v>0</v>
      </c>
      <c r="BQ58" s="3264">
        <f t="shared" si="32"/>
        <v>0</v>
      </c>
      <c r="BR58" s="3264">
        <f t="shared" si="33"/>
        <v>0</v>
      </c>
      <c r="BS58" s="3264">
        <f t="shared" si="34"/>
        <v>0</v>
      </c>
      <c r="BT58" s="3317">
        <f t="shared" si="35"/>
        <v>0</v>
      </c>
    </row>
    <row r="59" spans="1:72">
      <c r="A59" s="3262"/>
      <c r="B59" s="3263"/>
      <c r="C59" s="3263"/>
      <c r="D59" s="3268"/>
      <c r="E59" s="3264">
        <f t="shared" si="7"/>
        <v>0</v>
      </c>
      <c r="F59" s="3265"/>
      <c r="G59" s="3266">
        <f t="shared" si="8"/>
        <v>0</v>
      </c>
      <c r="H59" s="3267">
        <f t="shared" si="9"/>
        <v>0</v>
      </c>
      <c r="I59" s="3275"/>
      <c r="J59" s="3275"/>
      <c r="K59" s="3275"/>
      <c r="L59" s="3275"/>
      <c r="M59" s="3275"/>
      <c r="N59" s="3275"/>
      <c r="O59" s="3275"/>
      <c r="P59" s="3275"/>
      <c r="Q59" s="3275"/>
      <c r="R59" s="3275"/>
      <c r="S59" s="3275"/>
      <c r="T59" s="3275"/>
      <c r="U59" s="3275"/>
      <c r="V59" s="3275"/>
      <c r="W59" s="3275"/>
      <c r="X59" s="3275"/>
      <c r="Y59" s="3275"/>
      <c r="Z59" s="3275"/>
      <c r="AA59" s="3275"/>
      <c r="AB59" s="3275"/>
      <c r="AC59" s="3264">
        <f t="shared" si="10"/>
        <v>0</v>
      </c>
      <c r="AD59" s="3285"/>
      <c r="AE59" s="3285"/>
      <c r="AF59" s="3285"/>
      <c r="AG59" s="3285"/>
      <c r="AH59" s="3285"/>
      <c r="AI59" s="3285"/>
      <c r="AJ59" s="3285"/>
      <c r="AK59" s="3285"/>
      <c r="AL59" s="3285"/>
      <c r="AM59" s="3285"/>
      <c r="AN59" s="3285"/>
      <c r="AO59" s="3285"/>
      <c r="AP59" s="3285"/>
      <c r="AQ59" s="3285"/>
      <c r="AR59" s="3285"/>
      <c r="AS59" s="3285"/>
      <c r="AT59" s="3295"/>
      <c r="AU59" s="3296"/>
      <c r="AV59" s="830">
        <f t="shared" si="11"/>
        <v>0</v>
      </c>
      <c r="AW59" s="830">
        <f t="shared" si="12"/>
        <v>0</v>
      </c>
      <c r="AX59" s="830">
        <f t="shared" si="13"/>
        <v>0</v>
      </c>
      <c r="AY59" s="3310">
        <f t="shared" si="14"/>
        <v>0</v>
      </c>
      <c r="AZ59" s="3264">
        <f t="shared" si="15"/>
        <v>0</v>
      </c>
      <c r="BA59" s="3264">
        <f t="shared" si="16"/>
        <v>0</v>
      </c>
      <c r="BB59" s="3264">
        <f t="shared" si="17"/>
        <v>0</v>
      </c>
      <c r="BC59" s="3264">
        <f t="shared" si="18"/>
        <v>0</v>
      </c>
      <c r="BD59" s="3264">
        <f t="shared" si="19"/>
        <v>0</v>
      </c>
      <c r="BE59" s="3264">
        <f t="shared" si="20"/>
        <v>0</v>
      </c>
      <c r="BF59" s="3264">
        <f t="shared" si="21"/>
        <v>0</v>
      </c>
      <c r="BG59" s="3264">
        <f t="shared" si="22"/>
        <v>0</v>
      </c>
      <c r="BH59" s="3264">
        <f t="shared" si="23"/>
        <v>0</v>
      </c>
      <c r="BI59" s="3264">
        <f t="shared" si="24"/>
        <v>0</v>
      </c>
      <c r="BJ59" s="3264">
        <f t="shared" si="25"/>
        <v>0</v>
      </c>
      <c r="BK59" s="3264">
        <f t="shared" si="26"/>
        <v>0</v>
      </c>
      <c r="BL59" s="3264">
        <f t="shared" si="27"/>
        <v>0</v>
      </c>
      <c r="BM59" s="3264">
        <f t="shared" si="28"/>
        <v>0</v>
      </c>
      <c r="BN59" s="3264">
        <f t="shared" si="29"/>
        <v>0</v>
      </c>
      <c r="BO59" s="3264">
        <f t="shared" si="30"/>
        <v>0</v>
      </c>
      <c r="BP59" s="3264">
        <f t="shared" si="31"/>
        <v>0</v>
      </c>
      <c r="BQ59" s="3264">
        <f t="shared" si="32"/>
        <v>0</v>
      </c>
      <c r="BR59" s="3264">
        <f t="shared" si="33"/>
        <v>0</v>
      </c>
      <c r="BS59" s="3264">
        <f t="shared" si="34"/>
        <v>0</v>
      </c>
      <c r="BT59" s="3317">
        <f t="shared" si="35"/>
        <v>0</v>
      </c>
    </row>
    <row r="60" spans="1:72">
      <c r="A60" s="3262"/>
      <c r="B60" s="3263"/>
      <c r="C60" s="3263"/>
      <c r="D60" s="3268"/>
      <c r="E60" s="3264">
        <f t="shared" si="7"/>
        <v>0</v>
      </c>
      <c r="F60" s="3265"/>
      <c r="G60" s="3266">
        <f t="shared" si="8"/>
        <v>0</v>
      </c>
      <c r="H60" s="3267">
        <f t="shared" si="9"/>
        <v>0</v>
      </c>
      <c r="I60" s="3275"/>
      <c r="J60" s="3275"/>
      <c r="K60" s="3275"/>
      <c r="L60" s="3275"/>
      <c r="M60" s="3275"/>
      <c r="N60" s="3275"/>
      <c r="O60" s="3275"/>
      <c r="P60" s="3275"/>
      <c r="Q60" s="3275"/>
      <c r="R60" s="3275"/>
      <c r="S60" s="3275"/>
      <c r="T60" s="3275"/>
      <c r="U60" s="3275"/>
      <c r="V60" s="3275"/>
      <c r="W60" s="3275"/>
      <c r="X60" s="3275"/>
      <c r="Y60" s="3275"/>
      <c r="Z60" s="3275"/>
      <c r="AA60" s="3275"/>
      <c r="AB60" s="3275"/>
      <c r="AC60" s="3264">
        <f t="shared" si="10"/>
        <v>0</v>
      </c>
      <c r="AD60" s="3285"/>
      <c r="AE60" s="3285"/>
      <c r="AF60" s="3285"/>
      <c r="AG60" s="3285"/>
      <c r="AH60" s="3285"/>
      <c r="AI60" s="3285"/>
      <c r="AJ60" s="3285"/>
      <c r="AK60" s="3285"/>
      <c r="AL60" s="3285"/>
      <c r="AM60" s="3285"/>
      <c r="AN60" s="3285"/>
      <c r="AO60" s="3285"/>
      <c r="AP60" s="3285"/>
      <c r="AQ60" s="3285"/>
      <c r="AR60" s="3285"/>
      <c r="AS60" s="3285"/>
      <c r="AT60" s="3295"/>
      <c r="AU60" s="3296"/>
      <c r="AV60" s="830">
        <f t="shared" si="11"/>
        <v>0</v>
      </c>
      <c r="AW60" s="830">
        <f t="shared" si="12"/>
        <v>0</v>
      </c>
      <c r="AX60" s="830">
        <f t="shared" si="13"/>
        <v>0</v>
      </c>
      <c r="AY60" s="3310">
        <f t="shared" si="14"/>
        <v>0</v>
      </c>
      <c r="AZ60" s="3264">
        <f t="shared" si="15"/>
        <v>0</v>
      </c>
      <c r="BA60" s="3264">
        <f t="shared" si="16"/>
        <v>0</v>
      </c>
      <c r="BB60" s="3264">
        <f t="shared" si="17"/>
        <v>0</v>
      </c>
      <c r="BC60" s="3264">
        <f t="shared" si="18"/>
        <v>0</v>
      </c>
      <c r="BD60" s="3264">
        <f t="shared" si="19"/>
        <v>0</v>
      </c>
      <c r="BE60" s="3264">
        <f t="shared" si="20"/>
        <v>0</v>
      </c>
      <c r="BF60" s="3264">
        <f t="shared" si="21"/>
        <v>0</v>
      </c>
      <c r="BG60" s="3264">
        <f t="shared" si="22"/>
        <v>0</v>
      </c>
      <c r="BH60" s="3264">
        <f t="shared" si="23"/>
        <v>0</v>
      </c>
      <c r="BI60" s="3264">
        <f t="shared" si="24"/>
        <v>0</v>
      </c>
      <c r="BJ60" s="3264">
        <f t="shared" si="25"/>
        <v>0</v>
      </c>
      <c r="BK60" s="3264">
        <f t="shared" si="26"/>
        <v>0</v>
      </c>
      <c r="BL60" s="3264">
        <f t="shared" si="27"/>
        <v>0</v>
      </c>
      <c r="BM60" s="3264">
        <f t="shared" si="28"/>
        <v>0</v>
      </c>
      <c r="BN60" s="3264">
        <f t="shared" si="29"/>
        <v>0</v>
      </c>
      <c r="BO60" s="3264">
        <f t="shared" si="30"/>
        <v>0</v>
      </c>
      <c r="BP60" s="3264">
        <f t="shared" si="31"/>
        <v>0</v>
      </c>
      <c r="BQ60" s="3264">
        <f t="shared" si="32"/>
        <v>0</v>
      </c>
      <c r="BR60" s="3264">
        <f t="shared" si="33"/>
        <v>0</v>
      </c>
      <c r="BS60" s="3264">
        <f t="shared" si="34"/>
        <v>0</v>
      </c>
      <c r="BT60" s="3317">
        <f t="shared" si="35"/>
        <v>0</v>
      </c>
    </row>
    <row r="61" spans="1:72">
      <c r="A61" s="3262"/>
      <c r="B61" s="3263"/>
      <c r="C61" s="3263"/>
      <c r="D61" s="3268"/>
      <c r="E61" s="3264">
        <f t="shared" si="7"/>
        <v>0</v>
      </c>
      <c r="F61" s="3265"/>
      <c r="G61" s="3266">
        <f t="shared" si="8"/>
        <v>0</v>
      </c>
      <c r="H61" s="3267">
        <f t="shared" si="9"/>
        <v>0</v>
      </c>
      <c r="I61" s="3275"/>
      <c r="J61" s="3275"/>
      <c r="K61" s="3275"/>
      <c r="L61" s="3275"/>
      <c r="M61" s="3275"/>
      <c r="N61" s="3275"/>
      <c r="O61" s="3275"/>
      <c r="P61" s="3275"/>
      <c r="Q61" s="3275"/>
      <c r="R61" s="3275"/>
      <c r="S61" s="3275"/>
      <c r="T61" s="3275"/>
      <c r="U61" s="3275"/>
      <c r="V61" s="3275"/>
      <c r="W61" s="3275"/>
      <c r="X61" s="3275"/>
      <c r="Y61" s="3275"/>
      <c r="Z61" s="3275"/>
      <c r="AA61" s="3275"/>
      <c r="AB61" s="3275"/>
      <c r="AC61" s="3264">
        <f t="shared" si="10"/>
        <v>0</v>
      </c>
      <c r="AD61" s="3285"/>
      <c r="AE61" s="3285"/>
      <c r="AF61" s="3285"/>
      <c r="AG61" s="3285"/>
      <c r="AH61" s="3285"/>
      <c r="AI61" s="3285"/>
      <c r="AJ61" s="3285"/>
      <c r="AK61" s="3285"/>
      <c r="AL61" s="3285"/>
      <c r="AM61" s="3285"/>
      <c r="AN61" s="3285"/>
      <c r="AO61" s="3285"/>
      <c r="AP61" s="3285"/>
      <c r="AQ61" s="3285"/>
      <c r="AR61" s="3285"/>
      <c r="AS61" s="3285"/>
      <c r="AT61" s="3295"/>
      <c r="AU61" s="3296"/>
      <c r="AV61" s="830">
        <f t="shared" si="11"/>
        <v>0</v>
      </c>
      <c r="AW61" s="830">
        <f t="shared" si="12"/>
        <v>0</v>
      </c>
      <c r="AX61" s="830">
        <f t="shared" si="13"/>
        <v>0</v>
      </c>
      <c r="AY61" s="3310">
        <f t="shared" si="14"/>
        <v>0</v>
      </c>
      <c r="AZ61" s="3264">
        <f t="shared" si="15"/>
        <v>0</v>
      </c>
      <c r="BA61" s="3264">
        <f t="shared" si="16"/>
        <v>0</v>
      </c>
      <c r="BB61" s="3264">
        <f t="shared" si="17"/>
        <v>0</v>
      </c>
      <c r="BC61" s="3264">
        <f t="shared" si="18"/>
        <v>0</v>
      </c>
      <c r="BD61" s="3264">
        <f t="shared" si="19"/>
        <v>0</v>
      </c>
      <c r="BE61" s="3264">
        <f t="shared" si="20"/>
        <v>0</v>
      </c>
      <c r="BF61" s="3264">
        <f t="shared" si="21"/>
        <v>0</v>
      </c>
      <c r="BG61" s="3264">
        <f t="shared" si="22"/>
        <v>0</v>
      </c>
      <c r="BH61" s="3264">
        <f t="shared" si="23"/>
        <v>0</v>
      </c>
      <c r="BI61" s="3264">
        <f t="shared" si="24"/>
        <v>0</v>
      </c>
      <c r="BJ61" s="3264">
        <f t="shared" si="25"/>
        <v>0</v>
      </c>
      <c r="BK61" s="3264">
        <f t="shared" si="26"/>
        <v>0</v>
      </c>
      <c r="BL61" s="3264">
        <f t="shared" si="27"/>
        <v>0</v>
      </c>
      <c r="BM61" s="3264">
        <f t="shared" si="28"/>
        <v>0</v>
      </c>
      <c r="BN61" s="3264">
        <f t="shared" si="29"/>
        <v>0</v>
      </c>
      <c r="BO61" s="3264">
        <f t="shared" si="30"/>
        <v>0</v>
      </c>
      <c r="BP61" s="3264">
        <f t="shared" si="31"/>
        <v>0</v>
      </c>
      <c r="BQ61" s="3264">
        <f t="shared" si="32"/>
        <v>0</v>
      </c>
      <c r="BR61" s="3264">
        <f t="shared" si="33"/>
        <v>0</v>
      </c>
      <c r="BS61" s="3264">
        <f t="shared" si="34"/>
        <v>0</v>
      </c>
      <c r="BT61" s="3317">
        <f t="shared" si="35"/>
        <v>0</v>
      </c>
    </row>
    <row r="62" spans="1:72">
      <c r="A62" s="3262"/>
      <c r="B62" s="3263"/>
      <c r="C62" s="3263"/>
      <c r="D62" s="3268"/>
      <c r="E62" s="3264">
        <f t="shared" si="7"/>
        <v>0</v>
      </c>
      <c r="F62" s="3265"/>
      <c r="G62" s="3266">
        <f t="shared" si="8"/>
        <v>0</v>
      </c>
      <c r="H62" s="3267">
        <f t="shared" si="9"/>
        <v>0</v>
      </c>
      <c r="I62" s="3275"/>
      <c r="J62" s="3275"/>
      <c r="K62" s="3275"/>
      <c r="L62" s="3275"/>
      <c r="M62" s="3275"/>
      <c r="N62" s="3275"/>
      <c r="O62" s="3275"/>
      <c r="P62" s="3275"/>
      <c r="Q62" s="3275"/>
      <c r="R62" s="3275"/>
      <c r="S62" s="3275"/>
      <c r="T62" s="3275"/>
      <c r="U62" s="3275"/>
      <c r="V62" s="3275"/>
      <c r="W62" s="3275"/>
      <c r="X62" s="3275"/>
      <c r="Y62" s="3275"/>
      <c r="Z62" s="3275"/>
      <c r="AA62" s="3275"/>
      <c r="AB62" s="3275"/>
      <c r="AC62" s="3264">
        <f t="shared" si="10"/>
        <v>0</v>
      </c>
      <c r="AD62" s="3285"/>
      <c r="AE62" s="3285"/>
      <c r="AF62" s="3285"/>
      <c r="AG62" s="3285"/>
      <c r="AH62" s="3285"/>
      <c r="AI62" s="3285"/>
      <c r="AJ62" s="3285"/>
      <c r="AK62" s="3285"/>
      <c r="AL62" s="3285"/>
      <c r="AM62" s="3285"/>
      <c r="AN62" s="3285"/>
      <c r="AO62" s="3285"/>
      <c r="AP62" s="3285"/>
      <c r="AQ62" s="3285"/>
      <c r="AR62" s="3285"/>
      <c r="AS62" s="3285"/>
      <c r="AT62" s="3295"/>
      <c r="AU62" s="3296"/>
      <c r="AV62" s="830">
        <f t="shared" si="11"/>
        <v>0</v>
      </c>
      <c r="AW62" s="830">
        <f t="shared" si="12"/>
        <v>0</v>
      </c>
      <c r="AX62" s="830">
        <f t="shared" si="13"/>
        <v>0</v>
      </c>
      <c r="AY62" s="3310">
        <f t="shared" si="14"/>
        <v>0</v>
      </c>
      <c r="AZ62" s="3264">
        <f t="shared" si="15"/>
        <v>0</v>
      </c>
      <c r="BA62" s="3264">
        <f t="shared" si="16"/>
        <v>0</v>
      </c>
      <c r="BB62" s="3264">
        <f t="shared" si="17"/>
        <v>0</v>
      </c>
      <c r="BC62" s="3264">
        <f t="shared" si="18"/>
        <v>0</v>
      </c>
      <c r="BD62" s="3264">
        <f t="shared" si="19"/>
        <v>0</v>
      </c>
      <c r="BE62" s="3264">
        <f t="shared" si="20"/>
        <v>0</v>
      </c>
      <c r="BF62" s="3264">
        <f t="shared" si="21"/>
        <v>0</v>
      </c>
      <c r="BG62" s="3264">
        <f t="shared" si="22"/>
        <v>0</v>
      </c>
      <c r="BH62" s="3264">
        <f t="shared" si="23"/>
        <v>0</v>
      </c>
      <c r="BI62" s="3264">
        <f t="shared" si="24"/>
        <v>0</v>
      </c>
      <c r="BJ62" s="3264">
        <f t="shared" si="25"/>
        <v>0</v>
      </c>
      <c r="BK62" s="3264">
        <f t="shared" si="26"/>
        <v>0</v>
      </c>
      <c r="BL62" s="3264">
        <f t="shared" si="27"/>
        <v>0</v>
      </c>
      <c r="BM62" s="3264">
        <f t="shared" si="28"/>
        <v>0</v>
      </c>
      <c r="BN62" s="3264">
        <f t="shared" si="29"/>
        <v>0</v>
      </c>
      <c r="BO62" s="3264">
        <f t="shared" si="30"/>
        <v>0</v>
      </c>
      <c r="BP62" s="3264">
        <f t="shared" si="31"/>
        <v>0</v>
      </c>
      <c r="BQ62" s="3264">
        <f t="shared" si="32"/>
        <v>0</v>
      </c>
      <c r="BR62" s="3264">
        <f t="shared" si="33"/>
        <v>0</v>
      </c>
      <c r="BS62" s="3264">
        <f t="shared" si="34"/>
        <v>0</v>
      </c>
      <c r="BT62" s="3317">
        <f t="shared" si="35"/>
        <v>0</v>
      </c>
    </row>
    <row r="63" spans="1:72">
      <c r="A63" s="3262"/>
      <c r="B63" s="3263"/>
      <c r="C63" s="3263"/>
      <c r="D63" s="3268"/>
      <c r="E63" s="3264">
        <f t="shared" si="7"/>
        <v>0</v>
      </c>
      <c r="F63" s="3265"/>
      <c r="G63" s="3266">
        <f t="shared" si="8"/>
        <v>0</v>
      </c>
      <c r="H63" s="3267">
        <f t="shared" si="9"/>
        <v>0</v>
      </c>
      <c r="I63" s="3275"/>
      <c r="J63" s="3275"/>
      <c r="K63" s="3275"/>
      <c r="L63" s="3275"/>
      <c r="M63" s="3275"/>
      <c r="N63" s="3275"/>
      <c r="O63" s="3275"/>
      <c r="P63" s="3275"/>
      <c r="Q63" s="3275"/>
      <c r="R63" s="3275"/>
      <c r="S63" s="3275"/>
      <c r="T63" s="3275"/>
      <c r="U63" s="3275"/>
      <c r="V63" s="3275"/>
      <c r="W63" s="3275"/>
      <c r="X63" s="3275"/>
      <c r="Y63" s="3275"/>
      <c r="Z63" s="3275"/>
      <c r="AA63" s="3275"/>
      <c r="AB63" s="3275"/>
      <c r="AC63" s="3264">
        <f t="shared" si="10"/>
        <v>0</v>
      </c>
      <c r="AD63" s="3285"/>
      <c r="AE63" s="3285"/>
      <c r="AF63" s="3285"/>
      <c r="AG63" s="3285"/>
      <c r="AH63" s="3285"/>
      <c r="AI63" s="3285"/>
      <c r="AJ63" s="3285"/>
      <c r="AK63" s="3285"/>
      <c r="AL63" s="3285"/>
      <c r="AM63" s="3285"/>
      <c r="AN63" s="3285"/>
      <c r="AO63" s="3285"/>
      <c r="AP63" s="3285"/>
      <c r="AQ63" s="3285"/>
      <c r="AR63" s="3285"/>
      <c r="AS63" s="3285"/>
      <c r="AT63" s="3295"/>
      <c r="AU63" s="3296"/>
      <c r="AV63" s="830">
        <f t="shared" si="11"/>
        <v>0</v>
      </c>
      <c r="AW63" s="830">
        <f t="shared" si="12"/>
        <v>0</v>
      </c>
      <c r="AX63" s="830">
        <f t="shared" si="13"/>
        <v>0</v>
      </c>
      <c r="AY63" s="3310">
        <f t="shared" si="14"/>
        <v>0</v>
      </c>
      <c r="AZ63" s="3264">
        <f t="shared" si="15"/>
        <v>0</v>
      </c>
      <c r="BA63" s="3264">
        <f t="shared" si="16"/>
        <v>0</v>
      </c>
      <c r="BB63" s="3264">
        <f t="shared" si="17"/>
        <v>0</v>
      </c>
      <c r="BC63" s="3264">
        <f t="shared" si="18"/>
        <v>0</v>
      </c>
      <c r="BD63" s="3264">
        <f t="shared" si="19"/>
        <v>0</v>
      </c>
      <c r="BE63" s="3264">
        <f t="shared" si="20"/>
        <v>0</v>
      </c>
      <c r="BF63" s="3264">
        <f t="shared" si="21"/>
        <v>0</v>
      </c>
      <c r="BG63" s="3264">
        <f t="shared" si="22"/>
        <v>0</v>
      </c>
      <c r="BH63" s="3264">
        <f t="shared" si="23"/>
        <v>0</v>
      </c>
      <c r="BI63" s="3264">
        <f t="shared" si="24"/>
        <v>0</v>
      </c>
      <c r="BJ63" s="3264">
        <f t="shared" si="25"/>
        <v>0</v>
      </c>
      <c r="BK63" s="3264">
        <f t="shared" si="26"/>
        <v>0</v>
      </c>
      <c r="BL63" s="3264">
        <f t="shared" si="27"/>
        <v>0</v>
      </c>
      <c r="BM63" s="3264">
        <f t="shared" si="28"/>
        <v>0</v>
      </c>
      <c r="BN63" s="3264">
        <f t="shared" si="29"/>
        <v>0</v>
      </c>
      <c r="BO63" s="3264">
        <f t="shared" si="30"/>
        <v>0</v>
      </c>
      <c r="BP63" s="3264">
        <f t="shared" si="31"/>
        <v>0</v>
      </c>
      <c r="BQ63" s="3264">
        <f t="shared" si="32"/>
        <v>0</v>
      </c>
      <c r="BR63" s="3264">
        <f t="shared" si="33"/>
        <v>0</v>
      </c>
      <c r="BS63" s="3264">
        <f t="shared" si="34"/>
        <v>0</v>
      </c>
      <c r="BT63" s="3317">
        <f t="shared" si="35"/>
        <v>0</v>
      </c>
    </row>
    <row r="64" spans="1:72">
      <c r="A64" s="3262"/>
      <c r="B64" s="3263"/>
      <c r="C64" s="3263"/>
      <c r="D64" s="3268"/>
      <c r="E64" s="3264">
        <f t="shared" si="7"/>
        <v>0</v>
      </c>
      <c r="F64" s="3265"/>
      <c r="G64" s="3266">
        <f t="shared" si="8"/>
        <v>0</v>
      </c>
      <c r="H64" s="3267">
        <f t="shared" si="9"/>
        <v>0</v>
      </c>
      <c r="I64" s="3275"/>
      <c r="J64" s="3275"/>
      <c r="K64" s="3275"/>
      <c r="L64" s="3275"/>
      <c r="M64" s="3275"/>
      <c r="N64" s="3275"/>
      <c r="O64" s="3275"/>
      <c r="P64" s="3275"/>
      <c r="Q64" s="3275"/>
      <c r="R64" s="3275"/>
      <c r="S64" s="3275"/>
      <c r="T64" s="3275"/>
      <c r="U64" s="3275"/>
      <c r="V64" s="3275"/>
      <c r="W64" s="3275"/>
      <c r="X64" s="3275"/>
      <c r="Y64" s="3275"/>
      <c r="Z64" s="3275"/>
      <c r="AA64" s="3275"/>
      <c r="AB64" s="3275"/>
      <c r="AC64" s="3264">
        <f t="shared" si="10"/>
        <v>0</v>
      </c>
      <c r="AD64" s="3285"/>
      <c r="AE64" s="3285"/>
      <c r="AF64" s="3285"/>
      <c r="AG64" s="3285"/>
      <c r="AH64" s="3285"/>
      <c r="AI64" s="3285"/>
      <c r="AJ64" s="3285"/>
      <c r="AK64" s="3285"/>
      <c r="AL64" s="3285"/>
      <c r="AM64" s="3285"/>
      <c r="AN64" s="3285"/>
      <c r="AO64" s="3285"/>
      <c r="AP64" s="3285"/>
      <c r="AQ64" s="3285"/>
      <c r="AR64" s="3285"/>
      <c r="AS64" s="3285"/>
      <c r="AT64" s="3295"/>
      <c r="AU64" s="3296"/>
      <c r="AV64" s="830">
        <f t="shared" si="11"/>
        <v>0</v>
      </c>
      <c r="AW64" s="830">
        <f t="shared" si="12"/>
        <v>0</v>
      </c>
      <c r="AX64" s="830">
        <f t="shared" si="13"/>
        <v>0</v>
      </c>
      <c r="AY64" s="3310">
        <f t="shared" si="14"/>
        <v>0</v>
      </c>
      <c r="AZ64" s="3264">
        <f t="shared" si="15"/>
        <v>0</v>
      </c>
      <c r="BA64" s="3264">
        <f t="shared" si="16"/>
        <v>0</v>
      </c>
      <c r="BB64" s="3264">
        <f t="shared" si="17"/>
        <v>0</v>
      </c>
      <c r="BC64" s="3264">
        <f t="shared" si="18"/>
        <v>0</v>
      </c>
      <c r="BD64" s="3264">
        <f t="shared" si="19"/>
        <v>0</v>
      </c>
      <c r="BE64" s="3264">
        <f t="shared" si="20"/>
        <v>0</v>
      </c>
      <c r="BF64" s="3264">
        <f t="shared" si="21"/>
        <v>0</v>
      </c>
      <c r="BG64" s="3264">
        <f t="shared" si="22"/>
        <v>0</v>
      </c>
      <c r="BH64" s="3264">
        <f t="shared" si="23"/>
        <v>0</v>
      </c>
      <c r="BI64" s="3264">
        <f t="shared" si="24"/>
        <v>0</v>
      </c>
      <c r="BJ64" s="3264">
        <f t="shared" si="25"/>
        <v>0</v>
      </c>
      <c r="BK64" s="3264">
        <f t="shared" si="26"/>
        <v>0</v>
      </c>
      <c r="BL64" s="3264">
        <f t="shared" si="27"/>
        <v>0</v>
      </c>
      <c r="BM64" s="3264">
        <f t="shared" si="28"/>
        <v>0</v>
      </c>
      <c r="BN64" s="3264">
        <f t="shared" si="29"/>
        <v>0</v>
      </c>
      <c r="BO64" s="3264">
        <f t="shared" si="30"/>
        <v>0</v>
      </c>
      <c r="BP64" s="3264">
        <f t="shared" si="31"/>
        <v>0</v>
      </c>
      <c r="BQ64" s="3264">
        <f t="shared" si="32"/>
        <v>0</v>
      </c>
      <c r="BR64" s="3264">
        <f t="shared" si="33"/>
        <v>0</v>
      </c>
      <c r="BS64" s="3264">
        <f t="shared" si="34"/>
        <v>0</v>
      </c>
      <c r="BT64" s="3317">
        <f t="shared" si="35"/>
        <v>0</v>
      </c>
    </row>
    <row r="65" spans="1:72">
      <c r="A65" s="3262"/>
      <c r="B65" s="3263"/>
      <c r="C65" s="3263"/>
      <c r="D65" s="3268"/>
      <c r="E65" s="3264">
        <f t="shared" si="7"/>
        <v>0</v>
      </c>
      <c r="F65" s="3265"/>
      <c r="G65" s="3266">
        <f t="shared" si="8"/>
        <v>0</v>
      </c>
      <c r="H65" s="3267">
        <f t="shared" si="9"/>
        <v>0</v>
      </c>
      <c r="I65" s="3275"/>
      <c r="J65" s="3275"/>
      <c r="K65" s="3275"/>
      <c r="L65" s="3275"/>
      <c r="M65" s="3275"/>
      <c r="N65" s="3275"/>
      <c r="O65" s="3275"/>
      <c r="P65" s="3275"/>
      <c r="Q65" s="3275"/>
      <c r="R65" s="3275"/>
      <c r="S65" s="3275"/>
      <c r="T65" s="3275"/>
      <c r="U65" s="3275"/>
      <c r="V65" s="3275"/>
      <c r="W65" s="3275"/>
      <c r="X65" s="3275"/>
      <c r="Y65" s="3275"/>
      <c r="Z65" s="3275"/>
      <c r="AA65" s="3275"/>
      <c r="AB65" s="3275"/>
      <c r="AC65" s="3264">
        <f t="shared" si="10"/>
        <v>0</v>
      </c>
      <c r="AD65" s="3285"/>
      <c r="AE65" s="3285"/>
      <c r="AF65" s="3285"/>
      <c r="AG65" s="3285"/>
      <c r="AH65" s="3285"/>
      <c r="AI65" s="3285"/>
      <c r="AJ65" s="3285"/>
      <c r="AK65" s="3285"/>
      <c r="AL65" s="3285"/>
      <c r="AM65" s="3285"/>
      <c r="AN65" s="3285"/>
      <c r="AO65" s="3285"/>
      <c r="AP65" s="3285"/>
      <c r="AQ65" s="3285"/>
      <c r="AR65" s="3285"/>
      <c r="AS65" s="3285"/>
      <c r="AT65" s="3295"/>
      <c r="AU65" s="3296"/>
      <c r="AV65" s="830">
        <f t="shared" si="11"/>
        <v>0</v>
      </c>
      <c r="AW65" s="830">
        <f t="shared" si="12"/>
        <v>0</v>
      </c>
      <c r="AX65" s="830">
        <f t="shared" si="13"/>
        <v>0</v>
      </c>
      <c r="AY65" s="3310">
        <f t="shared" si="14"/>
        <v>0</v>
      </c>
      <c r="AZ65" s="3264">
        <f t="shared" si="15"/>
        <v>0</v>
      </c>
      <c r="BA65" s="3264">
        <f t="shared" si="16"/>
        <v>0</v>
      </c>
      <c r="BB65" s="3264">
        <f t="shared" si="17"/>
        <v>0</v>
      </c>
      <c r="BC65" s="3264">
        <f t="shared" si="18"/>
        <v>0</v>
      </c>
      <c r="BD65" s="3264">
        <f t="shared" si="19"/>
        <v>0</v>
      </c>
      <c r="BE65" s="3264">
        <f t="shared" si="20"/>
        <v>0</v>
      </c>
      <c r="BF65" s="3264">
        <f t="shared" si="21"/>
        <v>0</v>
      </c>
      <c r="BG65" s="3264">
        <f t="shared" si="22"/>
        <v>0</v>
      </c>
      <c r="BH65" s="3264">
        <f t="shared" si="23"/>
        <v>0</v>
      </c>
      <c r="BI65" s="3264">
        <f t="shared" si="24"/>
        <v>0</v>
      </c>
      <c r="BJ65" s="3264">
        <f t="shared" si="25"/>
        <v>0</v>
      </c>
      <c r="BK65" s="3264">
        <f t="shared" si="26"/>
        <v>0</v>
      </c>
      <c r="BL65" s="3264">
        <f t="shared" si="27"/>
        <v>0</v>
      </c>
      <c r="BM65" s="3264">
        <f t="shared" si="28"/>
        <v>0</v>
      </c>
      <c r="BN65" s="3264">
        <f t="shared" si="29"/>
        <v>0</v>
      </c>
      <c r="BO65" s="3264">
        <f t="shared" si="30"/>
        <v>0</v>
      </c>
      <c r="BP65" s="3264">
        <f t="shared" si="31"/>
        <v>0</v>
      </c>
      <c r="BQ65" s="3264">
        <f t="shared" si="32"/>
        <v>0</v>
      </c>
      <c r="BR65" s="3264">
        <f t="shared" si="33"/>
        <v>0</v>
      </c>
      <c r="BS65" s="3264">
        <f t="shared" si="34"/>
        <v>0</v>
      </c>
      <c r="BT65" s="3317">
        <f t="shared" si="35"/>
        <v>0</v>
      </c>
    </row>
    <row r="66" spans="1:72">
      <c r="A66" s="3262"/>
      <c r="B66" s="3263"/>
      <c r="C66" s="3263"/>
      <c r="D66" s="3268"/>
      <c r="E66" s="3264">
        <f t="shared" si="7"/>
        <v>0</v>
      </c>
      <c r="F66" s="3265"/>
      <c r="G66" s="3266">
        <f t="shared" si="8"/>
        <v>0</v>
      </c>
      <c r="H66" s="3267">
        <f t="shared" si="9"/>
        <v>0</v>
      </c>
      <c r="I66" s="3275"/>
      <c r="J66" s="3275"/>
      <c r="K66" s="3275"/>
      <c r="L66" s="3275"/>
      <c r="M66" s="3275"/>
      <c r="N66" s="3275"/>
      <c r="O66" s="3275"/>
      <c r="P66" s="3275"/>
      <c r="Q66" s="3275"/>
      <c r="R66" s="3275"/>
      <c r="S66" s="3275"/>
      <c r="T66" s="3275"/>
      <c r="U66" s="3275"/>
      <c r="V66" s="3275"/>
      <c r="W66" s="3275"/>
      <c r="X66" s="3275"/>
      <c r="Y66" s="3275"/>
      <c r="Z66" s="3275"/>
      <c r="AA66" s="3275"/>
      <c r="AB66" s="3275"/>
      <c r="AC66" s="3264">
        <f t="shared" si="10"/>
        <v>0</v>
      </c>
      <c r="AD66" s="3285"/>
      <c r="AE66" s="3285"/>
      <c r="AF66" s="3285"/>
      <c r="AG66" s="3285"/>
      <c r="AH66" s="3285"/>
      <c r="AI66" s="3285"/>
      <c r="AJ66" s="3285"/>
      <c r="AK66" s="3285"/>
      <c r="AL66" s="3285"/>
      <c r="AM66" s="3285"/>
      <c r="AN66" s="3285"/>
      <c r="AO66" s="3285"/>
      <c r="AP66" s="3285"/>
      <c r="AQ66" s="3285"/>
      <c r="AR66" s="3285"/>
      <c r="AS66" s="3285"/>
      <c r="AT66" s="3295"/>
      <c r="AU66" s="3296"/>
      <c r="AV66" s="830">
        <f t="shared" si="11"/>
        <v>0</v>
      </c>
      <c r="AW66" s="830">
        <f t="shared" si="12"/>
        <v>0</v>
      </c>
      <c r="AX66" s="830">
        <f t="shared" si="13"/>
        <v>0</v>
      </c>
      <c r="AY66" s="3310">
        <f t="shared" si="14"/>
        <v>0</v>
      </c>
      <c r="AZ66" s="3264">
        <f t="shared" si="15"/>
        <v>0</v>
      </c>
      <c r="BA66" s="3264">
        <f t="shared" si="16"/>
        <v>0</v>
      </c>
      <c r="BB66" s="3264">
        <f t="shared" si="17"/>
        <v>0</v>
      </c>
      <c r="BC66" s="3264">
        <f t="shared" si="18"/>
        <v>0</v>
      </c>
      <c r="BD66" s="3264">
        <f t="shared" si="19"/>
        <v>0</v>
      </c>
      <c r="BE66" s="3264">
        <f t="shared" si="20"/>
        <v>0</v>
      </c>
      <c r="BF66" s="3264">
        <f t="shared" si="21"/>
        <v>0</v>
      </c>
      <c r="BG66" s="3264">
        <f t="shared" si="22"/>
        <v>0</v>
      </c>
      <c r="BH66" s="3264">
        <f t="shared" si="23"/>
        <v>0</v>
      </c>
      <c r="BI66" s="3264">
        <f t="shared" si="24"/>
        <v>0</v>
      </c>
      <c r="BJ66" s="3264">
        <f t="shared" si="25"/>
        <v>0</v>
      </c>
      <c r="BK66" s="3264">
        <f t="shared" si="26"/>
        <v>0</v>
      </c>
      <c r="BL66" s="3264">
        <f t="shared" si="27"/>
        <v>0</v>
      </c>
      <c r="BM66" s="3264">
        <f t="shared" si="28"/>
        <v>0</v>
      </c>
      <c r="BN66" s="3264">
        <f t="shared" si="29"/>
        <v>0</v>
      </c>
      <c r="BO66" s="3264">
        <f t="shared" si="30"/>
        <v>0</v>
      </c>
      <c r="BP66" s="3264">
        <f t="shared" si="31"/>
        <v>0</v>
      </c>
      <c r="BQ66" s="3264">
        <f t="shared" si="32"/>
        <v>0</v>
      </c>
      <c r="BR66" s="3264">
        <f t="shared" si="33"/>
        <v>0</v>
      </c>
      <c r="BS66" s="3264">
        <f t="shared" si="34"/>
        <v>0</v>
      </c>
      <c r="BT66" s="3317">
        <f t="shared" si="35"/>
        <v>0</v>
      </c>
    </row>
    <row r="67" spans="1:72">
      <c r="A67" s="3262"/>
      <c r="B67" s="3263"/>
      <c r="C67" s="3263"/>
      <c r="D67" s="3268"/>
      <c r="E67" s="3264">
        <f t="shared" si="7"/>
        <v>0</v>
      </c>
      <c r="F67" s="3265"/>
      <c r="G67" s="3266">
        <f t="shared" si="8"/>
        <v>0</v>
      </c>
      <c r="H67" s="3267">
        <f t="shared" si="9"/>
        <v>0</v>
      </c>
      <c r="I67" s="3275"/>
      <c r="J67" s="3275"/>
      <c r="K67" s="3275"/>
      <c r="L67" s="3275"/>
      <c r="M67" s="3275"/>
      <c r="N67" s="3275"/>
      <c r="O67" s="3275"/>
      <c r="P67" s="3275"/>
      <c r="Q67" s="3275"/>
      <c r="R67" s="3275"/>
      <c r="S67" s="3275"/>
      <c r="T67" s="3275"/>
      <c r="U67" s="3275"/>
      <c r="V67" s="3275"/>
      <c r="W67" s="3275"/>
      <c r="X67" s="3275"/>
      <c r="Y67" s="3275"/>
      <c r="Z67" s="3275"/>
      <c r="AA67" s="3275"/>
      <c r="AB67" s="3275"/>
      <c r="AC67" s="3264">
        <f t="shared" si="10"/>
        <v>0</v>
      </c>
      <c r="AD67" s="3285"/>
      <c r="AE67" s="3285"/>
      <c r="AF67" s="3285"/>
      <c r="AG67" s="3285"/>
      <c r="AH67" s="3285"/>
      <c r="AI67" s="3285"/>
      <c r="AJ67" s="3285"/>
      <c r="AK67" s="3285"/>
      <c r="AL67" s="3285"/>
      <c r="AM67" s="3285"/>
      <c r="AN67" s="3285"/>
      <c r="AO67" s="3285"/>
      <c r="AP67" s="3285"/>
      <c r="AQ67" s="3285"/>
      <c r="AR67" s="3285"/>
      <c r="AS67" s="3285"/>
      <c r="AT67" s="3295"/>
      <c r="AU67" s="3296"/>
      <c r="AV67" s="830">
        <f t="shared" si="11"/>
        <v>0</v>
      </c>
      <c r="AW67" s="830">
        <f t="shared" si="12"/>
        <v>0</v>
      </c>
      <c r="AX67" s="830">
        <f t="shared" si="13"/>
        <v>0</v>
      </c>
      <c r="AY67" s="3310">
        <f t="shared" si="14"/>
        <v>0</v>
      </c>
      <c r="AZ67" s="3264">
        <f t="shared" si="15"/>
        <v>0</v>
      </c>
      <c r="BA67" s="3264">
        <f t="shared" si="16"/>
        <v>0</v>
      </c>
      <c r="BB67" s="3264">
        <f t="shared" si="17"/>
        <v>0</v>
      </c>
      <c r="BC67" s="3264">
        <f t="shared" si="18"/>
        <v>0</v>
      </c>
      <c r="BD67" s="3264">
        <f t="shared" si="19"/>
        <v>0</v>
      </c>
      <c r="BE67" s="3264">
        <f t="shared" si="20"/>
        <v>0</v>
      </c>
      <c r="BF67" s="3264">
        <f t="shared" si="21"/>
        <v>0</v>
      </c>
      <c r="BG67" s="3264">
        <f t="shared" si="22"/>
        <v>0</v>
      </c>
      <c r="BH67" s="3264">
        <f t="shared" si="23"/>
        <v>0</v>
      </c>
      <c r="BI67" s="3264">
        <f t="shared" si="24"/>
        <v>0</v>
      </c>
      <c r="BJ67" s="3264">
        <f t="shared" si="25"/>
        <v>0</v>
      </c>
      <c r="BK67" s="3264">
        <f t="shared" si="26"/>
        <v>0</v>
      </c>
      <c r="BL67" s="3264">
        <f t="shared" si="27"/>
        <v>0</v>
      </c>
      <c r="BM67" s="3264">
        <f t="shared" si="28"/>
        <v>0</v>
      </c>
      <c r="BN67" s="3264">
        <f t="shared" si="29"/>
        <v>0</v>
      </c>
      <c r="BO67" s="3264">
        <f t="shared" si="30"/>
        <v>0</v>
      </c>
      <c r="BP67" s="3264">
        <f t="shared" si="31"/>
        <v>0</v>
      </c>
      <c r="BQ67" s="3264">
        <f t="shared" si="32"/>
        <v>0</v>
      </c>
      <c r="BR67" s="3264">
        <f t="shared" si="33"/>
        <v>0</v>
      </c>
      <c r="BS67" s="3264">
        <f t="shared" si="34"/>
        <v>0</v>
      </c>
      <c r="BT67" s="3317">
        <f t="shared" si="35"/>
        <v>0</v>
      </c>
    </row>
    <row r="68" spans="1:72">
      <c r="A68" s="3262"/>
      <c r="B68" s="3263"/>
      <c r="C68" s="3263"/>
      <c r="D68" s="3268"/>
      <c r="E68" s="3264">
        <f t="shared" si="7"/>
        <v>0</v>
      </c>
      <c r="F68" s="3265"/>
      <c r="G68" s="3266">
        <f t="shared" si="8"/>
        <v>0</v>
      </c>
      <c r="H68" s="3267">
        <f t="shared" si="9"/>
        <v>0</v>
      </c>
      <c r="I68" s="3275"/>
      <c r="J68" s="3275"/>
      <c r="K68" s="3275"/>
      <c r="L68" s="3275"/>
      <c r="M68" s="3275"/>
      <c r="N68" s="3275"/>
      <c r="O68" s="3275"/>
      <c r="P68" s="3275"/>
      <c r="Q68" s="3275"/>
      <c r="R68" s="3275"/>
      <c r="S68" s="3275"/>
      <c r="T68" s="3275"/>
      <c r="U68" s="3275"/>
      <c r="V68" s="3275"/>
      <c r="W68" s="3275"/>
      <c r="X68" s="3275"/>
      <c r="Y68" s="3275"/>
      <c r="Z68" s="3275"/>
      <c r="AA68" s="3275"/>
      <c r="AB68" s="3275"/>
      <c r="AC68" s="3264">
        <f t="shared" si="10"/>
        <v>0</v>
      </c>
      <c r="AD68" s="3285"/>
      <c r="AE68" s="3285"/>
      <c r="AF68" s="3285"/>
      <c r="AG68" s="3285"/>
      <c r="AH68" s="3285"/>
      <c r="AI68" s="3285"/>
      <c r="AJ68" s="3285"/>
      <c r="AK68" s="3285"/>
      <c r="AL68" s="3285"/>
      <c r="AM68" s="3285"/>
      <c r="AN68" s="3285"/>
      <c r="AO68" s="3285"/>
      <c r="AP68" s="3285"/>
      <c r="AQ68" s="3285"/>
      <c r="AR68" s="3285"/>
      <c r="AS68" s="3285"/>
      <c r="AT68" s="3295"/>
      <c r="AU68" s="3296"/>
      <c r="AV68" s="830">
        <f t="shared" si="11"/>
        <v>0</v>
      </c>
      <c r="AW68" s="830">
        <f t="shared" si="12"/>
        <v>0</v>
      </c>
      <c r="AX68" s="830">
        <f t="shared" si="13"/>
        <v>0</v>
      </c>
      <c r="AY68" s="3310">
        <f t="shared" si="14"/>
        <v>0</v>
      </c>
      <c r="AZ68" s="3264">
        <f t="shared" si="15"/>
        <v>0</v>
      </c>
      <c r="BA68" s="3264">
        <f t="shared" si="16"/>
        <v>0</v>
      </c>
      <c r="BB68" s="3264">
        <f t="shared" si="17"/>
        <v>0</v>
      </c>
      <c r="BC68" s="3264">
        <f t="shared" si="18"/>
        <v>0</v>
      </c>
      <c r="BD68" s="3264">
        <f t="shared" si="19"/>
        <v>0</v>
      </c>
      <c r="BE68" s="3264">
        <f t="shared" si="20"/>
        <v>0</v>
      </c>
      <c r="BF68" s="3264">
        <f t="shared" si="21"/>
        <v>0</v>
      </c>
      <c r="BG68" s="3264">
        <f t="shared" si="22"/>
        <v>0</v>
      </c>
      <c r="BH68" s="3264">
        <f t="shared" si="23"/>
        <v>0</v>
      </c>
      <c r="BI68" s="3264">
        <f t="shared" si="24"/>
        <v>0</v>
      </c>
      <c r="BJ68" s="3264">
        <f t="shared" si="25"/>
        <v>0</v>
      </c>
      <c r="BK68" s="3264">
        <f t="shared" si="26"/>
        <v>0</v>
      </c>
      <c r="BL68" s="3264">
        <f t="shared" si="27"/>
        <v>0</v>
      </c>
      <c r="BM68" s="3264">
        <f t="shared" si="28"/>
        <v>0</v>
      </c>
      <c r="BN68" s="3264">
        <f t="shared" si="29"/>
        <v>0</v>
      </c>
      <c r="BO68" s="3264">
        <f t="shared" si="30"/>
        <v>0</v>
      </c>
      <c r="BP68" s="3264">
        <f t="shared" si="31"/>
        <v>0</v>
      </c>
      <c r="BQ68" s="3264">
        <f t="shared" si="32"/>
        <v>0</v>
      </c>
      <c r="BR68" s="3264">
        <f t="shared" si="33"/>
        <v>0</v>
      </c>
      <c r="BS68" s="3264">
        <f t="shared" si="34"/>
        <v>0</v>
      </c>
      <c r="BT68" s="3317">
        <f t="shared" si="35"/>
        <v>0</v>
      </c>
    </row>
    <row r="69" spans="1:72">
      <c r="A69" s="3262"/>
      <c r="B69" s="3263"/>
      <c r="C69" s="3263"/>
      <c r="D69" s="3268"/>
      <c r="E69" s="3264">
        <f t="shared" si="7"/>
        <v>0</v>
      </c>
      <c r="F69" s="3265"/>
      <c r="G69" s="3266">
        <f t="shared" si="8"/>
        <v>0</v>
      </c>
      <c r="H69" s="3267">
        <f t="shared" si="9"/>
        <v>0</v>
      </c>
      <c r="I69" s="3275"/>
      <c r="J69" s="3275"/>
      <c r="K69" s="3275"/>
      <c r="L69" s="3275"/>
      <c r="M69" s="3275"/>
      <c r="N69" s="3275"/>
      <c r="O69" s="3275"/>
      <c r="P69" s="3275"/>
      <c r="Q69" s="3275"/>
      <c r="R69" s="3275"/>
      <c r="S69" s="3275"/>
      <c r="T69" s="3275"/>
      <c r="U69" s="3275"/>
      <c r="V69" s="3275"/>
      <c r="W69" s="3275"/>
      <c r="X69" s="3275"/>
      <c r="Y69" s="3275"/>
      <c r="Z69" s="3275"/>
      <c r="AA69" s="3275"/>
      <c r="AB69" s="3275"/>
      <c r="AC69" s="3264">
        <f t="shared" si="10"/>
        <v>0</v>
      </c>
      <c r="AD69" s="3285"/>
      <c r="AE69" s="3285"/>
      <c r="AF69" s="3285"/>
      <c r="AG69" s="3285"/>
      <c r="AH69" s="3285"/>
      <c r="AI69" s="3285"/>
      <c r="AJ69" s="3285"/>
      <c r="AK69" s="3285"/>
      <c r="AL69" s="3285"/>
      <c r="AM69" s="3285"/>
      <c r="AN69" s="3285"/>
      <c r="AO69" s="3285"/>
      <c r="AP69" s="3285"/>
      <c r="AQ69" s="3285"/>
      <c r="AR69" s="3285"/>
      <c r="AS69" s="3285"/>
      <c r="AT69" s="3295"/>
      <c r="AU69" s="3296"/>
      <c r="AV69" s="830">
        <f t="shared" si="11"/>
        <v>0</v>
      </c>
      <c r="AW69" s="830">
        <f t="shared" si="12"/>
        <v>0</v>
      </c>
      <c r="AX69" s="830">
        <f t="shared" si="13"/>
        <v>0</v>
      </c>
      <c r="AY69" s="3310">
        <f t="shared" si="14"/>
        <v>0</v>
      </c>
      <c r="AZ69" s="3264">
        <f t="shared" si="15"/>
        <v>0</v>
      </c>
      <c r="BA69" s="3264">
        <f t="shared" si="16"/>
        <v>0</v>
      </c>
      <c r="BB69" s="3264">
        <f t="shared" si="17"/>
        <v>0</v>
      </c>
      <c r="BC69" s="3264">
        <f t="shared" si="18"/>
        <v>0</v>
      </c>
      <c r="BD69" s="3264">
        <f t="shared" si="19"/>
        <v>0</v>
      </c>
      <c r="BE69" s="3264">
        <f t="shared" si="20"/>
        <v>0</v>
      </c>
      <c r="BF69" s="3264">
        <f t="shared" si="21"/>
        <v>0</v>
      </c>
      <c r="BG69" s="3264">
        <f t="shared" si="22"/>
        <v>0</v>
      </c>
      <c r="BH69" s="3264">
        <f t="shared" si="23"/>
        <v>0</v>
      </c>
      <c r="BI69" s="3264">
        <f t="shared" si="24"/>
        <v>0</v>
      </c>
      <c r="BJ69" s="3264">
        <f t="shared" si="25"/>
        <v>0</v>
      </c>
      <c r="BK69" s="3264">
        <f t="shared" si="26"/>
        <v>0</v>
      </c>
      <c r="BL69" s="3264">
        <f t="shared" si="27"/>
        <v>0</v>
      </c>
      <c r="BM69" s="3264">
        <f t="shared" si="28"/>
        <v>0</v>
      </c>
      <c r="BN69" s="3264">
        <f t="shared" si="29"/>
        <v>0</v>
      </c>
      <c r="BO69" s="3264">
        <f t="shared" si="30"/>
        <v>0</v>
      </c>
      <c r="BP69" s="3264">
        <f t="shared" si="31"/>
        <v>0</v>
      </c>
      <c r="BQ69" s="3264">
        <f t="shared" si="32"/>
        <v>0</v>
      </c>
      <c r="BR69" s="3264">
        <f t="shared" si="33"/>
        <v>0</v>
      </c>
      <c r="BS69" s="3264">
        <f t="shared" si="34"/>
        <v>0</v>
      </c>
      <c r="BT69" s="3317">
        <f t="shared" si="35"/>
        <v>0</v>
      </c>
    </row>
    <row r="70" spans="1:72">
      <c r="A70" s="3262"/>
      <c r="B70" s="3263"/>
      <c r="C70" s="3263"/>
      <c r="D70" s="3268"/>
      <c r="E70" s="3264">
        <f t="shared" si="7"/>
        <v>0</v>
      </c>
      <c r="F70" s="3265"/>
      <c r="G70" s="3266">
        <f t="shared" si="8"/>
        <v>0</v>
      </c>
      <c r="H70" s="3267">
        <f t="shared" si="9"/>
        <v>0</v>
      </c>
      <c r="I70" s="3275"/>
      <c r="J70" s="3275"/>
      <c r="K70" s="3275"/>
      <c r="L70" s="3275"/>
      <c r="M70" s="3275"/>
      <c r="N70" s="3275"/>
      <c r="O70" s="3275"/>
      <c r="P70" s="3275"/>
      <c r="Q70" s="3275"/>
      <c r="R70" s="3275"/>
      <c r="S70" s="3275"/>
      <c r="T70" s="3275"/>
      <c r="U70" s="3275"/>
      <c r="V70" s="3275"/>
      <c r="W70" s="3275"/>
      <c r="X70" s="3275"/>
      <c r="Y70" s="3275"/>
      <c r="Z70" s="3275"/>
      <c r="AA70" s="3275"/>
      <c r="AB70" s="3275"/>
      <c r="AC70" s="3264">
        <f t="shared" si="10"/>
        <v>0</v>
      </c>
      <c r="AD70" s="3285"/>
      <c r="AE70" s="3285"/>
      <c r="AF70" s="3285"/>
      <c r="AG70" s="3285"/>
      <c r="AH70" s="3285"/>
      <c r="AI70" s="3285"/>
      <c r="AJ70" s="3285"/>
      <c r="AK70" s="3285"/>
      <c r="AL70" s="3285"/>
      <c r="AM70" s="3285"/>
      <c r="AN70" s="3285"/>
      <c r="AO70" s="3285"/>
      <c r="AP70" s="3285"/>
      <c r="AQ70" s="3285"/>
      <c r="AR70" s="3285"/>
      <c r="AS70" s="3285"/>
      <c r="AT70" s="3295"/>
      <c r="AU70" s="3296"/>
      <c r="AV70" s="830">
        <f t="shared" si="11"/>
        <v>0</v>
      </c>
      <c r="AW70" s="830">
        <f t="shared" si="12"/>
        <v>0</v>
      </c>
      <c r="AX70" s="830">
        <f t="shared" si="13"/>
        <v>0</v>
      </c>
      <c r="AY70" s="3310">
        <f t="shared" si="14"/>
        <v>0</v>
      </c>
      <c r="AZ70" s="3264">
        <f t="shared" si="15"/>
        <v>0</v>
      </c>
      <c r="BA70" s="3264">
        <f t="shared" si="16"/>
        <v>0</v>
      </c>
      <c r="BB70" s="3264">
        <f t="shared" si="17"/>
        <v>0</v>
      </c>
      <c r="BC70" s="3264">
        <f t="shared" si="18"/>
        <v>0</v>
      </c>
      <c r="BD70" s="3264">
        <f t="shared" si="19"/>
        <v>0</v>
      </c>
      <c r="BE70" s="3264">
        <f t="shared" si="20"/>
        <v>0</v>
      </c>
      <c r="BF70" s="3264">
        <f t="shared" si="21"/>
        <v>0</v>
      </c>
      <c r="BG70" s="3264">
        <f t="shared" si="22"/>
        <v>0</v>
      </c>
      <c r="BH70" s="3264">
        <f t="shared" si="23"/>
        <v>0</v>
      </c>
      <c r="BI70" s="3264">
        <f t="shared" si="24"/>
        <v>0</v>
      </c>
      <c r="BJ70" s="3264">
        <f t="shared" si="25"/>
        <v>0</v>
      </c>
      <c r="BK70" s="3264">
        <f t="shared" si="26"/>
        <v>0</v>
      </c>
      <c r="BL70" s="3264">
        <f t="shared" si="27"/>
        <v>0</v>
      </c>
      <c r="BM70" s="3264">
        <f t="shared" si="28"/>
        <v>0</v>
      </c>
      <c r="BN70" s="3264">
        <f t="shared" si="29"/>
        <v>0</v>
      </c>
      <c r="BO70" s="3264">
        <f t="shared" si="30"/>
        <v>0</v>
      </c>
      <c r="BP70" s="3264">
        <f t="shared" si="31"/>
        <v>0</v>
      </c>
      <c r="BQ70" s="3264">
        <f t="shared" si="32"/>
        <v>0</v>
      </c>
      <c r="BR70" s="3264">
        <f t="shared" si="33"/>
        <v>0</v>
      </c>
      <c r="BS70" s="3264">
        <f t="shared" si="34"/>
        <v>0</v>
      </c>
      <c r="BT70" s="3317">
        <f t="shared" si="35"/>
        <v>0</v>
      </c>
    </row>
    <row r="71" spans="1:72">
      <c r="A71" s="3262"/>
      <c r="B71" s="3263"/>
      <c r="C71" s="3263"/>
      <c r="D71" s="3268"/>
      <c r="E71" s="3264">
        <f t="shared" si="7"/>
        <v>0</v>
      </c>
      <c r="F71" s="3265"/>
      <c r="G71" s="3266">
        <f t="shared" si="8"/>
        <v>0</v>
      </c>
      <c r="H71" s="3267">
        <f t="shared" si="9"/>
        <v>0</v>
      </c>
      <c r="I71" s="3275"/>
      <c r="J71" s="3275"/>
      <c r="K71" s="3275"/>
      <c r="L71" s="3275"/>
      <c r="M71" s="3275"/>
      <c r="N71" s="3275"/>
      <c r="O71" s="3275"/>
      <c r="P71" s="3275"/>
      <c r="Q71" s="3275"/>
      <c r="R71" s="3275"/>
      <c r="S71" s="3275"/>
      <c r="T71" s="3275"/>
      <c r="U71" s="3275"/>
      <c r="V71" s="3275"/>
      <c r="W71" s="3275"/>
      <c r="X71" s="3275"/>
      <c r="Y71" s="3275"/>
      <c r="Z71" s="3275"/>
      <c r="AA71" s="3275"/>
      <c r="AB71" s="3275"/>
      <c r="AC71" s="3264">
        <f t="shared" si="10"/>
        <v>0</v>
      </c>
      <c r="AD71" s="3285"/>
      <c r="AE71" s="3285"/>
      <c r="AF71" s="3285"/>
      <c r="AG71" s="3285"/>
      <c r="AH71" s="3285"/>
      <c r="AI71" s="3285"/>
      <c r="AJ71" s="3285"/>
      <c r="AK71" s="3285"/>
      <c r="AL71" s="3285"/>
      <c r="AM71" s="3285"/>
      <c r="AN71" s="3285"/>
      <c r="AO71" s="3285"/>
      <c r="AP71" s="3285"/>
      <c r="AQ71" s="3285"/>
      <c r="AR71" s="3285"/>
      <c r="AS71" s="3285"/>
      <c r="AT71" s="3295"/>
      <c r="AU71" s="3296"/>
      <c r="AV71" s="830">
        <f t="shared" si="11"/>
        <v>0</v>
      </c>
      <c r="AW71" s="830">
        <f t="shared" si="12"/>
        <v>0</v>
      </c>
      <c r="AX71" s="830">
        <f t="shared" si="13"/>
        <v>0</v>
      </c>
      <c r="AY71" s="3310">
        <f t="shared" si="14"/>
        <v>0</v>
      </c>
      <c r="AZ71" s="3264">
        <f t="shared" si="15"/>
        <v>0</v>
      </c>
      <c r="BA71" s="3264">
        <f t="shared" si="16"/>
        <v>0</v>
      </c>
      <c r="BB71" s="3264">
        <f t="shared" si="17"/>
        <v>0</v>
      </c>
      <c r="BC71" s="3264">
        <f t="shared" si="18"/>
        <v>0</v>
      </c>
      <c r="BD71" s="3264">
        <f t="shared" si="19"/>
        <v>0</v>
      </c>
      <c r="BE71" s="3264">
        <f t="shared" si="20"/>
        <v>0</v>
      </c>
      <c r="BF71" s="3264">
        <f t="shared" si="21"/>
        <v>0</v>
      </c>
      <c r="BG71" s="3264">
        <f t="shared" si="22"/>
        <v>0</v>
      </c>
      <c r="BH71" s="3264">
        <f t="shared" si="23"/>
        <v>0</v>
      </c>
      <c r="BI71" s="3264">
        <f t="shared" si="24"/>
        <v>0</v>
      </c>
      <c r="BJ71" s="3264">
        <f t="shared" si="25"/>
        <v>0</v>
      </c>
      <c r="BK71" s="3264">
        <f t="shared" si="26"/>
        <v>0</v>
      </c>
      <c r="BL71" s="3264">
        <f t="shared" si="27"/>
        <v>0</v>
      </c>
      <c r="BM71" s="3264">
        <f t="shared" si="28"/>
        <v>0</v>
      </c>
      <c r="BN71" s="3264">
        <f t="shared" si="29"/>
        <v>0</v>
      </c>
      <c r="BO71" s="3264">
        <f t="shared" si="30"/>
        <v>0</v>
      </c>
      <c r="BP71" s="3264">
        <f t="shared" si="31"/>
        <v>0</v>
      </c>
      <c r="BQ71" s="3264">
        <f t="shared" si="32"/>
        <v>0</v>
      </c>
      <c r="BR71" s="3264">
        <f t="shared" si="33"/>
        <v>0</v>
      </c>
      <c r="BS71" s="3264">
        <f t="shared" si="34"/>
        <v>0</v>
      </c>
      <c r="BT71" s="3317">
        <f t="shared" si="35"/>
        <v>0</v>
      </c>
    </row>
    <row r="72" spans="1:72">
      <c r="A72" s="3262"/>
      <c r="B72" s="3263"/>
      <c r="C72" s="3263"/>
      <c r="D72" s="3268"/>
      <c r="E72" s="3264">
        <f t="shared" si="7"/>
        <v>0</v>
      </c>
      <c r="F72" s="3265"/>
      <c r="G72" s="3266">
        <f t="shared" si="8"/>
        <v>0</v>
      </c>
      <c r="H72" s="3267">
        <f t="shared" si="9"/>
        <v>0</v>
      </c>
      <c r="I72" s="3275"/>
      <c r="J72" s="3275"/>
      <c r="K72" s="3275"/>
      <c r="L72" s="3275"/>
      <c r="M72" s="3275"/>
      <c r="N72" s="3275"/>
      <c r="O72" s="3275"/>
      <c r="P72" s="3275"/>
      <c r="Q72" s="3275"/>
      <c r="R72" s="3275"/>
      <c r="S72" s="3275"/>
      <c r="T72" s="3275"/>
      <c r="U72" s="3275"/>
      <c r="V72" s="3275"/>
      <c r="W72" s="3275"/>
      <c r="X72" s="3275"/>
      <c r="Y72" s="3275"/>
      <c r="Z72" s="3275"/>
      <c r="AA72" s="3275"/>
      <c r="AB72" s="3275"/>
      <c r="AC72" s="3264">
        <f t="shared" si="10"/>
        <v>0</v>
      </c>
      <c r="AD72" s="3285"/>
      <c r="AE72" s="3285"/>
      <c r="AF72" s="3285"/>
      <c r="AG72" s="3285"/>
      <c r="AH72" s="3285"/>
      <c r="AI72" s="3285"/>
      <c r="AJ72" s="3285"/>
      <c r="AK72" s="3285"/>
      <c r="AL72" s="3285"/>
      <c r="AM72" s="3285"/>
      <c r="AN72" s="3285"/>
      <c r="AO72" s="3285"/>
      <c r="AP72" s="3285"/>
      <c r="AQ72" s="3285"/>
      <c r="AR72" s="3285"/>
      <c r="AS72" s="3285"/>
      <c r="AT72" s="3295"/>
      <c r="AU72" s="3296"/>
      <c r="AV72" s="830">
        <f t="shared" si="11"/>
        <v>0</v>
      </c>
      <c r="AW72" s="830">
        <f t="shared" si="12"/>
        <v>0</v>
      </c>
      <c r="AX72" s="830">
        <f t="shared" si="13"/>
        <v>0</v>
      </c>
      <c r="AY72" s="3310">
        <f t="shared" si="14"/>
        <v>0</v>
      </c>
      <c r="AZ72" s="3264">
        <f t="shared" si="15"/>
        <v>0</v>
      </c>
      <c r="BA72" s="3264">
        <f t="shared" si="16"/>
        <v>0</v>
      </c>
      <c r="BB72" s="3264">
        <f t="shared" si="17"/>
        <v>0</v>
      </c>
      <c r="BC72" s="3264">
        <f t="shared" si="18"/>
        <v>0</v>
      </c>
      <c r="BD72" s="3264">
        <f t="shared" si="19"/>
        <v>0</v>
      </c>
      <c r="BE72" s="3264">
        <f t="shared" si="20"/>
        <v>0</v>
      </c>
      <c r="BF72" s="3264">
        <f t="shared" si="21"/>
        <v>0</v>
      </c>
      <c r="BG72" s="3264">
        <f t="shared" si="22"/>
        <v>0</v>
      </c>
      <c r="BH72" s="3264">
        <f t="shared" si="23"/>
        <v>0</v>
      </c>
      <c r="BI72" s="3264">
        <f t="shared" si="24"/>
        <v>0</v>
      </c>
      <c r="BJ72" s="3264">
        <f t="shared" si="25"/>
        <v>0</v>
      </c>
      <c r="BK72" s="3264">
        <f t="shared" si="26"/>
        <v>0</v>
      </c>
      <c r="BL72" s="3264">
        <f t="shared" si="27"/>
        <v>0</v>
      </c>
      <c r="BM72" s="3264">
        <f t="shared" si="28"/>
        <v>0</v>
      </c>
      <c r="BN72" s="3264">
        <f t="shared" si="29"/>
        <v>0</v>
      </c>
      <c r="BO72" s="3264">
        <f t="shared" si="30"/>
        <v>0</v>
      </c>
      <c r="BP72" s="3264">
        <f t="shared" si="31"/>
        <v>0</v>
      </c>
      <c r="BQ72" s="3264">
        <f t="shared" si="32"/>
        <v>0</v>
      </c>
      <c r="BR72" s="3264">
        <f t="shared" si="33"/>
        <v>0</v>
      </c>
      <c r="BS72" s="3264">
        <f t="shared" si="34"/>
        <v>0</v>
      </c>
      <c r="BT72" s="3317">
        <f t="shared" si="35"/>
        <v>0</v>
      </c>
    </row>
    <row r="73" spans="1:72">
      <c r="A73" s="3262"/>
      <c r="B73" s="3263"/>
      <c r="C73" s="3263"/>
      <c r="D73" s="3268"/>
      <c r="E73" s="3264">
        <f t="shared" si="7"/>
        <v>0</v>
      </c>
      <c r="F73" s="3265"/>
      <c r="G73" s="3266">
        <f t="shared" si="8"/>
        <v>0</v>
      </c>
      <c r="H73" s="3267">
        <f t="shared" si="9"/>
        <v>0</v>
      </c>
      <c r="I73" s="3275"/>
      <c r="J73" s="3275"/>
      <c r="K73" s="3275"/>
      <c r="L73" s="3275"/>
      <c r="M73" s="3275"/>
      <c r="N73" s="3275"/>
      <c r="O73" s="3275"/>
      <c r="P73" s="3275"/>
      <c r="Q73" s="3275"/>
      <c r="R73" s="3275"/>
      <c r="S73" s="3275"/>
      <c r="T73" s="3275"/>
      <c r="U73" s="3275"/>
      <c r="V73" s="3275"/>
      <c r="W73" s="3275"/>
      <c r="X73" s="3275"/>
      <c r="Y73" s="3275"/>
      <c r="Z73" s="3275"/>
      <c r="AA73" s="3275"/>
      <c r="AB73" s="3275"/>
      <c r="AC73" s="3264">
        <f t="shared" si="10"/>
        <v>0</v>
      </c>
      <c r="AD73" s="3285"/>
      <c r="AE73" s="3285"/>
      <c r="AF73" s="3285"/>
      <c r="AG73" s="3285"/>
      <c r="AH73" s="3285"/>
      <c r="AI73" s="3285"/>
      <c r="AJ73" s="3285"/>
      <c r="AK73" s="3285"/>
      <c r="AL73" s="3285"/>
      <c r="AM73" s="3285"/>
      <c r="AN73" s="3285"/>
      <c r="AO73" s="3285"/>
      <c r="AP73" s="3285"/>
      <c r="AQ73" s="3285"/>
      <c r="AR73" s="3285"/>
      <c r="AS73" s="3285"/>
      <c r="AT73" s="3295"/>
      <c r="AU73" s="3296"/>
      <c r="AV73" s="830">
        <f t="shared" si="11"/>
        <v>0</v>
      </c>
      <c r="AW73" s="830">
        <f t="shared" si="12"/>
        <v>0</v>
      </c>
      <c r="AX73" s="830">
        <f t="shared" si="13"/>
        <v>0</v>
      </c>
      <c r="AY73" s="3310">
        <f t="shared" si="14"/>
        <v>0</v>
      </c>
      <c r="AZ73" s="3264">
        <f t="shared" si="15"/>
        <v>0</v>
      </c>
      <c r="BA73" s="3264">
        <f t="shared" si="16"/>
        <v>0</v>
      </c>
      <c r="BB73" s="3264">
        <f t="shared" si="17"/>
        <v>0</v>
      </c>
      <c r="BC73" s="3264">
        <f t="shared" si="18"/>
        <v>0</v>
      </c>
      <c r="BD73" s="3264">
        <f t="shared" si="19"/>
        <v>0</v>
      </c>
      <c r="BE73" s="3264">
        <f t="shared" si="20"/>
        <v>0</v>
      </c>
      <c r="BF73" s="3264">
        <f t="shared" si="21"/>
        <v>0</v>
      </c>
      <c r="BG73" s="3264">
        <f t="shared" si="22"/>
        <v>0</v>
      </c>
      <c r="BH73" s="3264">
        <f t="shared" si="23"/>
        <v>0</v>
      </c>
      <c r="BI73" s="3264">
        <f t="shared" si="24"/>
        <v>0</v>
      </c>
      <c r="BJ73" s="3264">
        <f t="shared" si="25"/>
        <v>0</v>
      </c>
      <c r="BK73" s="3264">
        <f t="shared" si="26"/>
        <v>0</v>
      </c>
      <c r="BL73" s="3264">
        <f t="shared" si="27"/>
        <v>0</v>
      </c>
      <c r="BM73" s="3264">
        <f t="shared" si="28"/>
        <v>0</v>
      </c>
      <c r="BN73" s="3264">
        <f t="shared" si="29"/>
        <v>0</v>
      </c>
      <c r="BO73" s="3264">
        <f t="shared" si="30"/>
        <v>0</v>
      </c>
      <c r="BP73" s="3264">
        <f t="shared" si="31"/>
        <v>0</v>
      </c>
      <c r="BQ73" s="3264">
        <f t="shared" si="32"/>
        <v>0</v>
      </c>
      <c r="BR73" s="3264">
        <f t="shared" si="33"/>
        <v>0</v>
      </c>
      <c r="BS73" s="3264">
        <f t="shared" si="34"/>
        <v>0</v>
      </c>
      <c r="BT73" s="3317">
        <f t="shared" si="35"/>
        <v>0</v>
      </c>
    </row>
    <row r="74" spans="1:72">
      <c r="A74" s="3262"/>
      <c r="B74" s="3263"/>
      <c r="C74" s="3263"/>
      <c r="D74" s="3268"/>
      <c r="E74" s="3264">
        <f t="shared" si="7"/>
        <v>0</v>
      </c>
      <c r="F74" s="3265"/>
      <c r="G74" s="3266">
        <f t="shared" si="8"/>
        <v>0</v>
      </c>
      <c r="H74" s="3267">
        <f t="shared" si="9"/>
        <v>0</v>
      </c>
      <c r="I74" s="3275"/>
      <c r="J74" s="3275"/>
      <c r="K74" s="3275"/>
      <c r="L74" s="3275"/>
      <c r="M74" s="3275"/>
      <c r="N74" s="3275"/>
      <c r="O74" s="3275"/>
      <c r="P74" s="3275"/>
      <c r="Q74" s="3275"/>
      <c r="R74" s="3275"/>
      <c r="S74" s="3275"/>
      <c r="T74" s="3275"/>
      <c r="U74" s="3275"/>
      <c r="V74" s="3275"/>
      <c r="W74" s="3275"/>
      <c r="X74" s="3275"/>
      <c r="Y74" s="3275"/>
      <c r="Z74" s="3275"/>
      <c r="AA74" s="3275"/>
      <c r="AB74" s="3275"/>
      <c r="AC74" s="3264">
        <f t="shared" si="10"/>
        <v>0</v>
      </c>
      <c r="AD74" s="3285"/>
      <c r="AE74" s="3285"/>
      <c r="AF74" s="3285"/>
      <c r="AG74" s="3285"/>
      <c r="AH74" s="3285"/>
      <c r="AI74" s="3285"/>
      <c r="AJ74" s="3285"/>
      <c r="AK74" s="3285"/>
      <c r="AL74" s="3285"/>
      <c r="AM74" s="3285"/>
      <c r="AN74" s="3285"/>
      <c r="AO74" s="3285"/>
      <c r="AP74" s="3285"/>
      <c r="AQ74" s="3285"/>
      <c r="AR74" s="3285"/>
      <c r="AS74" s="3285"/>
      <c r="AT74" s="3295"/>
      <c r="AU74" s="3296"/>
      <c r="AV74" s="830">
        <f t="shared" si="11"/>
        <v>0</v>
      </c>
      <c r="AW74" s="830">
        <f t="shared" si="12"/>
        <v>0</v>
      </c>
      <c r="AX74" s="830">
        <f t="shared" si="13"/>
        <v>0</v>
      </c>
      <c r="AY74" s="3310">
        <f t="shared" si="14"/>
        <v>0</v>
      </c>
      <c r="AZ74" s="3264">
        <f t="shared" si="15"/>
        <v>0</v>
      </c>
      <c r="BA74" s="3264">
        <f t="shared" si="16"/>
        <v>0</v>
      </c>
      <c r="BB74" s="3264">
        <f t="shared" si="17"/>
        <v>0</v>
      </c>
      <c r="BC74" s="3264">
        <f t="shared" si="18"/>
        <v>0</v>
      </c>
      <c r="BD74" s="3264">
        <f t="shared" si="19"/>
        <v>0</v>
      </c>
      <c r="BE74" s="3264">
        <f t="shared" si="20"/>
        <v>0</v>
      </c>
      <c r="BF74" s="3264">
        <f t="shared" si="21"/>
        <v>0</v>
      </c>
      <c r="BG74" s="3264">
        <f t="shared" si="22"/>
        <v>0</v>
      </c>
      <c r="BH74" s="3264">
        <f t="shared" si="23"/>
        <v>0</v>
      </c>
      <c r="BI74" s="3264">
        <f t="shared" si="24"/>
        <v>0</v>
      </c>
      <c r="BJ74" s="3264">
        <f t="shared" si="25"/>
        <v>0</v>
      </c>
      <c r="BK74" s="3264">
        <f t="shared" si="26"/>
        <v>0</v>
      </c>
      <c r="BL74" s="3264">
        <f t="shared" si="27"/>
        <v>0</v>
      </c>
      <c r="BM74" s="3264">
        <f t="shared" si="28"/>
        <v>0</v>
      </c>
      <c r="BN74" s="3264">
        <f t="shared" si="29"/>
        <v>0</v>
      </c>
      <c r="BO74" s="3264">
        <f t="shared" si="30"/>
        <v>0</v>
      </c>
      <c r="BP74" s="3264">
        <f t="shared" si="31"/>
        <v>0</v>
      </c>
      <c r="BQ74" s="3264">
        <f t="shared" si="32"/>
        <v>0</v>
      </c>
      <c r="BR74" s="3264">
        <f t="shared" si="33"/>
        <v>0</v>
      </c>
      <c r="BS74" s="3264">
        <f t="shared" si="34"/>
        <v>0</v>
      </c>
      <c r="BT74" s="3317">
        <f t="shared" si="35"/>
        <v>0</v>
      </c>
    </row>
    <row r="75" spans="1:72">
      <c r="A75" s="3262"/>
      <c r="B75" s="3263"/>
      <c r="C75" s="3263"/>
      <c r="D75" s="3268"/>
      <c r="E75" s="3264">
        <f t="shared" si="7"/>
        <v>0</v>
      </c>
      <c r="F75" s="3265"/>
      <c r="G75" s="3266">
        <f t="shared" si="8"/>
        <v>0</v>
      </c>
      <c r="H75" s="3267">
        <f t="shared" si="9"/>
        <v>0</v>
      </c>
      <c r="I75" s="3275"/>
      <c r="J75" s="3275"/>
      <c r="K75" s="3275"/>
      <c r="L75" s="3275"/>
      <c r="M75" s="3275"/>
      <c r="N75" s="3275"/>
      <c r="O75" s="3275"/>
      <c r="P75" s="3275"/>
      <c r="Q75" s="3275"/>
      <c r="R75" s="3275"/>
      <c r="S75" s="3275"/>
      <c r="T75" s="3275"/>
      <c r="U75" s="3275"/>
      <c r="V75" s="3275"/>
      <c r="W75" s="3275"/>
      <c r="X75" s="3275"/>
      <c r="Y75" s="3275"/>
      <c r="Z75" s="3275"/>
      <c r="AA75" s="3275"/>
      <c r="AB75" s="3275"/>
      <c r="AC75" s="3264">
        <f t="shared" si="10"/>
        <v>0</v>
      </c>
      <c r="AD75" s="3285"/>
      <c r="AE75" s="3285"/>
      <c r="AF75" s="3285"/>
      <c r="AG75" s="3285"/>
      <c r="AH75" s="3285"/>
      <c r="AI75" s="3285"/>
      <c r="AJ75" s="3285"/>
      <c r="AK75" s="3285"/>
      <c r="AL75" s="3285"/>
      <c r="AM75" s="3285"/>
      <c r="AN75" s="3285"/>
      <c r="AO75" s="3285"/>
      <c r="AP75" s="3285"/>
      <c r="AQ75" s="3285"/>
      <c r="AR75" s="3285"/>
      <c r="AS75" s="3285"/>
      <c r="AT75" s="3295"/>
      <c r="AU75" s="3296"/>
      <c r="AV75" s="830">
        <f t="shared" si="11"/>
        <v>0</v>
      </c>
      <c r="AW75" s="830">
        <f t="shared" si="12"/>
        <v>0</v>
      </c>
      <c r="AX75" s="830">
        <f t="shared" si="13"/>
        <v>0</v>
      </c>
      <c r="AY75" s="3310">
        <f t="shared" si="14"/>
        <v>0</v>
      </c>
      <c r="AZ75" s="3264">
        <f t="shared" si="15"/>
        <v>0</v>
      </c>
      <c r="BA75" s="3264">
        <f t="shared" si="16"/>
        <v>0</v>
      </c>
      <c r="BB75" s="3264">
        <f t="shared" si="17"/>
        <v>0</v>
      </c>
      <c r="BC75" s="3264">
        <f t="shared" si="18"/>
        <v>0</v>
      </c>
      <c r="BD75" s="3264">
        <f t="shared" si="19"/>
        <v>0</v>
      </c>
      <c r="BE75" s="3264">
        <f t="shared" si="20"/>
        <v>0</v>
      </c>
      <c r="BF75" s="3264">
        <f t="shared" si="21"/>
        <v>0</v>
      </c>
      <c r="BG75" s="3264">
        <f t="shared" si="22"/>
        <v>0</v>
      </c>
      <c r="BH75" s="3264">
        <f t="shared" si="23"/>
        <v>0</v>
      </c>
      <c r="BI75" s="3264">
        <f t="shared" si="24"/>
        <v>0</v>
      </c>
      <c r="BJ75" s="3264">
        <f t="shared" si="25"/>
        <v>0</v>
      </c>
      <c r="BK75" s="3264">
        <f t="shared" si="26"/>
        <v>0</v>
      </c>
      <c r="BL75" s="3264">
        <f t="shared" si="27"/>
        <v>0</v>
      </c>
      <c r="BM75" s="3264">
        <f t="shared" si="28"/>
        <v>0</v>
      </c>
      <c r="BN75" s="3264">
        <f t="shared" si="29"/>
        <v>0</v>
      </c>
      <c r="BO75" s="3264">
        <f t="shared" si="30"/>
        <v>0</v>
      </c>
      <c r="BP75" s="3264">
        <f t="shared" si="31"/>
        <v>0</v>
      </c>
      <c r="BQ75" s="3264">
        <f t="shared" si="32"/>
        <v>0</v>
      </c>
      <c r="BR75" s="3264">
        <f t="shared" si="33"/>
        <v>0</v>
      </c>
      <c r="BS75" s="3264">
        <f t="shared" si="34"/>
        <v>0</v>
      </c>
      <c r="BT75" s="3317">
        <f t="shared" si="35"/>
        <v>0</v>
      </c>
    </row>
    <row r="76" spans="1:72">
      <c r="A76" s="3262"/>
      <c r="B76" s="3263"/>
      <c r="C76" s="3263"/>
      <c r="D76" s="3268"/>
      <c r="E76" s="3264">
        <f t="shared" si="7"/>
        <v>0</v>
      </c>
      <c r="F76" s="3265"/>
      <c r="G76" s="3266">
        <f t="shared" si="8"/>
        <v>0</v>
      </c>
      <c r="H76" s="3267">
        <f t="shared" si="9"/>
        <v>0</v>
      </c>
      <c r="I76" s="3275"/>
      <c r="J76" s="3275"/>
      <c r="K76" s="3275"/>
      <c r="L76" s="3275"/>
      <c r="M76" s="3275"/>
      <c r="N76" s="3275"/>
      <c r="O76" s="3275"/>
      <c r="P76" s="3275"/>
      <c r="Q76" s="3275"/>
      <c r="R76" s="3275"/>
      <c r="S76" s="3275"/>
      <c r="T76" s="3275"/>
      <c r="U76" s="3275"/>
      <c r="V76" s="3275"/>
      <c r="W76" s="3275"/>
      <c r="X76" s="3275"/>
      <c r="Y76" s="3275"/>
      <c r="Z76" s="3275"/>
      <c r="AA76" s="3275"/>
      <c r="AB76" s="3275"/>
      <c r="AC76" s="3264">
        <f t="shared" si="10"/>
        <v>0</v>
      </c>
      <c r="AD76" s="3285"/>
      <c r="AE76" s="3285"/>
      <c r="AF76" s="3285"/>
      <c r="AG76" s="3285"/>
      <c r="AH76" s="3285"/>
      <c r="AI76" s="3285"/>
      <c r="AJ76" s="3285"/>
      <c r="AK76" s="3285"/>
      <c r="AL76" s="3285"/>
      <c r="AM76" s="3285"/>
      <c r="AN76" s="3285"/>
      <c r="AO76" s="3285"/>
      <c r="AP76" s="3285"/>
      <c r="AQ76" s="3285"/>
      <c r="AR76" s="3285"/>
      <c r="AS76" s="3285"/>
      <c r="AT76" s="3295"/>
      <c r="AU76" s="3296"/>
      <c r="AV76" s="830">
        <f t="shared" si="11"/>
        <v>0</v>
      </c>
      <c r="AW76" s="830">
        <f t="shared" si="12"/>
        <v>0</v>
      </c>
      <c r="AX76" s="830">
        <f t="shared" si="13"/>
        <v>0</v>
      </c>
      <c r="AY76" s="3310">
        <f t="shared" si="14"/>
        <v>0</v>
      </c>
      <c r="AZ76" s="3264">
        <f t="shared" si="15"/>
        <v>0</v>
      </c>
      <c r="BA76" s="3264">
        <f t="shared" si="16"/>
        <v>0</v>
      </c>
      <c r="BB76" s="3264">
        <f t="shared" si="17"/>
        <v>0</v>
      </c>
      <c r="BC76" s="3264">
        <f t="shared" si="18"/>
        <v>0</v>
      </c>
      <c r="BD76" s="3264">
        <f t="shared" si="19"/>
        <v>0</v>
      </c>
      <c r="BE76" s="3264">
        <f t="shared" si="20"/>
        <v>0</v>
      </c>
      <c r="BF76" s="3264">
        <f t="shared" si="21"/>
        <v>0</v>
      </c>
      <c r="BG76" s="3264">
        <f t="shared" si="22"/>
        <v>0</v>
      </c>
      <c r="BH76" s="3264">
        <f t="shared" si="23"/>
        <v>0</v>
      </c>
      <c r="BI76" s="3264">
        <f t="shared" si="24"/>
        <v>0</v>
      </c>
      <c r="BJ76" s="3264">
        <f t="shared" si="25"/>
        <v>0</v>
      </c>
      <c r="BK76" s="3264">
        <f t="shared" si="26"/>
        <v>0</v>
      </c>
      <c r="BL76" s="3264">
        <f t="shared" si="27"/>
        <v>0</v>
      </c>
      <c r="BM76" s="3264">
        <f t="shared" si="28"/>
        <v>0</v>
      </c>
      <c r="BN76" s="3264">
        <f t="shared" si="29"/>
        <v>0</v>
      </c>
      <c r="BO76" s="3264">
        <f t="shared" si="30"/>
        <v>0</v>
      </c>
      <c r="BP76" s="3264">
        <f t="shared" si="31"/>
        <v>0</v>
      </c>
      <c r="BQ76" s="3264">
        <f t="shared" si="32"/>
        <v>0</v>
      </c>
      <c r="BR76" s="3264">
        <f t="shared" si="33"/>
        <v>0</v>
      </c>
      <c r="BS76" s="3264">
        <f t="shared" si="34"/>
        <v>0</v>
      </c>
      <c r="BT76" s="3317">
        <f t="shared" si="35"/>
        <v>0</v>
      </c>
    </row>
    <row r="77" spans="1:72">
      <c r="A77" s="3262"/>
      <c r="B77" s="3263"/>
      <c r="C77" s="3263"/>
      <c r="D77" s="3268"/>
      <c r="E77" s="3264">
        <f t="shared" si="7"/>
        <v>0</v>
      </c>
      <c r="F77" s="3265"/>
      <c r="G77" s="3266">
        <f t="shared" si="8"/>
        <v>0</v>
      </c>
      <c r="H77" s="3267">
        <f t="shared" si="9"/>
        <v>0</v>
      </c>
      <c r="I77" s="3275"/>
      <c r="J77" s="3275"/>
      <c r="K77" s="3275"/>
      <c r="L77" s="3275"/>
      <c r="M77" s="3275"/>
      <c r="N77" s="3275"/>
      <c r="O77" s="3275"/>
      <c r="P77" s="3275"/>
      <c r="Q77" s="3275"/>
      <c r="R77" s="3275"/>
      <c r="S77" s="3275"/>
      <c r="T77" s="3275"/>
      <c r="U77" s="3275"/>
      <c r="V77" s="3275"/>
      <c r="W77" s="3275"/>
      <c r="X77" s="3275"/>
      <c r="Y77" s="3275"/>
      <c r="Z77" s="3275"/>
      <c r="AA77" s="3275"/>
      <c r="AB77" s="3275"/>
      <c r="AC77" s="3264">
        <f t="shared" si="10"/>
        <v>0</v>
      </c>
      <c r="AD77" s="3285"/>
      <c r="AE77" s="3285"/>
      <c r="AF77" s="3285"/>
      <c r="AG77" s="3285"/>
      <c r="AH77" s="3285"/>
      <c r="AI77" s="3285"/>
      <c r="AJ77" s="3285"/>
      <c r="AK77" s="3285"/>
      <c r="AL77" s="3285"/>
      <c r="AM77" s="3285"/>
      <c r="AN77" s="3285"/>
      <c r="AO77" s="3285"/>
      <c r="AP77" s="3285"/>
      <c r="AQ77" s="3285"/>
      <c r="AR77" s="3285"/>
      <c r="AS77" s="3285"/>
      <c r="AT77" s="3295"/>
      <c r="AU77" s="3296"/>
      <c r="AV77" s="830">
        <f t="shared" si="11"/>
        <v>0</v>
      </c>
      <c r="AW77" s="830">
        <f t="shared" si="12"/>
        <v>0</v>
      </c>
      <c r="AX77" s="830">
        <f t="shared" si="13"/>
        <v>0</v>
      </c>
      <c r="AY77" s="3310">
        <f t="shared" si="14"/>
        <v>0</v>
      </c>
      <c r="AZ77" s="3264">
        <f t="shared" si="15"/>
        <v>0</v>
      </c>
      <c r="BA77" s="3264">
        <f t="shared" si="16"/>
        <v>0</v>
      </c>
      <c r="BB77" s="3264">
        <f t="shared" si="17"/>
        <v>0</v>
      </c>
      <c r="BC77" s="3264">
        <f t="shared" si="18"/>
        <v>0</v>
      </c>
      <c r="BD77" s="3264">
        <f t="shared" si="19"/>
        <v>0</v>
      </c>
      <c r="BE77" s="3264">
        <f t="shared" si="20"/>
        <v>0</v>
      </c>
      <c r="BF77" s="3264">
        <f t="shared" si="21"/>
        <v>0</v>
      </c>
      <c r="BG77" s="3264">
        <f t="shared" si="22"/>
        <v>0</v>
      </c>
      <c r="BH77" s="3264">
        <f t="shared" si="23"/>
        <v>0</v>
      </c>
      <c r="BI77" s="3264">
        <f t="shared" si="24"/>
        <v>0</v>
      </c>
      <c r="BJ77" s="3264">
        <f t="shared" si="25"/>
        <v>0</v>
      </c>
      <c r="BK77" s="3264">
        <f t="shared" si="26"/>
        <v>0</v>
      </c>
      <c r="BL77" s="3264">
        <f t="shared" si="27"/>
        <v>0</v>
      </c>
      <c r="BM77" s="3264">
        <f t="shared" si="28"/>
        <v>0</v>
      </c>
      <c r="BN77" s="3264">
        <f t="shared" si="29"/>
        <v>0</v>
      </c>
      <c r="BO77" s="3264">
        <f t="shared" si="30"/>
        <v>0</v>
      </c>
      <c r="BP77" s="3264">
        <f t="shared" si="31"/>
        <v>0</v>
      </c>
      <c r="BQ77" s="3264">
        <f t="shared" si="32"/>
        <v>0</v>
      </c>
      <c r="BR77" s="3264">
        <f t="shared" si="33"/>
        <v>0</v>
      </c>
      <c r="BS77" s="3264">
        <f t="shared" si="34"/>
        <v>0</v>
      </c>
      <c r="BT77" s="3317">
        <f t="shared" si="35"/>
        <v>0</v>
      </c>
    </row>
    <row r="78" spans="1:72">
      <c r="A78" s="3262"/>
      <c r="B78" s="3263"/>
      <c r="C78" s="3263"/>
      <c r="D78" s="3268"/>
      <c r="E78" s="3264">
        <f t="shared" si="7"/>
        <v>0</v>
      </c>
      <c r="F78" s="3265"/>
      <c r="G78" s="3266">
        <f t="shared" si="8"/>
        <v>0</v>
      </c>
      <c r="H78" s="3267">
        <f t="shared" si="9"/>
        <v>0</v>
      </c>
      <c r="I78" s="3275"/>
      <c r="J78" s="3275"/>
      <c r="K78" s="3275"/>
      <c r="L78" s="3275"/>
      <c r="M78" s="3275"/>
      <c r="N78" s="3275"/>
      <c r="O78" s="3275"/>
      <c r="P78" s="3275"/>
      <c r="Q78" s="3275"/>
      <c r="R78" s="3275"/>
      <c r="S78" s="3275"/>
      <c r="T78" s="3275"/>
      <c r="U78" s="3275"/>
      <c r="V78" s="3275"/>
      <c r="W78" s="3275"/>
      <c r="X78" s="3275"/>
      <c r="Y78" s="3275"/>
      <c r="Z78" s="3275"/>
      <c r="AA78" s="3275"/>
      <c r="AB78" s="3275"/>
      <c r="AC78" s="3264">
        <f t="shared" si="10"/>
        <v>0</v>
      </c>
      <c r="AD78" s="3285"/>
      <c r="AE78" s="3285"/>
      <c r="AF78" s="3285"/>
      <c r="AG78" s="3285"/>
      <c r="AH78" s="3285"/>
      <c r="AI78" s="3285"/>
      <c r="AJ78" s="3285"/>
      <c r="AK78" s="3285"/>
      <c r="AL78" s="3285"/>
      <c r="AM78" s="3285"/>
      <c r="AN78" s="3285"/>
      <c r="AO78" s="3285"/>
      <c r="AP78" s="3285"/>
      <c r="AQ78" s="3285"/>
      <c r="AR78" s="3285"/>
      <c r="AS78" s="3285"/>
      <c r="AT78" s="3295"/>
      <c r="AU78" s="3296"/>
      <c r="AV78" s="830">
        <f t="shared" si="11"/>
        <v>0</v>
      </c>
      <c r="AW78" s="830">
        <f t="shared" si="12"/>
        <v>0</v>
      </c>
      <c r="AX78" s="830">
        <f t="shared" si="13"/>
        <v>0</v>
      </c>
      <c r="AY78" s="3310">
        <f t="shared" si="14"/>
        <v>0</v>
      </c>
      <c r="AZ78" s="3264">
        <f t="shared" si="15"/>
        <v>0</v>
      </c>
      <c r="BA78" s="3264">
        <f t="shared" si="16"/>
        <v>0</v>
      </c>
      <c r="BB78" s="3264">
        <f t="shared" si="17"/>
        <v>0</v>
      </c>
      <c r="BC78" s="3264">
        <f t="shared" si="18"/>
        <v>0</v>
      </c>
      <c r="BD78" s="3264">
        <f t="shared" si="19"/>
        <v>0</v>
      </c>
      <c r="BE78" s="3264">
        <f t="shared" si="20"/>
        <v>0</v>
      </c>
      <c r="BF78" s="3264">
        <f t="shared" si="21"/>
        <v>0</v>
      </c>
      <c r="BG78" s="3264">
        <f t="shared" si="22"/>
        <v>0</v>
      </c>
      <c r="BH78" s="3264">
        <f t="shared" si="23"/>
        <v>0</v>
      </c>
      <c r="BI78" s="3264">
        <f t="shared" si="24"/>
        <v>0</v>
      </c>
      <c r="BJ78" s="3264">
        <f t="shared" si="25"/>
        <v>0</v>
      </c>
      <c r="BK78" s="3264">
        <f t="shared" si="26"/>
        <v>0</v>
      </c>
      <c r="BL78" s="3264">
        <f t="shared" si="27"/>
        <v>0</v>
      </c>
      <c r="BM78" s="3264">
        <f t="shared" si="28"/>
        <v>0</v>
      </c>
      <c r="BN78" s="3264">
        <f t="shared" si="29"/>
        <v>0</v>
      </c>
      <c r="BO78" s="3264">
        <f t="shared" si="30"/>
        <v>0</v>
      </c>
      <c r="BP78" s="3264">
        <f t="shared" si="31"/>
        <v>0</v>
      </c>
      <c r="BQ78" s="3264">
        <f t="shared" si="32"/>
        <v>0</v>
      </c>
      <c r="BR78" s="3264">
        <f t="shared" si="33"/>
        <v>0</v>
      </c>
      <c r="BS78" s="3264">
        <f t="shared" si="34"/>
        <v>0</v>
      </c>
      <c r="BT78" s="3317">
        <f t="shared" si="35"/>
        <v>0</v>
      </c>
    </row>
    <row r="79" spans="1:72">
      <c r="A79" s="3262"/>
      <c r="B79" s="3263"/>
      <c r="C79" s="3263"/>
      <c r="D79" s="3268"/>
      <c r="E79" s="3264">
        <f t="shared" si="7"/>
        <v>0</v>
      </c>
      <c r="F79" s="3265"/>
      <c r="G79" s="3266">
        <f t="shared" si="8"/>
        <v>0</v>
      </c>
      <c r="H79" s="3267">
        <f t="shared" si="9"/>
        <v>0</v>
      </c>
      <c r="I79" s="3275"/>
      <c r="J79" s="3275"/>
      <c r="K79" s="3275"/>
      <c r="L79" s="3275"/>
      <c r="M79" s="3275"/>
      <c r="N79" s="3275"/>
      <c r="O79" s="3275"/>
      <c r="P79" s="3275"/>
      <c r="Q79" s="3275"/>
      <c r="R79" s="3275"/>
      <c r="S79" s="3275"/>
      <c r="T79" s="3275"/>
      <c r="U79" s="3275"/>
      <c r="V79" s="3275"/>
      <c r="W79" s="3275"/>
      <c r="X79" s="3275"/>
      <c r="Y79" s="3275"/>
      <c r="Z79" s="3275"/>
      <c r="AA79" s="3275"/>
      <c r="AB79" s="3275"/>
      <c r="AC79" s="3264">
        <f t="shared" si="10"/>
        <v>0</v>
      </c>
      <c r="AD79" s="3285"/>
      <c r="AE79" s="3285"/>
      <c r="AF79" s="3285"/>
      <c r="AG79" s="3285"/>
      <c r="AH79" s="3285"/>
      <c r="AI79" s="3285"/>
      <c r="AJ79" s="3285"/>
      <c r="AK79" s="3285"/>
      <c r="AL79" s="3285"/>
      <c r="AM79" s="3285"/>
      <c r="AN79" s="3285"/>
      <c r="AO79" s="3285"/>
      <c r="AP79" s="3285"/>
      <c r="AQ79" s="3285"/>
      <c r="AR79" s="3285"/>
      <c r="AS79" s="3285"/>
      <c r="AT79" s="3295"/>
      <c r="AU79" s="3296"/>
      <c r="AV79" s="830">
        <f t="shared" si="11"/>
        <v>0</v>
      </c>
      <c r="AW79" s="830">
        <f t="shared" si="12"/>
        <v>0</v>
      </c>
      <c r="AX79" s="830">
        <f t="shared" si="13"/>
        <v>0</v>
      </c>
      <c r="AY79" s="3310">
        <f t="shared" si="14"/>
        <v>0</v>
      </c>
      <c r="AZ79" s="3264">
        <f t="shared" si="15"/>
        <v>0</v>
      </c>
      <c r="BA79" s="3264">
        <f t="shared" si="16"/>
        <v>0</v>
      </c>
      <c r="BB79" s="3264">
        <f t="shared" si="17"/>
        <v>0</v>
      </c>
      <c r="BC79" s="3264">
        <f t="shared" si="18"/>
        <v>0</v>
      </c>
      <c r="BD79" s="3264">
        <f t="shared" si="19"/>
        <v>0</v>
      </c>
      <c r="BE79" s="3264">
        <f t="shared" si="20"/>
        <v>0</v>
      </c>
      <c r="BF79" s="3264">
        <f t="shared" si="21"/>
        <v>0</v>
      </c>
      <c r="BG79" s="3264">
        <f t="shared" si="22"/>
        <v>0</v>
      </c>
      <c r="BH79" s="3264">
        <f t="shared" si="23"/>
        <v>0</v>
      </c>
      <c r="BI79" s="3264">
        <f t="shared" si="24"/>
        <v>0</v>
      </c>
      <c r="BJ79" s="3264">
        <f t="shared" si="25"/>
        <v>0</v>
      </c>
      <c r="BK79" s="3264">
        <f t="shared" si="26"/>
        <v>0</v>
      </c>
      <c r="BL79" s="3264">
        <f t="shared" si="27"/>
        <v>0</v>
      </c>
      <c r="BM79" s="3264">
        <f t="shared" si="28"/>
        <v>0</v>
      </c>
      <c r="BN79" s="3264">
        <f t="shared" si="29"/>
        <v>0</v>
      </c>
      <c r="BO79" s="3264">
        <f t="shared" si="30"/>
        <v>0</v>
      </c>
      <c r="BP79" s="3264">
        <f t="shared" si="31"/>
        <v>0</v>
      </c>
      <c r="BQ79" s="3264">
        <f t="shared" si="32"/>
        <v>0</v>
      </c>
      <c r="BR79" s="3264">
        <f t="shared" si="33"/>
        <v>0</v>
      </c>
      <c r="BS79" s="3264">
        <f t="shared" si="34"/>
        <v>0</v>
      </c>
      <c r="BT79" s="3317">
        <f t="shared" si="35"/>
        <v>0</v>
      </c>
    </row>
    <row r="80" spans="1:72">
      <c r="A80" s="3262"/>
      <c r="B80" s="3263"/>
      <c r="C80" s="3263"/>
      <c r="D80" s="3268"/>
      <c r="E80" s="3264">
        <f t="shared" si="7"/>
        <v>0</v>
      </c>
      <c r="F80" s="3265"/>
      <c r="G80" s="3266">
        <f t="shared" si="8"/>
        <v>0</v>
      </c>
      <c r="H80" s="3267">
        <f t="shared" si="9"/>
        <v>0</v>
      </c>
      <c r="I80" s="3275"/>
      <c r="J80" s="3275"/>
      <c r="K80" s="3275"/>
      <c r="L80" s="3275"/>
      <c r="M80" s="3275"/>
      <c r="N80" s="3275"/>
      <c r="O80" s="3275"/>
      <c r="P80" s="3275"/>
      <c r="Q80" s="3275"/>
      <c r="R80" s="3275"/>
      <c r="S80" s="3275"/>
      <c r="T80" s="3275"/>
      <c r="U80" s="3275"/>
      <c r="V80" s="3275"/>
      <c r="W80" s="3275"/>
      <c r="X80" s="3275"/>
      <c r="Y80" s="3275"/>
      <c r="Z80" s="3275"/>
      <c r="AA80" s="3275"/>
      <c r="AB80" s="3275"/>
      <c r="AC80" s="3264">
        <f t="shared" si="10"/>
        <v>0</v>
      </c>
      <c r="AD80" s="3285"/>
      <c r="AE80" s="3285"/>
      <c r="AF80" s="3285"/>
      <c r="AG80" s="3285"/>
      <c r="AH80" s="3285"/>
      <c r="AI80" s="3285"/>
      <c r="AJ80" s="3285"/>
      <c r="AK80" s="3285"/>
      <c r="AL80" s="3285"/>
      <c r="AM80" s="3285"/>
      <c r="AN80" s="3285"/>
      <c r="AO80" s="3285"/>
      <c r="AP80" s="3285"/>
      <c r="AQ80" s="3285"/>
      <c r="AR80" s="3285"/>
      <c r="AS80" s="3285"/>
      <c r="AT80" s="3295"/>
      <c r="AU80" s="3296"/>
      <c r="AV80" s="830">
        <f t="shared" si="11"/>
        <v>0</v>
      </c>
      <c r="AW80" s="830">
        <f t="shared" si="12"/>
        <v>0</v>
      </c>
      <c r="AX80" s="830">
        <f t="shared" si="13"/>
        <v>0</v>
      </c>
      <c r="AY80" s="3310">
        <f t="shared" si="14"/>
        <v>0</v>
      </c>
      <c r="AZ80" s="3264">
        <f t="shared" si="15"/>
        <v>0</v>
      </c>
      <c r="BA80" s="3264">
        <f t="shared" si="16"/>
        <v>0</v>
      </c>
      <c r="BB80" s="3264">
        <f t="shared" si="17"/>
        <v>0</v>
      </c>
      <c r="BC80" s="3264">
        <f t="shared" si="18"/>
        <v>0</v>
      </c>
      <c r="BD80" s="3264">
        <f t="shared" si="19"/>
        <v>0</v>
      </c>
      <c r="BE80" s="3264">
        <f t="shared" si="20"/>
        <v>0</v>
      </c>
      <c r="BF80" s="3264">
        <f t="shared" si="21"/>
        <v>0</v>
      </c>
      <c r="BG80" s="3264">
        <f t="shared" si="22"/>
        <v>0</v>
      </c>
      <c r="BH80" s="3264">
        <f t="shared" si="23"/>
        <v>0</v>
      </c>
      <c r="BI80" s="3264">
        <f t="shared" si="24"/>
        <v>0</v>
      </c>
      <c r="BJ80" s="3264">
        <f t="shared" si="25"/>
        <v>0</v>
      </c>
      <c r="BK80" s="3264">
        <f t="shared" si="26"/>
        <v>0</v>
      </c>
      <c r="BL80" s="3264">
        <f t="shared" si="27"/>
        <v>0</v>
      </c>
      <c r="BM80" s="3264">
        <f t="shared" si="28"/>
        <v>0</v>
      </c>
      <c r="BN80" s="3264">
        <f t="shared" si="29"/>
        <v>0</v>
      </c>
      <c r="BO80" s="3264">
        <f t="shared" si="30"/>
        <v>0</v>
      </c>
      <c r="BP80" s="3264">
        <f t="shared" si="31"/>
        <v>0</v>
      </c>
      <c r="BQ80" s="3264">
        <f t="shared" si="32"/>
        <v>0</v>
      </c>
      <c r="BR80" s="3264">
        <f t="shared" si="33"/>
        <v>0</v>
      </c>
      <c r="BS80" s="3264">
        <f t="shared" si="34"/>
        <v>0</v>
      </c>
      <c r="BT80" s="3317">
        <f t="shared" si="35"/>
        <v>0</v>
      </c>
    </row>
    <row r="81" spans="1:72">
      <c r="A81" s="3262"/>
      <c r="B81" s="3263"/>
      <c r="C81" s="3263"/>
      <c r="D81" s="3268"/>
      <c r="E81" s="3264">
        <f t="shared" si="7"/>
        <v>0</v>
      </c>
      <c r="F81" s="3265"/>
      <c r="G81" s="3266">
        <f t="shared" si="8"/>
        <v>0</v>
      </c>
      <c r="H81" s="3267">
        <f t="shared" si="9"/>
        <v>0</v>
      </c>
      <c r="I81" s="3275"/>
      <c r="J81" s="3275"/>
      <c r="K81" s="3275"/>
      <c r="L81" s="3275"/>
      <c r="M81" s="3275"/>
      <c r="N81" s="3275"/>
      <c r="O81" s="3275"/>
      <c r="P81" s="3275"/>
      <c r="Q81" s="3275"/>
      <c r="R81" s="3275"/>
      <c r="S81" s="3275"/>
      <c r="T81" s="3275"/>
      <c r="U81" s="3275"/>
      <c r="V81" s="3275"/>
      <c r="W81" s="3275"/>
      <c r="X81" s="3275"/>
      <c r="Y81" s="3275"/>
      <c r="Z81" s="3275"/>
      <c r="AA81" s="3275"/>
      <c r="AB81" s="3275"/>
      <c r="AC81" s="3264">
        <f t="shared" si="10"/>
        <v>0</v>
      </c>
      <c r="AD81" s="3285"/>
      <c r="AE81" s="3285"/>
      <c r="AF81" s="3285"/>
      <c r="AG81" s="3285"/>
      <c r="AH81" s="3285"/>
      <c r="AI81" s="3285"/>
      <c r="AJ81" s="3285"/>
      <c r="AK81" s="3285"/>
      <c r="AL81" s="3285"/>
      <c r="AM81" s="3285"/>
      <c r="AN81" s="3285"/>
      <c r="AO81" s="3285"/>
      <c r="AP81" s="3285"/>
      <c r="AQ81" s="3285"/>
      <c r="AR81" s="3285"/>
      <c r="AS81" s="3285"/>
      <c r="AT81" s="3295"/>
      <c r="AU81" s="3296"/>
      <c r="AV81" s="830">
        <f t="shared" si="11"/>
        <v>0</v>
      </c>
      <c r="AW81" s="830">
        <f t="shared" si="12"/>
        <v>0</v>
      </c>
      <c r="AX81" s="830">
        <f t="shared" si="13"/>
        <v>0</v>
      </c>
      <c r="AY81" s="3310">
        <f t="shared" si="14"/>
        <v>0</v>
      </c>
      <c r="AZ81" s="3264">
        <f t="shared" si="15"/>
        <v>0</v>
      </c>
      <c r="BA81" s="3264">
        <f t="shared" si="16"/>
        <v>0</v>
      </c>
      <c r="BB81" s="3264">
        <f t="shared" si="17"/>
        <v>0</v>
      </c>
      <c r="BC81" s="3264">
        <f t="shared" si="18"/>
        <v>0</v>
      </c>
      <c r="BD81" s="3264">
        <f t="shared" si="19"/>
        <v>0</v>
      </c>
      <c r="BE81" s="3264">
        <f t="shared" si="20"/>
        <v>0</v>
      </c>
      <c r="BF81" s="3264">
        <f t="shared" si="21"/>
        <v>0</v>
      </c>
      <c r="BG81" s="3264">
        <f t="shared" si="22"/>
        <v>0</v>
      </c>
      <c r="BH81" s="3264">
        <f t="shared" si="23"/>
        <v>0</v>
      </c>
      <c r="BI81" s="3264">
        <f t="shared" si="24"/>
        <v>0</v>
      </c>
      <c r="BJ81" s="3264">
        <f t="shared" si="25"/>
        <v>0</v>
      </c>
      <c r="BK81" s="3264">
        <f t="shared" si="26"/>
        <v>0</v>
      </c>
      <c r="BL81" s="3264">
        <f t="shared" si="27"/>
        <v>0</v>
      </c>
      <c r="BM81" s="3264">
        <f t="shared" si="28"/>
        <v>0</v>
      </c>
      <c r="BN81" s="3264">
        <f t="shared" si="29"/>
        <v>0</v>
      </c>
      <c r="BO81" s="3264">
        <f t="shared" si="30"/>
        <v>0</v>
      </c>
      <c r="BP81" s="3264">
        <f t="shared" si="31"/>
        <v>0</v>
      </c>
      <c r="BQ81" s="3264">
        <f t="shared" si="32"/>
        <v>0</v>
      </c>
      <c r="BR81" s="3264">
        <f t="shared" si="33"/>
        <v>0</v>
      </c>
      <c r="BS81" s="3264">
        <f t="shared" si="34"/>
        <v>0</v>
      </c>
      <c r="BT81" s="3317">
        <f t="shared" si="35"/>
        <v>0</v>
      </c>
    </row>
    <row r="82" spans="1:72">
      <c r="A82" s="3262"/>
      <c r="B82" s="3263"/>
      <c r="C82" s="3263"/>
      <c r="D82" s="3268"/>
      <c r="E82" s="3264">
        <f t="shared" si="7"/>
        <v>0</v>
      </c>
      <c r="F82" s="3265"/>
      <c r="G82" s="3266">
        <f t="shared" si="8"/>
        <v>0</v>
      </c>
      <c r="H82" s="3267">
        <f t="shared" si="9"/>
        <v>0</v>
      </c>
      <c r="I82" s="3275"/>
      <c r="J82" s="3275"/>
      <c r="K82" s="3275"/>
      <c r="L82" s="3275"/>
      <c r="M82" s="3275"/>
      <c r="N82" s="3275"/>
      <c r="O82" s="3275"/>
      <c r="P82" s="3275"/>
      <c r="Q82" s="3275"/>
      <c r="R82" s="3275"/>
      <c r="S82" s="3275"/>
      <c r="T82" s="3275"/>
      <c r="U82" s="3275"/>
      <c r="V82" s="3275"/>
      <c r="W82" s="3275"/>
      <c r="X82" s="3275"/>
      <c r="Y82" s="3275"/>
      <c r="Z82" s="3275"/>
      <c r="AA82" s="3275"/>
      <c r="AB82" s="3275"/>
      <c r="AC82" s="3264">
        <f t="shared" si="10"/>
        <v>0</v>
      </c>
      <c r="AD82" s="3285"/>
      <c r="AE82" s="3285"/>
      <c r="AF82" s="3285"/>
      <c r="AG82" s="3285"/>
      <c r="AH82" s="3285"/>
      <c r="AI82" s="3285"/>
      <c r="AJ82" s="3285"/>
      <c r="AK82" s="3285"/>
      <c r="AL82" s="3285"/>
      <c r="AM82" s="3285"/>
      <c r="AN82" s="3285"/>
      <c r="AO82" s="3285"/>
      <c r="AP82" s="3285"/>
      <c r="AQ82" s="3285"/>
      <c r="AR82" s="3285"/>
      <c r="AS82" s="3285"/>
      <c r="AT82" s="3295"/>
      <c r="AU82" s="3296"/>
      <c r="AV82" s="830">
        <f t="shared" si="11"/>
        <v>0</v>
      </c>
      <c r="AW82" s="830">
        <f t="shared" si="12"/>
        <v>0</v>
      </c>
      <c r="AX82" s="830">
        <f t="shared" si="13"/>
        <v>0</v>
      </c>
      <c r="AY82" s="3310">
        <f t="shared" si="14"/>
        <v>0</v>
      </c>
      <c r="AZ82" s="3264">
        <f t="shared" si="15"/>
        <v>0</v>
      </c>
      <c r="BA82" s="3264">
        <f t="shared" si="16"/>
        <v>0</v>
      </c>
      <c r="BB82" s="3264">
        <f t="shared" si="17"/>
        <v>0</v>
      </c>
      <c r="BC82" s="3264">
        <f t="shared" si="18"/>
        <v>0</v>
      </c>
      <c r="BD82" s="3264">
        <f t="shared" si="19"/>
        <v>0</v>
      </c>
      <c r="BE82" s="3264">
        <f t="shared" si="20"/>
        <v>0</v>
      </c>
      <c r="BF82" s="3264">
        <f t="shared" si="21"/>
        <v>0</v>
      </c>
      <c r="BG82" s="3264">
        <f t="shared" si="22"/>
        <v>0</v>
      </c>
      <c r="BH82" s="3264">
        <f t="shared" si="23"/>
        <v>0</v>
      </c>
      <c r="BI82" s="3264">
        <f t="shared" si="24"/>
        <v>0</v>
      </c>
      <c r="BJ82" s="3264">
        <f t="shared" si="25"/>
        <v>0</v>
      </c>
      <c r="BK82" s="3264">
        <f t="shared" si="26"/>
        <v>0</v>
      </c>
      <c r="BL82" s="3264">
        <f t="shared" si="27"/>
        <v>0</v>
      </c>
      <c r="BM82" s="3264">
        <f t="shared" si="28"/>
        <v>0</v>
      </c>
      <c r="BN82" s="3264">
        <f t="shared" si="29"/>
        <v>0</v>
      </c>
      <c r="BO82" s="3264">
        <f t="shared" si="30"/>
        <v>0</v>
      </c>
      <c r="BP82" s="3264">
        <f t="shared" si="31"/>
        <v>0</v>
      </c>
      <c r="BQ82" s="3264">
        <f t="shared" si="32"/>
        <v>0</v>
      </c>
      <c r="BR82" s="3264">
        <f t="shared" si="33"/>
        <v>0</v>
      </c>
      <c r="BS82" s="3264">
        <f t="shared" si="34"/>
        <v>0</v>
      </c>
      <c r="BT82" s="3317">
        <f t="shared" si="35"/>
        <v>0</v>
      </c>
    </row>
    <row r="83" spans="1:72">
      <c r="A83" s="3262"/>
      <c r="B83" s="3263"/>
      <c r="C83" s="3263"/>
      <c r="D83" s="3268"/>
      <c r="E83" s="3264">
        <f t="shared" si="7"/>
        <v>0</v>
      </c>
      <c r="F83" s="3265"/>
      <c r="G83" s="3266">
        <f t="shared" si="8"/>
        <v>0</v>
      </c>
      <c r="H83" s="3267">
        <f t="shared" si="9"/>
        <v>0</v>
      </c>
      <c r="I83" s="3275"/>
      <c r="J83" s="3275"/>
      <c r="K83" s="3275"/>
      <c r="L83" s="3275"/>
      <c r="M83" s="3275"/>
      <c r="N83" s="3275"/>
      <c r="O83" s="3275"/>
      <c r="P83" s="3275"/>
      <c r="Q83" s="3275"/>
      <c r="R83" s="3275"/>
      <c r="S83" s="3275"/>
      <c r="T83" s="3275"/>
      <c r="U83" s="3275"/>
      <c r="V83" s="3275"/>
      <c r="W83" s="3275"/>
      <c r="X83" s="3275"/>
      <c r="Y83" s="3275"/>
      <c r="Z83" s="3275"/>
      <c r="AA83" s="3275"/>
      <c r="AB83" s="3275"/>
      <c r="AC83" s="3264">
        <f t="shared" si="10"/>
        <v>0</v>
      </c>
      <c r="AD83" s="3285"/>
      <c r="AE83" s="3285"/>
      <c r="AF83" s="3285"/>
      <c r="AG83" s="3285"/>
      <c r="AH83" s="3285"/>
      <c r="AI83" s="3285"/>
      <c r="AJ83" s="3285"/>
      <c r="AK83" s="3285"/>
      <c r="AL83" s="3285"/>
      <c r="AM83" s="3285"/>
      <c r="AN83" s="3285"/>
      <c r="AO83" s="3285"/>
      <c r="AP83" s="3285"/>
      <c r="AQ83" s="3285"/>
      <c r="AR83" s="3285"/>
      <c r="AS83" s="3285"/>
      <c r="AT83" s="3295"/>
      <c r="AU83" s="3296"/>
      <c r="AV83" s="830">
        <f t="shared" si="11"/>
        <v>0</v>
      </c>
      <c r="AW83" s="830">
        <f t="shared" si="12"/>
        <v>0</v>
      </c>
      <c r="AX83" s="830">
        <f t="shared" si="13"/>
        <v>0</v>
      </c>
      <c r="AY83" s="3310">
        <f t="shared" si="14"/>
        <v>0</v>
      </c>
      <c r="AZ83" s="3264">
        <f t="shared" si="15"/>
        <v>0</v>
      </c>
      <c r="BA83" s="3264">
        <f t="shared" si="16"/>
        <v>0</v>
      </c>
      <c r="BB83" s="3264">
        <f t="shared" si="17"/>
        <v>0</v>
      </c>
      <c r="BC83" s="3264">
        <f t="shared" si="18"/>
        <v>0</v>
      </c>
      <c r="BD83" s="3264">
        <f t="shared" si="19"/>
        <v>0</v>
      </c>
      <c r="BE83" s="3264">
        <f t="shared" si="20"/>
        <v>0</v>
      </c>
      <c r="BF83" s="3264">
        <f t="shared" si="21"/>
        <v>0</v>
      </c>
      <c r="BG83" s="3264">
        <f t="shared" si="22"/>
        <v>0</v>
      </c>
      <c r="BH83" s="3264">
        <f t="shared" si="23"/>
        <v>0</v>
      </c>
      <c r="BI83" s="3264">
        <f t="shared" si="24"/>
        <v>0</v>
      </c>
      <c r="BJ83" s="3264">
        <f t="shared" si="25"/>
        <v>0</v>
      </c>
      <c r="BK83" s="3264">
        <f t="shared" si="26"/>
        <v>0</v>
      </c>
      <c r="BL83" s="3264">
        <f t="shared" si="27"/>
        <v>0</v>
      </c>
      <c r="BM83" s="3264">
        <f t="shared" si="28"/>
        <v>0</v>
      </c>
      <c r="BN83" s="3264">
        <f t="shared" si="29"/>
        <v>0</v>
      </c>
      <c r="BO83" s="3264">
        <f t="shared" si="30"/>
        <v>0</v>
      </c>
      <c r="BP83" s="3264">
        <f t="shared" si="31"/>
        <v>0</v>
      </c>
      <c r="BQ83" s="3264">
        <f t="shared" si="32"/>
        <v>0</v>
      </c>
      <c r="BR83" s="3264">
        <f t="shared" si="33"/>
        <v>0</v>
      </c>
      <c r="BS83" s="3264">
        <f t="shared" si="34"/>
        <v>0</v>
      </c>
      <c r="BT83" s="3317">
        <f t="shared" si="35"/>
        <v>0</v>
      </c>
    </row>
    <row r="84" spans="1:72">
      <c r="A84" s="3262"/>
      <c r="B84" s="3263"/>
      <c r="C84" s="3263"/>
      <c r="D84" s="3268"/>
      <c r="E84" s="3264">
        <f t="shared" si="7"/>
        <v>0</v>
      </c>
      <c r="F84" s="3265"/>
      <c r="G84" s="3266">
        <f t="shared" si="8"/>
        <v>0</v>
      </c>
      <c r="H84" s="3267">
        <f t="shared" si="9"/>
        <v>0</v>
      </c>
      <c r="I84" s="3275"/>
      <c r="J84" s="3275"/>
      <c r="K84" s="3275"/>
      <c r="L84" s="3275"/>
      <c r="M84" s="3275"/>
      <c r="N84" s="3275"/>
      <c r="O84" s="3275"/>
      <c r="P84" s="3275"/>
      <c r="Q84" s="3275"/>
      <c r="R84" s="3275"/>
      <c r="S84" s="3275"/>
      <c r="T84" s="3275"/>
      <c r="U84" s="3275"/>
      <c r="V84" s="3275"/>
      <c r="W84" s="3275"/>
      <c r="X84" s="3275"/>
      <c r="Y84" s="3275"/>
      <c r="Z84" s="3275"/>
      <c r="AA84" s="3275"/>
      <c r="AB84" s="3275"/>
      <c r="AC84" s="3264">
        <f t="shared" si="10"/>
        <v>0</v>
      </c>
      <c r="AD84" s="3285"/>
      <c r="AE84" s="3285"/>
      <c r="AF84" s="3285"/>
      <c r="AG84" s="3285"/>
      <c r="AH84" s="3285"/>
      <c r="AI84" s="3285"/>
      <c r="AJ84" s="3285"/>
      <c r="AK84" s="3285"/>
      <c r="AL84" s="3285"/>
      <c r="AM84" s="3285"/>
      <c r="AN84" s="3285"/>
      <c r="AO84" s="3285"/>
      <c r="AP84" s="3285"/>
      <c r="AQ84" s="3285"/>
      <c r="AR84" s="3285"/>
      <c r="AS84" s="3285"/>
      <c r="AT84" s="3295"/>
      <c r="AU84" s="3296"/>
      <c r="AV84" s="830">
        <f t="shared" si="11"/>
        <v>0</v>
      </c>
      <c r="AW84" s="830">
        <f t="shared" si="12"/>
        <v>0</v>
      </c>
      <c r="AX84" s="830">
        <f t="shared" si="13"/>
        <v>0</v>
      </c>
      <c r="AY84" s="3310">
        <f t="shared" si="14"/>
        <v>0</v>
      </c>
      <c r="AZ84" s="3264">
        <f t="shared" si="15"/>
        <v>0</v>
      </c>
      <c r="BA84" s="3264">
        <f t="shared" si="16"/>
        <v>0</v>
      </c>
      <c r="BB84" s="3264">
        <f t="shared" si="17"/>
        <v>0</v>
      </c>
      <c r="BC84" s="3264">
        <f t="shared" si="18"/>
        <v>0</v>
      </c>
      <c r="BD84" s="3264">
        <f t="shared" si="19"/>
        <v>0</v>
      </c>
      <c r="BE84" s="3264">
        <f t="shared" si="20"/>
        <v>0</v>
      </c>
      <c r="BF84" s="3264">
        <f t="shared" si="21"/>
        <v>0</v>
      </c>
      <c r="BG84" s="3264">
        <f t="shared" si="22"/>
        <v>0</v>
      </c>
      <c r="BH84" s="3264">
        <f t="shared" si="23"/>
        <v>0</v>
      </c>
      <c r="BI84" s="3264">
        <f t="shared" si="24"/>
        <v>0</v>
      </c>
      <c r="BJ84" s="3264">
        <f t="shared" si="25"/>
        <v>0</v>
      </c>
      <c r="BK84" s="3264">
        <f t="shared" si="26"/>
        <v>0</v>
      </c>
      <c r="BL84" s="3264">
        <f t="shared" si="27"/>
        <v>0</v>
      </c>
      <c r="BM84" s="3264">
        <f t="shared" si="28"/>
        <v>0</v>
      </c>
      <c r="BN84" s="3264">
        <f t="shared" si="29"/>
        <v>0</v>
      </c>
      <c r="BO84" s="3264">
        <f t="shared" si="30"/>
        <v>0</v>
      </c>
      <c r="BP84" s="3264">
        <f t="shared" si="31"/>
        <v>0</v>
      </c>
      <c r="BQ84" s="3264">
        <f t="shared" si="32"/>
        <v>0</v>
      </c>
      <c r="BR84" s="3264">
        <f t="shared" si="33"/>
        <v>0</v>
      </c>
      <c r="BS84" s="3264">
        <f t="shared" si="34"/>
        <v>0</v>
      </c>
      <c r="BT84" s="3317">
        <f t="shared" si="35"/>
        <v>0</v>
      </c>
    </row>
    <row r="85" spans="1:72">
      <c r="A85" s="3262"/>
      <c r="B85" s="3263"/>
      <c r="C85" s="3263"/>
      <c r="D85" s="3268"/>
      <c r="E85" s="3264">
        <f t="shared" si="7"/>
        <v>0</v>
      </c>
      <c r="F85" s="3265"/>
      <c r="G85" s="3266">
        <f t="shared" si="8"/>
        <v>0</v>
      </c>
      <c r="H85" s="3267">
        <f t="shared" si="9"/>
        <v>0</v>
      </c>
      <c r="I85" s="3275"/>
      <c r="J85" s="3275"/>
      <c r="K85" s="3275"/>
      <c r="L85" s="3275"/>
      <c r="M85" s="3275"/>
      <c r="N85" s="3275"/>
      <c r="O85" s="3275"/>
      <c r="P85" s="3275"/>
      <c r="Q85" s="3275"/>
      <c r="R85" s="3275"/>
      <c r="S85" s="3275"/>
      <c r="T85" s="3275"/>
      <c r="U85" s="3275"/>
      <c r="V85" s="3275"/>
      <c r="W85" s="3275"/>
      <c r="X85" s="3275"/>
      <c r="Y85" s="3275"/>
      <c r="Z85" s="3275"/>
      <c r="AA85" s="3275"/>
      <c r="AB85" s="3275"/>
      <c r="AC85" s="3264">
        <f t="shared" si="10"/>
        <v>0</v>
      </c>
      <c r="AD85" s="3285"/>
      <c r="AE85" s="3285"/>
      <c r="AF85" s="3285"/>
      <c r="AG85" s="3285"/>
      <c r="AH85" s="3285"/>
      <c r="AI85" s="3285"/>
      <c r="AJ85" s="3285"/>
      <c r="AK85" s="3285"/>
      <c r="AL85" s="3285"/>
      <c r="AM85" s="3285"/>
      <c r="AN85" s="3285"/>
      <c r="AO85" s="3285"/>
      <c r="AP85" s="3285"/>
      <c r="AQ85" s="3285"/>
      <c r="AR85" s="3285"/>
      <c r="AS85" s="3285"/>
      <c r="AT85" s="3295"/>
      <c r="AU85" s="3296"/>
      <c r="AV85" s="830">
        <f t="shared" si="11"/>
        <v>0</v>
      </c>
      <c r="AW85" s="830">
        <f t="shared" si="12"/>
        <v>0</v>
      </c>
      <c r="AX85" s="830">
        <f t="shared" si="13"/>
        <v>0</v>
      </c>
      <c r="AY85" s="3310">
        <f t="shared" si="14"/>
        <v>0</v>
      </c>
      <c r="AZ85" s="3264">
        <f t="shared" si="15"/>
        <v>0</v>
      </c>
      <c r="BA85" s="3264">
        <f t="shared" si="16"/>
        <v>0</v>
      </c>
      <c r="BB85" s="3264">
        <f t="shared" si="17"/>
        <v>0</v>
      </c>
      <c r="BC85" s="3264">
        <f t="shared" si="18"/>
        <v>0</v>
      </c>
      <c r="BD85" s="3264">
        <f t="shared" si="19"/>
        <v>0</v>
      </c>
      <c r="BE85" s="3264">
        <f t="shared" si="20"/>
        <v>0</v>
      </c>
      <c r="BF85" s="3264">
        <f t="shared" si="21"/>
        <v>0</v>
      </c>
      <c r="BG85" s="3264">
        <f t="shared" si="22"/>
        <v>0</v>
      </c>
      <c r="BH85" s="3264">
        <f t="shared" si="23"/>
        <v>0</v>
      </c>
      <c r="BI85" s="3264">
        <f t="shared" si="24"/>
        <v>0</v>
      </c>
      <c r="BJ85" s="3264">
        <f t="shared" si="25"/>
        <v>0</v>
      </c>
      <c r="BK85" s="3264">
        <f t="shared" si="26"/>
        <v>0</v>
      </c>
      <c r="BL85" s="3264">
        <f t="shared" si="27"/>
        <v>0</v>
      </c>
      <c r="BM85" s="3264">
        <f t="shared" si="28"/>
        <v>0</v>
      </c>
      <c r="BN85" s="3264">
        <f t="shared" si="29"/>
        <v>0</v>
      </c>
      <c r="BO85" s="3264">
        <f t="shared" si="30"/>
        <v>0</v>
      </c>
      <c r="BP85" s="3264">
        <f t="shared" si="31"/>
        <v>0</v>
      </c>
      <c r="BQ85" s="3264">
        <f t="shared" si="32"/>
        <v>0</v>
      </c>
      <c r="BR85" s="3264">
        <f t="shared" si="33"/>
        <v>0</v>
      </c>
      <c r="BS85" s="3264">
        <f t="shared" si="34"/>
        <v>0</v>
      </c>
      <c r="BT85" s="3317">
        <f t="shared" si="35"/>
        <v>0</v>
      </c>
    </row>
    <row r="86" spans="1:72">
      <c r="A86" s="3262"/>
      <c r="B86" s="3263"/>
      <c r="C86" s="3263"/>
      <c r="D86" s="3268"/>
      <c r="E86" s="3264">
        <f t="shared" si="7"/>
        <v>0</v>
      </c>
      <c r="F86" s="3265"/>
      <c r="G86" s="3266">
        <f t="shared" si="8"/>
        <v>0</v>
      </c>
      <c r="H86" s="3267">
        <f t="shared" si="9"/>
        <v>0</v>
      </c>
      <c r="I86" s="3275"/>
      <c r="J86" s="3275"/>
      <c r="K86" s="3275"/>
      <c r="L86" s="3275"/>
      <c r="M86" s="3275"/>
      <c r="N86" s="3275"/>
      <c r="O86" s="3275"/>
      <c r="P86" s="3275"/>
      <c r="Q86" s="3275"/>
      <c r="R86" s="3275"/>
      <c r="S86" s="3275"/>
      <c r="T86" s="3275"/>
      <c r="U86" s="3275"/>
      <c r="V86" s="3275"/>
      <c r="W86" s="3275"/>
      <c r="X86" s="3275"/>
      <c r="Y86" s="3275"/>
      <c r="Z86" s="3275"/>
      <c r="AA86" s="3275"/>
      <c r="AB86" s="3275"/>
      <c r="AC86" s="3264">
        <f t="shared" si="10"/>
        <v>0</v>
      </c>
      <c r="AD86" s="3285"/>
      <c r="AE86" s="3285"/>
      <c r="AF86" s="3285"/>
      <c r="AG86" s="3285"/>
      <c r="AH86" s="3285"/>
      <c r="AI86" s="3285"/>
      <c r="AJ86" s="3285"/>
      <c r="AK86" s="3285"/>
      <c r="AL86" s="3285"/>
      <c r="AM86" s="3285"/>
      <c r="AN86" s="3285"/>
      <c r="AO86" s="3285"/>
      <c r="AP86" s="3285"/>
      <c r="AQ86" s="3285"/>
      <c r="AR86" s="3285"/>
      <c r="AS86" s="3285"/>
      <c r="AT86" s="3295"/>
      <c r="AU86" s="3296"/>
      <c r="AV86" s="830">
        <f t="shared" si="11"/>
        <v>0</v>
      </c>
      <c r="AW86" s="830">
        <f t="shared" si="12"/>
        <v>0</v>
      </c>
      <c r="AX86" s="830">
        <f t="shared" si="13"/>
        <v>0</v>
      </c>
      <c r="AY86" s="3310">
        <f t="shared" si="14"/>
        <v>0</v>
      </c>
      <c r="AZ86" s="3264">
        <f t="shared" si="15"/>
        <v>0</v>
      </c>
      <c r="BA86" s="3264">
        <f t="shared" si="16"/>
        <v>0</v>
      </c>
      <c r="BB86" s="3264">
        <f t="shared" si="17"/>
        <v>0</v>
      </c>
      <c r="BC86" s="3264">
        <f t="shared" si="18"/>
        <v>0</v>
      </c>
      <c r="BD86" s="3264">
        <f t="shared" si="19"/>
        <v>0</v>
      </c>
      <c r="BE86" s="3264">
        <f t="shared" si="20"/>
        <v>0</v>
      </c>
      <c r="BF86" s="3264">
        <f t="shared" si="21"/>
        <v>0</v>
      </c>
      <c r="BG86" s="3264">
        <f t="shared" si="22"/>
        <v>0</v>
      </c>
      <c r="BH86" s="3264">
        <f t="shared" si="23"/>
        <v>0</v>
      </c>
      <c r="BI86" s="3264">
        <f t="shared" si="24"/>
        <v>0</v>
      </c>
      <c r="BJ86" s="3264">
        <f t="shared" si="25"/>
        <v>0</v>
      </c>
      <c r="BK86" s="3264">
        <f t="shared" si="26"/>
        <v>0</v>
      </c>
      <c r="BL86" s="3264">
        <f t="shared" si="27"/>
        <v>0</v>
      </c>
      <c r="BM86" s="3264">
        <f t="shared" si="28"/>
        <v>0</v>
      </c>
      <c r="BN86" s="3264">
        <f t="shared" si="29"/>
        <v>0</v>
      </c>
      <c r="BO86" s="3264">
        <f t="shared" si="30"/>
        <v>0</v>
      </c>
      <c r="BP86" s="3264">
        <f t="shared" si="31"/>
        <v>0</v>
      </c>
      <c r="BQ86" s="3264">
        <f t="shared" si="32"/>
        <v>0</v>
      </c>
      <c r="BR86" s="3264">
        <f t="shared" si="33"/>
        <v>0</v>
      </c>
      <c r="BS86" s="3264">
        <f t="shared" si="34"/>
        <v>0</v>
      </c>
      <c r="BT86" s="3317">
        <f t="shared" si="35"/>
        <v>0</v>
      </c>
    </row>
    <row r="87" spans="1:72">
      <c r="A87" s="3262"/>
      <c r="B87" s="3263"/>
      <c r="C87" s="3263"/>
      <c r="D87" s="3268"/>
      <c r="E87" s="3264">
        <f t="shared" si="7"/>
        <v>0</v>
      </c>
      <c r="F87" s="3265"/>
      <c r="G87" s="3266">
        <f t="shared" si="8"/>
        <v>0</v>
      </c>
      <c r="H87" s="3267">
        <f t="shared" si="9"/>
        <v>0</v>
      </c>
      <c r="I87" s="3275"/>
      <c r="J87" s="3275"/>
      <c r="K87" s="3275"/>
      <c r="L87" s="3275"/>
      <c r="M87" s="3275"/>
      <c r="N87" s="3275"/>
      <c r="O87" s="3275"/>
      <c r="P87" s="3275"/>
      <c r="Q87" s="3275"/>
      <c r="R87" s="3275"/>
      <c r="S87" s="3275"/>
      <c r="T87" s="3275"/>
      <c r="U87" s="3275"/>
      <c r="V87" s="3275"/>
      <c r="W87" s="3275"/>
      <c r="X87" s="3275"/>
      <c r="Y87" s="3275"/>
      <c r="Z87" s="3275"/>
      <c r="AA87" s="3275"/>
      <c r="AB87" s="3275"/>
      <c r="AC87" s="3264">
        <f t="shared" si="10"/>
        <v>0</v>
      </c>
      <c r="AD87" s="3285"/>
      <c r="AE87" s="3285"/>
      <c r="AF87" s="3285"/>
      <c r="AG87" s="3285"/>
      <c r="AH87" s="3285"/>
      <c r="AI87" s="3285"/>
      <c r="AJ87" s="3285"/>
      <c r="AK87" s="3285"/>
      <c r="AL87" s="3285"/>
      <c r="AM87" s="3285"/>
      <c r="AN87" s="3285"/>
      <c r="AO87" s="3285"/>
      <c r="AP87" s="3285"/>
      <c r="AQ87" s="3285"/>
      <c r="AR87" s="3285"/>
      <c r="AS87" s="3285"/>
      <c r="AT87" s="3295"/>
      <c r="AU87" s="3296"/>
      <c r="AV87" s="830">
        <f t="shared" si="11"/>
        <v>0</v>
      </c>
      <c r="AW87" s="830">
        <f t="shared" si="12"/>
        <v>0</v>
      </c>
      <c r="AX87" s="830">
        <f t="shared" si="13"/>
        <v>0</v>
      </c>
      <c r="AY87" s="3310">
        <f t="shared" si="14"/>
        <v>0</v>
      </c>
      <c r="AZ87" s="3264">
        <f t="shared" si="15"/>
        <v>0</v>
      </c>
      <c r="BA87" s="3264">
        <f t="shared" si="16"/>
        <v>0</v>
      </c>
      <c r="BB87" s="3264">
        <f t="shared" si="17"/>
        <v>0</v>
      </c>
      <c r="BC87" s="3264">
        <f t="shared" si="18"/>
        <v>0</v>
      </c>
      <c r="BD87" s="3264">
        <f t="shared" si="19"/>
        <v>0</v>
      </c>
      <c r="BE87" s="3264">
        <f t="shared" si="20"/>
        <v>0</v>
      </c>
      <c r="BF87" s="3264">
        <f t="shared" si="21"/>
        <v>0</v>
      </c>
      <c r="BG87" s="3264">
        <f t="shared" si="22"/>
        <v>0</v>
      </c>
      <c r="BH87" s="3264">
        <f t="shared" si="23"/>
        <v>0</v>
      </c>
      <c r="BI87" s="3264">
        <f t="shared" si="24"/>
        <v>0</v>
      </c>
      <c r="BJ87" s="3264">
        <f t="shared" si="25"/>
        <v>0</v>
      </c>
      <c r="BK87" s="3264">
        <f t="shared" si="26"/>
        <v>0</v>
      </c>
      <c r="BL87" s="3264">
        <f t="shared" si="27"/>
        <v>0</v>
      </c>
      <c r="BM87" s="3264">
        <f t="shared" si="28"/>
        <v>0</v>
      </c>
      <c r="BN87" s="3264">
        <f t="shared" si="29"/>
        <v>0</v>
      </c>
      <c r="BO87" s="3264">
        <f t="shared" si="30"/>
        <v>0</v>
      </c>
      <c r="BP87" s="3264">
        <f t="shared" si="31"/>
        <v>0</v>
      </c>
      <c r="BQ87" s="3264">
        <f t="shared" si="32"/>
        <v>0</v>
      </c>
      <c r="BR87" s="3264">
        <f t="shared" si="33"/>
        <v>0</v>
      </c>
      <c r="BS87" s="3264">
        <f t="shared" si="34"/>
        <v>0</v>
      </c>
      <c r="BT87" s="3317">
        <f t="shared" si="35"/>
        <v>0</v>
      </c>
    </row>
    <row r="88" spans="1:72">
      <c r="A88" s="3262"/>
      <c r="B88" s="3263"/>
      <c r="C88" s="3263"/>
      <c r="D88" s="3268"/>
      <c r="E88" s="3264">
        <f t="shared" si="7"/>
        <v>0</v>
      </c>
      <c r="F88" s="3265"/>
      <c r="G88" s="3266">
        <f t="shared" si="8"/>
        <v>0</v>
      </c>
      <c r="H88" s="3267">
        <f t="shared" si="9"/>
        <v>0</v>
      </c>
      <c r="I88" s="3275"/>
      <c r="J88" s="3275"/>
      <c r="K88" s="3275"/>
      <c r="L88" s="3275"/>
      <c r="M88" s="3275"/>
      <c r="N88" s="3275"/>
      <c r="O88" s="3275"/>
      <c r="P88" s="3275"/>
      <c r="Q88" s="3275"/>
      <c r="R88" s="3275"/>
      <c r="S88" s="3275"/>
      <c r="T88" s="3275"/>
      <c r="U88" s="3275"/>
      <c r="V88" s="3275"/>
      <c r="W88" s="3275"/>
      <c r="X88" s="3275"/>
      <c r="Y88" s="3275"/>
      <c r="Z88" s="3275"/>
      <c r="AA88" s="3275"/>
      <c r="AB88" s="3275"/>
      <c r="AC88" s="3264">
        <f t="shared" si="10"/>
        <v>0</v>
      </c>
      <c r="AD88" s="3285"/>
      <c r="AE88" s="3285"/>
      <c r="AF88" s="3285"/>
      <c r="AG88" s="3285"/>
      <c r="AH88" s="3285"/>
      <c r="AI88" s="3285"/>
      <c r="AJ88" s="3285"/>
      <c r="AK88" s="3285"/>
      <c r="AL88" s="3285"/>
      <c r="AM88" s="3285"/>
      <c r="AN88" s="3285"/>
      <c r="AO88" s="3285"/>
      <c r="AP88" s="3285"/>
      <c r="AQ88" s="3285"/>
      <c r="AR88" s="3285"/>
      <c r="AS88" s="3285"/>
      <c r="AT88" s="3295"/>
      <c r="AU88" s="3296"/>
      <c r="AV88" s="830">
        <f t="shared" si="11"/>
        <v>0</v>
      </c>
      <c r="AW88" s="830">
        <f t="shared" si="12"/>
        <v>0</v>
      </c>
      <c r="AX88" s="830">
        <f t="shared" si="13"/>
        <v>0</v>
      </c>
      <c r="AY88" s="3310">
        <f t="shared" si="14"/>
        <v>0</v>
      </c>
      <c r="AZ88" s="3264">
        <f t="shared" si="15"/>
        <v>0</v>
      </c>
      <c r="BA88" s="3264">
        <f t="shared" si="16"/>
        <v>0</v>
      </c>
      <c r="BB88" s="3264">
        <f t="shared" si="17"/>
        <v>0</v>
      </c>
      <c r="BC88" s="3264">
        <f t="shared" si="18"/>
        <v>0</v>
      </c>
      <c r="BD88" s="3264">
        <f t="shared" si="19"/>
        <v>0</v>
      </c>
      <c r="BE88" s="3264">
        <f t="shared" si="20"/>
        <v>0</v>
      </c>
      <c r="BF88" s="3264">
        <f t="shared" si="21"/>
        <v>0</v>
      </c>
      <c r="BG88" s="3264">
        <f t="shared" si="22"/>
        <v>0</v>
      </c>
      <c r="BH88" s="3264">
        <f t="shared" si="23"/>
        <v>0</v>
      </c>
      <c r="BI88" s="3264">
        <f t="shared" si="24"/>
        <v>0</v>
      </c>
      <c r="BJ88" s="3264">
        <f t="shared" si="25"/>
        <v>0</v>
      </c>
      <c r="BK88" s="3264">
        <f t="shared" si="26"/>
        <v>0</v>
      </c>
      <c r="BL88" s="3264">
        <f t="shared" si="27"/>
        <v>0</v>
      </c>
      <c r="BM88" s="3264">
        <f t="shared" si="28"/>
        <v>0</v>
      </c>
      <c r="BN88" s="3264">
        <f t="shared" si="29"/>
        <v>0</v>
      </c>
      <c r="BO88" s="3264">
        <f t="shared" si="30"/>
        <v>0</v>
      </c>
      <c r="BP88" s="3264">
        <f t="shared" si="31"/>
        <v>0</v>
      </c>
      <c r="BQ88" s="3264">
        <f t="shared" si="32"/>
        <v>0</v>
      </c>
      <c r="BR88" s="3264">
        <f t="shared" si="33"/>
        <v>0</v>
      </c>
      <c r="BS88" s="3264">
        <f t="shared" si="34"/>
        <v>0</v>
      </c>
      <c r="BT88" s="3317">
        <f t="shared" si="35"/>
        <v>0</v>
      </c>
    </row>
    <row r="89" spans="1:72">
      <c r="A89" s="3262"/>
      <c r="B89" s="3263"/>
      <c r="C89" s="3263"/>
      <c r="D89" s="3268"/>
      <c r="E89" s="3264">
        <f t="shared" si="7"/>
        <v>0</v>
      </c>
      <c r="F89" s="3265"/>
      <c r="G89" s="3266">
        <f t="shared" si="8"/>
        <v>0</v>
      </c>
      <c r="H89" s="3267">
        <f t="shared" si="9"/>
        <v>0</v>
      </c>
      <c r="I89" s="3275"/>
      <c r="J89" s="3275"/>
      <c r="K89" s="3275"/>
      <c r="L89" s="3275"/>
      <c r="M89" s="3275"/>
      <c r="N89" s="3275"/>
      <c r="O89" s="3275"/>
      <c r="P89" s="3275"/>
      <c r="Q89" s="3275"/>
      <c r="R89" s="3275"/>
      <c r="S89" s="3275"/>
      <c r="T89" s="3275"/>
      <c r="U89" s="3275"/>
      <c r="V89" s="3275"/>
      <c r="W89" s="3275"/>
      <c r="X89" s="3275"/>
      <c r="Y89" s="3275"/>
      <c r="Z89" s="3275"/>
      <c r="AA89" s="3275"/>
      <c r="AB89" s="3275"/>
      <c r="AC89" s="3264">
        <f t="shared" si="10"/>
        <v>0</v>
      </c>
      <c r="AD89" s="3285"/>
      <c r="AE89" s="3285"/>
      <c r="AF89" s="3285"/>
      <c r="AG89" s="3285"/>
      <c r="AH89" s="3285"/>
      <c r="AI89" s="3285"/>
      <c r="AJ89" s="3285"/>
      <c r="AK89" s="3285"/>
      <c r="AL89" s="3285"/>
      <c r="AM89" s="3285"/>
      <c r="AN89" s="3285"/>
      <c r="AO89" s="3285"/>
      <c r="AP89" s="3285"/>
      <c r="AQ89" s="3285"/>
      <c r="AR89" s="3285"/>
      <c r="AS89" s="3285"/>
      <c r="AT89" s="3295"/>
      <c r="AU89" s="3296"/>
      <c r="AV89" s="830">
        <f t="shared" si="11"/>
        <v>0</v>
      </c>
      <c r="AW89" s="830">
        <f t="shared" si="12"/>
        <v>0</v>
      </c>
      <c r="AX89" s="830">
        <f t="shared" si="13"/>
        <v>0</v>
      </c>
      <c r="AY89" s="3310">
        <f t="shared" si="14"/>
        <v>0</v>
      </c>
      <c r="AZ89" s="3264">
        <f t="shared" si="15"/>
        <v>0</v>
      </c>
      <c r="BA89" s="3264">
        <f t="shared" si="16"/>
        <v>0</v>
      </c>
      <c r="BB89" s="3264">
        <f t="shared" si="17"/>
        <v>0</v>
      </c>
      <c r="BC89" s="3264">
        <f t="shared" si="18"/>
        <v>0</v>
      </c>
      <c r="BD89" s="3264">
        <f t="shared" si="19"/>
        <v>0</v>
      </c>
      <c r="BE89" s="3264">
        <f t="shared" si="20"/>
        <v>0</v>
      </c>
      <c r="BF89" s="3264">
        <f t="shared" si="21"/>
        <v>0</v>
      </c>
      <c r="BG89" s="3264">
        <f t="shared" si="22"/>
        <v>0</v>
      </c>
      <c r="BH89" s="3264">
        <f t="shared" si="23"/>
        <v>0</v>
      </c>
      <c r="BI89" s="3264">
        <f t="shared" si="24"/>
        <v>0</v>
      </c>
      <c r="BJ89" s="3264">
        <f t="shared" si="25"/>
        <v>0</v>
      </c>
      <c r="BK89" s="3264">
        <f t="shared" si="26"/>
        <v>0</v>
      </c>
      <c r="BL89" s="3264">
        <f t="shared" si="27"/>
        <v>0</v>
      </c>
      <c r="BM89" s="3264">
        <f t="shared" si="28"/>
        <v>0</v>
      </c>
      <c r="BN89" s="3264">
        <f t="shared" si="29"/>
        <v>0</v>
      </c>
      <c r="BO89" s="3264">
        <f t="shared" si="30"/>
        <v>0</v>
      </c>
      <c r="BP89" s="3264">
        <f t="shared" si="31"/>
        <v>0</v>
      </c>
      <c r="BQ89" s="3264">
        <f t="shared" si="32"/>
        <v>0</v>
      </c>
      <c r="BR89" s="3264">
        <f t="shared" si="33"/>
        <v>0</v>
      </c>
      <c r="BS89" s="3264">
        <f t="shared" si="34"/>
        <v>0</v>
      </c>
      <c r="BT89" s="3317">
        <f t="shared" si="35"/>
        <v>0</v>
      </c>
    </row>
    <row r="90" spans="1:72">
      <c r="A90" s="3262"/>
      <c r="B90" s="3263"/>
      <c r="C90" s="3263"/>
      <c r="D90" s="3268"/>
      <c r="E90" s="3264">
        <f t="shared" si="7"/>
        <v>0</v>
      </c>
      <c r="F90" s="3265"/>
      <c r="G90" s="3266">
        <f t="shared" si="8"/>
        <v>0</v>
      </c>
      <c r="H90" s="3267">
        <f t="shared" si="9"/>
        <v>0</v>
      </c>
      <c r="I90" s="3275"/>
      <c r="J90" s="3275"/>
      <c r="K90" s="3275"/>
      <c r="L90" s="3275"/>
      <c r="M90" s="3275"/>
      <c r="N90" s="3275"/>
      <c r="O90" s="3275"/>
      <c r="P90" s="3275"/>
      <c r="Q90" s="3275"/>
      <c r="R90" s="3275"/>
      <c r="S90" s="3275"/>
      <c r="T90" s="3275"/>
      <c r="U90" s="3275"/>
      <c r="V90" s="3275"/>
      <c r="W90" s="3275"/>
      <c r="X90" s="3275"/>
      <c r="Y90" s="3275"/>
      <c r="Z90" s="3275"/>
      <c r="AA90" s="3275"/>
      <c r="AB90" s="3275"/>
      <c r="AC90" s="3264">
        <f t="shared" si="10"/>
        <v>0</v>
      </c>
      <c r="AD90" s="3285"/>
      <c r="AE90" s="3285"/>
      <c r="AF90" s="3285"/>
      <c r="AG90" s="3285"/>
      <c r="AH90" s="3285"/>
      <c r="AI90" s="3285"/>
      <c r="AJ90" s="3285"/>
      <c r="AK90" s="3285"/>
      <c r="AL90" s="3285"/>
      <c r="AM90" s="3285"/>
      <c r="AN90" s="3285"/>
      <c r="AO90" s="3285"/>
      <c r="AP90" s="3285"/>
      <c r="AQ90" s="3285"/>
      <c r="AR90" s="3285"/>
      <c r="AS90" s="3285"/>
      <c r="AT90" s="3295"/>
      <c r="AU90" s="3296"/>
      <c r="AV90" s="830">
        <f t="shared" si="11"/>
        <v>0</v>
      </c>
      <c r="AW90" s="830">
        <f t="shared" si="12"/>
        <v>0</v>
      </c>
      <c r="AX90" s="830">
        <f t="shared" si="13"/>
        <v>0</v>
      </c>
      <c r="AY90" s="3310">
        <f t="shared" si="14"/>
        <v>0</v>
      </c>
      <c r="AZ90" s="3264">
        <f t="shared" si="15"/>
        <v>0</v>
      </c>
      <c r="BA90" s="3264">
        <f t="shared" si="16"/>
        <v>0</v>
      </c>
      <c r="BB90" s="3264">
        <f t="shared" si="17"/>
        <v>0</v>
      </c>
      <c r="BC90" s="3264">
        <f t="shared" si="18"/>
        <v>0</v>
      </c>
      <c r="BD90" s="3264">
        <f t="shared" si="19"/>
        <v>0</v>
      </c>
      <c r="BE90" s="3264">
        <f t="shared" si="20"/>
        <v>0</v>
      </c>
      <c r="BF90" s="3264">
        <f t="shared" si="21"/>
        <v>0</v>
      </c>
      <c r="BG90" s="3264">
        <f t="shared" si="22"/>
        <v>0</v>
      </c>
      <c r="BH90" s="3264">
        <f t="shared" si="23"/>
        <v>0</v>
      </c>
      <c r="BI90" s="3264">
        <f t="shared" si="24"/>
        <v>0</v>
      </c>
      <c r="BJ90" s="3264">
        <f t="shared" si="25"/>
        <v>0</v>
      </c>
      <c r="BK90" s="3264">
        <f t="shared" si="26"/>
        <v>0</v>
      </c>
      <c r="BL90" s="3264">
        <f t="shared" si="27"/>
        <v>0</v>
      </c>
      <c r="BM90" s="3264">
        <f t="shared" si="28"/>
        <v>0</v>
      </c>
      <c r="BN90" s="3264">
        <f t="shared" si="29"/>
        <v>0</v>
      </c>
      <c r="BO90" s="3264">
        <f t="shared" si="30"/>
        <v>0</v>
      </c>
      <c r="BP90" s="3264">
        <f t="shared" si="31"/>
        <v>0</v>
      </c>
      <c r="BQ90" s="3264">
        <f t="shared" si="32"/>
        <v>0</v>
      </c>
      <c r="BR90" s="3264">
        <f t="shared" si="33"/>
        <v>0</v>
      </c>
      <c r="BS90" s="3264">
        <f t="shared" si="34"/>
        <v>0</v>
      </c>
      <c r="BT90" s="3317">
        <f t="shared" si="35"/>
        <v>0</v>
      </c>
    </row>
    <row r="91" spans="1:72">
      <c r="A91" s="3262"/>
      <c r="B91" s="3263"/>
      <c r="C91" s="3263"/>
      <c r="D91" s="3268"/>
      <c r="E91" s="3264">
        <f t="shared" si="7"/>
        <v>0</v>
      </c>
      <c r="F91" s="3265"/>
      <c r="G91" s="3266">
        <f t="shared" si="8"/>
        <v>0</v>
      </c>
      <c r="H91" s="3267">
        <f t="shared" si="9"/>
        <v>0</v>
      </c>
      <c r="I91" s="3275"/>
      <c r="J91" s="3275"/>
      <c r="K91" s="3275"/>
      <c r="L91" s="3275"/>
      <c r="M91" s="3275"/>
      <c r="N91" s="3275"/>
      <c r="O91" s="3275"/>
      <c r="P91" s="3275"/>
      <c r="Q91" s="3275"/>
      <c r="R91" s="3275"/>
      <c r="S91" s="3275"/>
      <c r="T91" s="3275"/>
      <c r="U91" s="3275"/>
      <c r="V91" s="3275"/>
      <c r="W91" s="3275"/>
      <c r="X91" s="3275"/>
      <c r="Y91" s="3275"/>
      <c r="Z91" s="3275"/>
      <c r="AA91" s="3275"/>
      <c r="AB91" s="3275"/>
      <c r="AC91" s="3264">
        <f t="shared" si="10"/>
        <v>0</v>
      </c>
      <c r="AD91" s="3285"/>
      <c r="AE91" s="3285"/>
      <c r="AF91" s="3285"/>
      <c r="AG91" s="3285"/>
      <c r="AH91" s="3285"/>
      <c r="AI91" s="3285"/>
      <c r="AJ91" s="3285"/>
      <c r="AK91" s="3285"/>
      <c r="AL91" s="3285"/>
      <c r="AM91" s="3285"/>
      <c r="AN91" s="3285"/>
      <c r="AO91" s="3285"/>
      <c r="AP91" s="3285"/>
      <c r="AQ91" s="3285"/>
      <c r="AR91" s="3285"/>
      <c r="AS91" s="3285"/>
      <c r="AT91" s="3295"/>
      <c r="AU91" s="3296"/>
      <c r="AV91" s="830">
        <f t="shared" si="11"/>
        <v>0</v>
      </c>
      <c r="AW91" s="830">
        <f t="shared" si="12"/>
        <v>0</v>
      </c>
      <c r="AX91" s="830">
        <f t="shared" si="13"/>
        <v>0</v>
      </c>
      <c r="AY91" s="3310">
        <f t="shared" si="14"/>
        <v>0</v>
      </c>
      <c r="AZ91" s="3264">
        <f t="shared" si="15"/>
        <v>0</v>
      </c>
      <c r="BA91" s="3264">
        <f t="shared" si="16"/>
        <v>0</v>
      </c>
      <c r="BB91" s="3264">
        <f t="shared" si="17"/>
        <v>0</v>
      </c>
      <c r="BC91" s="3264">
        <f t="shared" si="18"/>
        <v>0</v>
      </c>
      <c r="BD91" s="3264">
        <f t="shared" si="19"/>
        <v>0</v>
      </c>
      <c r="BE91" s="3264">
        <f t="shared" si="20"/>
        <v>0</v>
      </c>
      <c r="BF91" s="3264">
        <f t="shared" si="21"/>
        <v>0</v>
      </c>
      <c r="BG91" s="3264">
        <f t="shared" si="22"/>
        <v>0</v>
      </c>
      <c r="BH91" s="3264">
        <f t="shared" si="23"/>
        <v>0</v>
      </c>
      <c r="BI91" s="3264">
        <f t="shared" si="24"/>
        <v>0</v>
      </c>
      <c r="BJ91" s="3264">
        <f t="shared" si="25"/>
        <v>0</v>
      </c>
      <c r="BK91" s="3264">
        <f t="shared" si="26"/>
        <v>0</v>
      </c>
      <c r="BL91" s="3264">
        <f t="shared" si="27"/>
        <v>0</v>
      </c>
      <c r="BM91" s="3264">
        <f t="shared" si="28"/>
        <v>0</v>
      </c>
      <c r="BN91" s="3264">
        <f t="shared" si="29"/>
        <v>0</v>
      </c>
      <c r="BO91" s="3264">
        <f t="shared" si="30"/>
        <v>0</v>
      </c>
      <c r="BP91" s="3264">
        <f t="shared" si="31"/>
        <v>0</v>
      </c>
      <c r="BQ91" s="3264">
        <f t="shared" si="32"/>
        <v>0</v>
      </c>
      <c r="BR91" s="3264">
        <f t="shared" si="33"/>
        <v>0</v>
      </c>
      <c r="BS91" s="3264">
        <f t="shared" si="34"/>
        <v>0</v>
      </c>
      <c r="BT91" s="3317">
        <f t="shared" si="35"/>
        <v>0</v>
      </c>
    </row>
    <row r="92" spans="1:72">
      <c r="A92" s="3262"/>
      <c r="B92" s="3263"/>
      <c r="C92" s="3263"/>
      <c r="D92" s="3268"/>
      <c r="E92" s="3264">
        <f t="shared" si="7"/>
        <v>0</v>
      </c>
      <c r="F92" s="3265"/>
      <c r="G92" s="3266">
        <f t="shared" si="8"/>
        <v>0</v>
      </c>
      <c r="H92" s="3267">
        <f t="shared" si="9"/>
        <v>0</v>
      </c>
      <c r="I92" s="3275"/>
      <c r="J92" s="3275"/>
      <c r="K92" s="3275"/>
      <c r="L92" s="3275"/>
      <c r="M92" s="3275"/>
      <c r="N92" s="3275"/>
      <c r="O92" s="3275"/>
      <c r="P92" s="3275"/>
      <c r="Q92" s="3275"/>
      <c r="R92" s="3275"/>
      <c r="S92" s="3275"/>
      <c r="T92" s="3275"/>
      <c r="U92" s="3275"/>
      <c r="V92" s="3275"/>
      <c r="W92" s="3275"/>
      <c r="X92" s="3275"/>
      <c r="Y92" s="3275"/>
      <c r="Z92" s="3275"/>
      <c r="AA92" s="3275"/>
      <c r="AB92" s="3275"/>
      <c r="AC92" s="3264">
        <f t="shared" si="10"/>
        <v>0</v>
      </c>
      <c r="AD92" s="3285"/>
      <c r="AE92" s="3285"/>
      <c r="AF92" s="3285"/>
      <c r="AG92" s="3285"/>
      <c r="AH92" s="3285"/>
      <c r="AI92" s="3285"/>
      <c r="AJ92" s="3285"/>
      <c r="AK92" s="3285"/>
      <c r="AL92" s="3285"/>
      <c r="AM92" s="3285"/>
      <c r="AN92" s="3285"/>
      <c r="AO92" s="3285"/>
      <c r="AP92" s="3285"/>
      <c r="AQ92" s="3285"/>
      <c r="AR92" s="3285"/>
      <c r="AS92" s="3285"/>
      <c r="AT92" s="3295"/>
      <c r="AU92" s="3296"/>
      <c r="AV92" s="830">
        <f t="shared" si="11"/>
        <v>0</v>
      </c>
      <c r="AW92" s="830">
        <f t="shared" si="12"/>
        <v>0</v>
      </c>
      <c r="AX92" s="830">
        <f t="shared" si="13"/>
        <v>0</v>
      </c>
      <c r="AY92" s="3310">
        <f t="shared" si="14"/>
        <v>0</v>
      </c>
      <c r="AZ92" s="3264">
        <f t="shared" si="15"/>
        <v>0</v>
      </c>
      <c r="BA92" s="3264">
        <f t="shared" si="16"/>
        <v>0</v>
      </c>
      <c r="BB92" s="3264">
        <f t="shared" si="17"/>
        <v>0</v>
      </c>
      <c r="BC92" s="3264">
        <f t="shared" si="18"/>
        <v>0</v>
      </c>
      <c r="BD92" s="3264">
        <f t="shared" si="19"/>
        <v>0</v>
      </c>
      <c r="BE92" s="3264">
        <f t="shared" si="20"/>
        <v>0</v>
      </c>
      <c r="BF92" s="3264">
        <f t="shared" si="21"/>
        <v>0</v>
      </c>
      <c r="BG92" s="3264">
        <f t="shared" si="22"/>
        <v>0</v>
      </c>
      <c r="BH92" s="3264">
        <f t="shared" si="23"/>
        <v>0</v>
      </c>
      <c r="BI92" s="3264">
        <f t="shared" si="24"/>
        <v>0</v>
      </c>
      <c r="BJ92" s="3264">
        <f t="shared" si="25"/>
        <v>0</v>
      </c>
      <c r="BK92" s="3264">
        <f t="shared" si="26"/>
        <v>0</v>
      </c>
      <c r="BL92" s="3264">
        <f t="shared" si="27"/>
        <v>0</v>
      </c>
      <c r="BM92" s="3264">
        <f t="shared" si="28"/>
        <v>0</v>
      </c>
      <c r="BN92" s="3264">
        <f t="shared" si="29"/>
        <v>0</v>
      </c>
      <c r="BO92" s="3264">
        <f t="shared" si="30"/>
        <v>0</v>
      </c>
      <c r="BP92" s="3264">
        <f t="shared" si="31"/>
        <v>0</v>
      </c>
      <c r="BQ92" s="3264">
        <f t="shared" si="32"/>
        <v>0</v>
      </c>
      <c r="BR92" s="3264">
        <f t="shared" si="33"/>
        <v>0</v>
      </c>
      <c r="BS92" s="3264">
        <f t="shared" si="34"/>
        <v>0</v>
      </c>
      <c r="BT92" s="3317">
        <f t="shared" si="35"/>
        <v>0</v>
      </c>
    </row>
    <row r="93" spans="1:72">
      <c r="A93" s="3262"/>
      <c r="B93" s="3263"/>
      <c r="C93" s="3263"/>
      <c r="D93" s="3268"/>
      <c r="E93" s="3264">
        <f t="shared" si="7"/>
        <v>0</v>
      </c>
      <c r="F93" s="3265"/>
      <c r="G93" s="3266">
        <f t="shared" si="8"/>
        <v>0</v>
      </c>
      <c r="H93" s="3267">
        <f t="shared" si="9"/>
        <v>0</v>
      </c>
      <c r="I93" s="3275"/>
      <c r="J93" s="3275"/>
      <c r="K93" s="3275"/>
      <c r="L93" s="3275"/>
      <c r="M93" s="3275"/>
      <c r="N93" s="3275"/>
      <c r="O93" s="3275"/>
      <c r="P93" s="3275"/>
      <c r="Q93" s="3275"/>
      <c r="R93" s="3275"/>
      <c r="S93" s="3275"/>
      <c r="T93" s="3275"/>
      <c r="U93" s="3275"/>
      <c r="V93" s="3275"/>
      <c r="W93" s="3275"/>
      <c r="X93" s="3275"/>
      <c r="Y93" s="3275"/>
      <c r="Z93" s="3275"/>
      <c r="AA93" s="3275"/>
      <c r="AB93" s="3275"/>
      <c r="AC93" s="3264">
        <f t="shared" si="10"/>
        <v>0</v>
      </c>
      <c r="AD93" s="3285"/>
      <c r="AE93" s="3285"/>
      <c r="AF93" s="3285"/>
      <c r="AG93" s="3285"/>
      <c r="AH93" s="3285"/>
      <c r="AI93" s="3285"/>
      <c r="AJ93" s="3285"/>
      <c r="AK93" s="3285"/>
      <c r="AL93" s="3285"/>
      <c r="AM93" s="3285"/>
      <c r="AN93" s="3285"/>
      <c r="AO93" s="3285"/>
      <c r="AP93" s="3285"/>
      <c r="AQ93" s="3285"/>
      <c r="AR93" s="3285"/>
      <c r="AS93" s="3285"/>
      <c r="AT93" s="3295"/>
      <c r="AU93" s="3296"/>
      <c r="AV93" s="830">
        <f t="shared" si="11"/>
        <v>0</v>
      </c>
      <c r="AW93" s="830">
        <f t="shared" si="12"/>
        <v>0</v>
      </c>
      <c r="AX93" s="830">
        <f t="shared" si="13"/>
        <v>0</v>
      </c>
      <c r="AY93" s="3310">
        <f t="shared" si="14"/>
        <v>0</v>
      </c>
      <c r="AZ93" s="3264">
        <f t="shared" si="15"/>
        <v>0</v>
      </c>
      <c r="BA93" s="3264">
        <f t="shared" si="16"/>
        <v>0</v>
      </c>
      <c r="BB93" s="3264">
        <f t="shared" si="17"/>
        <v>0</v>
      </c>
      <c r="BC93" s="3264">
        <f t="shared" si="18"/>
        <v>0</v>
      </c>
      <c r="BD93" s="3264">
        <f t="shared" si="19"/>
        <v>0</v>
      </c>
      <c r="BE93" s="3264">
        <f t="shared" si="20"/>
        <v>0</v>
      </c>
      <c r="BF93" s="3264">
        <f t="shared" si="21"/>
        <v>0</v>
      </c>
      <c r="BG93" s="3264">
        <f t="shared" si="22"/>
        <v>0</v>
      </c>
      <c r="BH93" s="3264">
        <f t="shared" si="23"/>
        <v>0</v>
      </c>
      <c r="BI93" s="3264">
        <f t="shared" si="24"/>
        <v>0</v>
      </c>
      <c r="BJ93" s="3264">
        <f t="shared" si="25"/>
        <v>0</v>
      </c>
      <c r="BK93" s="3264">
        <f t="shared" si="26"/>
        <v>0</v>
      </c>
      <c r="BL93" s="3264">
        <f t="shared" si="27"/>
        <v>0</v>
      </c>
      <c r="BM93" s="3264">
        <f t="shared" si="28"/>
        <v>0</v>
      </c>
      <c r="BN93" s="3264">
        <f t="shared" si="29"/>
        <v>0</v>
      </c>
      <c r="BO93" s="3264">
        <f t="shared" si="30"/>
        <v>0</v>
      </c>
      <c r="BP93" s="3264">
        <f t="shared" si="31"/>
        <v>0</v>
      </c>
      <c r="BQ93" s="3264">
        <f t="shared" si="32"/>
        <v>0</v>
      </c>
      <c r="BR93" s="3264">
        <f t="shared" si="33"/>
        <v>0</v>
      </c>
      <c r="BS93" s="3264">
        <f t="shared" si="34"/>
        <v>0</v>
      </c>
      <c r="BT93" s="3317">
        <f t="shared" si="35"/>
        <v>0</v>
      </c>
    </row>
    <row r="94" spans="1:72">
      <c r="A94" s="3262"/>
      <c r="B94" s="3263"/>
      <c r="C94" s="3263"/>
      <c r="D94" s="3268"/>
      <c r="E94" s="3264">
        <f t="shared" si="7"/>
        <v>0</v>
      </c>
      <c r="F94" s="3265"/>
      <c r="G94" s="3266">
        <f t="shared" si="8"/>
        <v>0</v>
      </c>
      <c r="H94" s="3267">
        <f t="shared" si="9"/>
        <v>0</v>
      </c>
      <c r="I94" s="3275"/>
      <c r="J94" s="3275"/>
      <c r="K94" s="3275"/>
      <c r="L94" s="3275"/>
      <c r="M94" s="3275"/>
      <c r="N94" s="3275"/>
      <c r="O94" s="3275"/>
      <c r="P94" s="3275"/>
      <c r="Q94" s="3275"/>
      <c r="R94" s="3275"/>
      <c r="S94" s="3275"/>
      <c r="T94" s="3275"/>
      <c r="U94" s="3275"/>
      <c r="V94" s="3275"/>
      <c r="W94" s="3275"/>
      <c r="X94" s="3275"/>
      <c r="Y94" s="3275"/>
      <c r="Z94" s="3275"/>
      <c r="AA94" s="3275"/>
      <c r="AB94" s="3275"/>
      <c r="AC94" s="3264">
        <f t="shared" si="10"/>
        <v>0</v>
      </c>
      <c r="AD94" s="3285"/>
      <c r="AE94" s="3285"/>
      <c r="AF94" s="3285"/>
      <c r="AG94" s="3285"/>
      <c r="AH94" s="3285"/>
      <c r="AI94" s="3285"/>
      <c r="AJ94" s="3285"/>
      <c r="AK94" s="3285"/>
      <c r="AL94" s="3285"/>
      <c r="AM94" s="3285"/>
      <c r="AN94" s="3285"/>
      <c r="AO94" s="3285"/>
      <c r="AP94" s="3285"/>
      <c r="AQ94" s="3285"/>
      <c r="AR94" s="3285"/>
      <c r="AS94" s="3285"/>
      <c r="AT94" s="3295"/>
      <c r="AU94" s="3296"/>
      <c r="AV94" s="830">
        <f t="shared" si="11"/>
        <v>0</v>
      </c>
      <c r="AW94" s="830">
        <f t="shared" si="12"/>
        <v>0</v>
      </c>
      <c r="AX94" s="830">
        <f t="shared" si="13"/>
        <v>0</v>
      </c>
      <c r="AY94" s="3310">
        <f t="shared" si="14"/>
        <v>0</v>
      </c>
      <c r="AZ94" s="3264">
        <f t="shared" si="15"/>
        <v>0</v>
      </c>
      <c r="BA94" s="3264">
        <f t="shared" si="16"/>
        <v>0</v>
      </c>
      <c r="BB94" s="3264">
        <f t="shared" si="17"/>
        <v>0</v>
      </c>
      <c r="BC94" s="3264">
        <f t="shared" si="18"/>
        <v>0</v>
      </c>
      <c r="BD94" s="3264">
        <f t="shared" si="19"/>
        <v>0</v>
      </c>
      <c r="BE94" s="3264">
        <f t="shared" si="20"/>
        <v>0</v>
      </c>
      <c r="BF94" s="3264">
        <f t="shared" si="21"/>
        <v>0</v>
      </c>
      <c r="BG94" s="3264">
        <f t="shared" si="22"/>
        <v>0</v>
      </c>
      <c r="BH94" s="3264">
        <f t="shared" si="23"/>
        <v>0</v>
      </c>
      <c r="BI94" s="3264">
        <f t="shared" si="24"/>
        <v>0</v>
      </c>
      <c r="BJ94" s="3264">
        <f t="shared" si="25"/>
        <v>0</v>
      </c>
      <c r="BK94" s="3264">
        <f t="shared" si="26"/>
        <v>0</v>
      </c>
      <c r="BL94" s="3264">
        <f t="shared" si="27"/>
        <v>0</v>
      </c>
      <c r="BM94" s="3264">
        <f t="shared" si="28"/>
        <v>0</v>
      </c>
      <c r="BN94" s="3264">
        <f t="shared" si="29"/>
        <v>0</v>
      </c>
      <c r="BO94" s="3264">
        <f t="shared" si="30"/>
        <v>0</v>
      </c>
      <c r="BP94" s="3264">
        <f t="shared" si="31"/>
        <v>0</v>
      </c>
      <c r="BQ94" s="3264">
        <f t="shared" si="32"/>
        <v>0</v>
      </c>
      <c r="BR94" s="3264">
        <f t="shared" si="33"/>
        <v>0</v>
      </c>
      <c r="BS94" s="3264">
        <f t="shared" si="34"/>
        <v>0</v>
      </c>
      <c r="BT94" s="3317">
        <f t="shared" si="35"/>
        <v>0</v>
      </c>
    </row>
    <row r="95" spans="1:72">
      <c r="A95" s="3262"/>
      <c r="B95" s="3263"/>
      <c r="C95" s="3263"/>
      <c r="D95" s="3268"/>
      <c r="E95" s="3264">
        <f t="shared" si="7"/>
        <v>0</v>
      </c>
      <c r="F95" s="3265"/>
      <c r="G95" s="3266">
        <f t="shared" si="8"/>
        <v>0</v>
      </c>
      <c r="H95" s="3267">
        <f t="shared" si="9"/>
        <v>0</v>
      </c>
      <c r="I95" s="3275"/>
      <c r="J95" s="3275"/>
      <c r="K95" s="3275"/>
      <c r="L95" s="3275"/>
      <c r="M95" s="3275"/>
      <c r="N95" s="3275"/>
      <c r="O95" s="3275"/>
      <c r="P95" s="3275"/>
      <c r="Q95" s="3275"/>
      <c r="R95" s="3275"/>
      <c r="S95" s="3275"/>
      <c r="T95" s="3275"/>
      <c r="U95" s="3275"/>
      <c r="V95" s="3275"/>
      <c r="W95" s="3275"/>
      <c r="X95" s="3275"/>
      <c r="Y95" s="3275"/>
      <c r="Z95" s="3275"/>
      <c r="AA95" s="3275"/>
      <c r="AB95" s="3275"/>
      <c r="AC95" s="3264">
        <f t="shared" si="10"/>
        <v>0</v>
      </c>
      <c r="AD95" s="3285"/>
      <c r="AE95" s="3285"/>
      <c r="AF95" s="3285"/>
      <c r="AG95" s="3285"/>
      <c r="AH95" s="3285"/>
      <c r="AI95" s="3285"/>
      <c r="AJ95" s="3285"/>
      <c r="AK95" s="3285"/>
      <c r="AL95" s="3285"/>
      <c r="AM95" s="3285"/>
      <c r="AN95" s="3285"/>
      <c r="AO95" s="3285"/>
      <c r="AP95" s="3285"/>
      <c r="AQ95" s="3285"/>
      <c r="AR95" s="3285"/>
      <c r="AS95" s="3285"/>
      <c r="AT95" s="3295"/>
      <c r="AU95" s="3296"/>
      <c r="AV95" s="830">
        <f t="shared" si="11"/>
        <v>0</v>
      </c>
      <c r="AW95" s="830">
        <f t="shared" si="12"/>
        <v>0</v>
      </c>
      <c r="AX95" s="830">
        <f t="shared" si="13"/>
        <v>0</v>
      </c>
      <c r="AY95" s="3310">
        <f t="shared" si="14"/>
        <v>0</v>
      </c>
      <c r="AZ95" s="3264">
        <f t="shared" si="15"/>
        <v>0</v>
      </c>
      <c r="BA95" s="3264">
        <f t="shared" si="16"/>
        <v>0</v>
      </c>
      <c r="BB95" s="3264">
        <f t="shared" si="17"/>
        <v>0</v>
      </c>
      <c r="BC95" s="3264">
        <f t="shared" si="18"/>
        <v>0</v>
      </c>
      <c r="BD95" s="3264">
        <f t="shared" si="19"/>
        <v>0</v>
      </c>
      <c r="BE95" s="3264">
        <f t="shared" si="20"/>
        <v>0</v>
      </c>
      <c r="BF95" s="3264">
        <f t="shared" si="21"/>
        <v>0</v>
      </c>
      <c r="BG95" s="3264">
        <f t="shared" si="22"/>
        <v>0</v>
      </c>
      <c r="BH95" s="3264">
        <f t="shared" si="23"/>
        <v>0</v>
      </c>
      <c r="BI95" s="3264">
        <f t="shared" si="24"/>
        <v>0</v>
      </c>
      <c r="BJ95" s="3264">
        <f t="shared" si="25"/>
        <v>0</v>
      </c>
      <c r="BK95" s="3264">
        <f t="shared" si="26"/>
        <v>0</v>
      </c>
      <c r="BL95" s="3264">
        <f t="shared" si="27"/>
        <v>0</v>
      </c>
      <c r="BM95" s="3264">
        <f t="shared" si="28"/>
        <v>0</v>
      </c>
      <c r="BN95" s="3264">
        <f t="shared" si="29"/>
        <v>0</v>
      </c>
      <c r="BO95" s="3264">
        <f t="shared" si="30"/>
        <v>0</v>
      </c>
      <c r="BP95" s="3264">
        <f t="shared" si="31"/>
        <v>0</v>
      </c>
      <c r="BQ95" s="3264">
        <f t="shared" si="32"/>
        <v>0</v>
      </c>
      <c r="BR95" s="3264">
        <f t="shared" si="33"/>
        <v>0</v>
      </c>
      <c r="BS95" s="3264">
        <f t="shared" si="34"/>
        <v>0</v>
      </c>
      <c r="BT95" s="3317">
        <f t="shared" si="35"/>
        <v>0</v>
      </c>
    </row>
    <row r="96" spans="1:72">
      <c r="A96" s="3262"/>
      <c r="B96" s="3263"/>
      <c r="C96" s="3263"/>
      <c r="D96" s="3268"/>
      <c r="E96" s="3264">
        <f t="shared" si="7"/>
        <v>0</v>
      </c>
      <c r="F96" s="3265"/>
      <c r="G96" s="3266">
        <f t="shared" si="8"/>
        <v>0</v>
      </c>
      <c r="H96" s="3267">
        <f t="shared" si="9"/>
        <v>0</v>
      </c>
      <c r="I96" s="3275"/>
      <c r="J96" s="3275"/>
      <c r="K96" s="3275"/>
      <c r="L96" s="3275"/>
      <c r="M96" s="3275"/>
      <c r="N96" s="3275"/>
      <c r="O96" s="3275"/>
      <c r="P96" s="3275"/>
      <c r="Q96" s="3275"/>
      <c r="R96" s="3275"/>
      <c r="S96" s="3275"/>
      <c r="T96" s="3275"/>
      <c r="U96" s="3275"/>
      <c r="V96" s="3275"/>
      <c r="W96" s="3275"/>
      <c r="X96" s="3275"/>
      <c r="Y96" s="3275"/>
      <c r="Z96" s="3275"/>
      <c r="AA96" s="3275"/>
      <c r="AB96" s="3275"/>
      <c r="AC96" s="3264">
        <f t="shared" si="10"/>
        <v>0</v>
      </c>
      <c r="AD96" s="3285"/>
      <c r="AE96" s="3285"/>
      <c r="AF96" s="3285"/>
      <c r="AG96" s="3285"/>
      <c r="AH96" s="3285"/>
      <c r="AI96" s="3285"/>
      <c r="AJ96" s="3285"/>
      <c r="AK96" s="3285"/>
      <c r="AL96" s="3285"/>
      <c r="AM96" s="3285"/>
      <c r="AN96" s="3285"/>
      <c r="AO96" s="3285"/>
      <c r="AP96" s="3285"/>
      <c r="AQ96" s="3285"/>
      <c r="AR96" s="3285"/>
      <c r="AS96" s="3285"/>
      <c r="AT96" s="3295"/>
      <c r="AU96" s="3296"/>
      <c r="AV96" s="830">
        <f t="shared" si="11"/>
        <v>0</v>
      </c>
      <c r="AW96" s="830">
        <f t="shared" si="12"/>
        <v>0</v>
      </c>
      <c r="AX96" s="830">
        <f t="shared" si="13"/>
        <v>0</v>
      </c>
      <c r="AY96" s="3310">
        <f t="shared" si="14"/>
        <v>0</v>
      </c>
      <c r="AZ96" s="3264">
        <f t="shared" si="15"/>
        <v>0</v>
      </c>
      <c r="BA96" s="3264">
        <f t="shared" si="16"/>
        <v>0</v>
      </c>
      <c r="BB96" s="3264">
        <f t="shared" si="17"/>
        <v>0</v>
      </c>
      <c r="BC96" s="3264">
        <f t="shared" si="18"/>
        <v>0</v>
      </c>
      <c r="BD96" s="3264">
        <f t="shared" si="19"/>
        <v>0</v>
      </c>
      <c r="BE96" s="3264">
        <f t="shared" si="20"/>
        <v>0</v>
      </c>
      <c r="BF96" s="3264">
        <f t="shared" si="21"/>
        <v>0</v>
      </c>
      <c r="BG96" s="3264">
        <f t="shared" si="22"/>
        <v>0</v>
      </c>
      <c r="BH96" s="3264">
        <f t="shared" si="23"/>
        <v>0</v>
      </c>
      <c r="BI96" s="3264">
        <f t="shared" si="24"/>
        <v>0</v>
      </c>
      <c r="BJ96" s="3264">
        <f t="shared" si="25"/>
        <v>0</v>
      </c>
      <c r="BK96" s="3264">
        <f t="shared" si="26"/>
        <v>0</v>
      </c>
      <c r="BL96" s="3264">
        <f t="shared" si="27"/>
        <v>0</v>
      </c>
      <c r="BM96" s="3264">
        <f t="shared" si="28"/>
        <v>0</v>
      </c>
      <c r="BN96" s="3264">
        <f t="shared" si="29"/>
        <v>0</v>
      </c>
      <c r="BO96" s="3264">
        <f t="shared" si="30"/>
        <v>0</v>
      </c>
      <c r="BP96" s="3264">
        <f t="shared" si="31"/>
        <v>0</v>
      </c>
      <c r="BQ96" s="3264">
        <f t="shared" si="32"/>
        <v>0</v>
      </c>
      <c r="BR96" s="3264">
        <f t="shared" si="33"/>
        <v>0</v>
      </c>
      <c r="BS96" s="3264">
        <f t="shared" si="34"/>
        <v>0</v>
      </c>
      <c r="BT96" s="3317">
        <f t="shared" si="35"/>
        <v>0</v>
      </c>
    </row>
    <row r="97" spans="1:72">
      <c r="A97" s="3262"/>
      <c r="B97" s="3263"/>
      <c r="C97" s="3263"/>
      <c r="D97" s="3268"/>
      <c r="E97" s="3264">
        <f t="shared" si="7"/>
        <v>0</v>
      </c>
      <c r="F97" s="3265"/>
      <c r="G97" s="3266">
        <f t="shared" si="8"/>
        <v>0</v>
      </c>
      <c r="H97" s="3267">
        <f t="shared" si="9"/>
        <v>0</v>
      </c>
      <c r="I97" s="3275"/>
      <c r="J97" s="3275"/>
      <c r="K97" s="3275"/>
      <c r="L97" s="3275"/>
      <c r="M97" s="3275"/>
      <c r="N97" s="3275"/>
      <c r="O97" s="3275"/>
      <c r="P97" s="3275"/>
      <c r="Q97" s="3275"/>
      <c r="R97" s="3275"/>
      <c r="S97" s="3275"/>
      <c r="T97" s="3275"/>
      <c r="U97" s="3275"/>
      <c r="V97" s="3275"/>
      <c r="W97" s="3275"/>
      <c r="X97" s="3275"/>
      <c r="Y97" s="3275"/>
      <c r="Z97" s="3275"/>
      <c r="AA97" s="3275"/>
      <c r="AB97" s="3275"/>
      <c r="AC97" s="3264">
        <f t="shared" si="10"/>
        <v>0</v>
      </c>
      <c r="AD97" s="3285"/>
      <c r="AE97" s="3285"/>
      <c r="AF97" s="3285"/>
      <c r="AG97" s="3285"/>
      <c r="AH97" s="3285"/>
      <c r="AI97" s="3285"/>
      <c r="AJ97" s="3285"/>
      <c r="AK97" s="3285"/>
      <c r="AL97" s="3285"/>
      <c r="AM97" s="3285"/>
      <c r="AN97" s="3285"/>
      <c r="AO97" s="3285"/>
      <c r="AP97" s="3285"/>
      <c r="AQ97" s="3285"/>
      <c r="AR97" s="3285"/>
      <c r="AS97" s="3285"/>
      <c r="AT97" s="3295"/>
      <c r="AU97" s="3296"/>
      <c r="AV97" s="830">
        <f t="shared" si="11"/>
        <v>0</v>
      </c>
      <c r="AW97" s="830">
        <f t="shared" si="12"/>
        <v>0</v>
      </c>
      <c r="AX97" s="830">
        <f t="shared" si="13"/>
        <v>0</v>
      </c>
      <c r="AY97" s="3310">
        <f t="shared" si="14"/>
        <v>0</v>
      </c>
      <c r="AZ97" s="3264">
        <f t="shared" si="15"/>
        <v>0</v>
      </c>
      <c r="BA97" s="3264">
        <f t="shared" si="16"/>
        <v>0</v>
      </c>
      <c r="BB97" s="3264">
        <f t="shared" si="17"/>
        <v>0</v>
      </c>
      <c r="BC97" s="3264">
        <f t="shared" si="18"/>
        <v>0</v>
      </c>
      <c r="BD97" s="3264">
        <f t="shared" si="19"/>
        <v>0</v>
      </c>
      <c r="BE97" s="3264">
        <f t="shared" si="20"/>
        <v>0</v>
      </c>
      <c r="BF97" s="3264">
        <f t="shared" si="21"/>
        <v>0</v>
      </c>
      <c r="BG97" s="3264">
        <f t="shared" si="22"/>
        <v>0</v>
      </c>
      <c r="BH97" s="3264">
        <f t="shared" si="23"/>
        <v>0</v>
      </c>
      <c r="BI97" s="3264">
        <f t="shared" si="24"/>
        <v>0</v>
      </c>
      <c r="BJ97" s="3264">
        <f t="shared" si="25"/>
        <v>0</v>
      </c>
      <c r="BK97" s="3264">
        <f t="shared" si="26"/>
        <v>0</v>
      </c>
      <c r="BL97" s="3264">
        <f t="shared" si="27"/>
        <v>0</v>
      </c>
      <c r="BM97" s="3264">
        <f t="shared" si="28"/>
        <v>0</v>
      </c>
      <c r="BN97" s="3264">
        <f t="shared" si="29"/>
        <v>0</v>
      </c>
      <c r="BO97" s="3264">
        <f t="shared" si="30"/>
        <v>0</v>
      </c>
      <c r="BP97" s="3264">
        <f t="shared" si="31"/>
        <v>0</v>
      </c>
      <c r="BQ97" s="3264">
        <f t="shared" si="32"/>
        <v>0</v>
      </c>
      <c r="BR97" s="3264">
        <f t="shared" si="33"/>
        <v>0</v>
      </c>
      <c r="BS97" s="3264">
        <f t="shared" si="34"/>
        <v>0</v>
      </c>
      <c r="BT97" s="3317">
        <f t="shared" si="35"/>
        <v>0</v>
      </c>
    </row>
    <row r="98" spans="1:72">
      <c r="A98" s="3262"/>
      <c r="B98" s="3263"/>
      <c r="C98" s="3263"/>
      <c r="D98" s="3268"/>
      <c r="E98" s="3264">
        <f t="shared" si="7"/>
        <v>0</v>
      </c>
      <c r="F98" s="3265"/>
      <c r="G98" s="3266">
        <f t="shared" si="8"/>
        <v>0</v>
      </c>
      <c r="H98" s="3267">
        <f t="shared" si="9"/>
        <v>0</v>
      </c>
      <c r="I98" s="3275"/>
      <c r="J98" s="3275"/>
      <c r="K98" s="3275"/>
      <c r="L98" s="3275"/>
      <c r="M98" s="3275"/>
      <c r="N98" s="3275"/>
      <c r="O98" s="3275"/>
      <c r="P98" s="3275"/>
      <c r="Q98" s="3275"/>
      <c r="R98" s="3275"/>
      <c r="S98" s="3275"/>
      <c r="T98" s="3275"/>
      <c r="U98" s="3275"/>
      <c r="V98" s="3275"/>
      <c r="W98" s="3275"/>
      <c r="X98" s="3275"/>
      <c r="Y98" s="3275"/>
      <c r="Z98" s="3275"/>
      <c r="AA98" s="3275"/>
      <c r="AB98" s="3275"/>
      <c r="AC98" s="3264">
        <f t="shared" si="10"/>
        <v>0</v>
      </c>
      <c r="AD98" s="3285"/>
      <c r="AE98" s="3285"/>
      <c r="AF98" s="3285"/>
      <c r="AG98" s="3285"/>
      <c r="AH98" s="3285"/>
      <c r="AI98" s="3285"/>
      <c r="AJ98" s="3285"/>
      <c r="AK98" s="3285"/>
      <c r="AL98" s="3285"/>
      <c r="AM98" s="3285"/>
      <c r="AN98" s="3285"/>
      <c r="AO98" s="3285"/>
      <c r="AP98" s="3285"/>
      <c r="AQ98" s="3285"/>
      <c r="AR98" s="3285"/>
      <c r="AS98" s="3285"/>
      <c r="AT98" s="3295"/>
      <c r="AU98" s="3296"/>
      <c r="AV98" s="830">
        <f t="shared" si="11"/>
        <v>0</v>
      </c>
      <c r="AW98" s="830">
        <f t="shared" si="12"/>
        <v>0</v>
      </c>
      <c r="AX98" s="830">
        <f t="shared" si="13"/>
        <v>0</v>
      </c>
      <c r="AY98" s="3310">
        <f t="shared" si="14"/>
        <v>0</v>
      </c>
      <c r="AZ98" s="3264">
        <f t="shared" si="15"/>
        <v>0</v>
      </c>
      <c r="BA98" s="3264">
        <f t="shared" si="16"/>
        <v>0</v>
      </c>
      <c r="BB98" s="3264">
        <f t="shared" si="17"/>
        <v>0</v>
      </c>
      <c r="BC98" s="3264">
        <f t="shared" si="18"/>
        <v>0</v>
      </c>
      <c r="BD98" s="3264">
        <f t="shared" si="19"/>
        <v>0</v>
      </c>
      <c r="BE98" s="3264">
        <f t="shared" si="20"/>
        <v>0</v>
      </c>
      <c r="BF98" s="3264">
        <f t="shared" si="21"/>
        <v>0</v>
      </c>
      <c r="BG98" s="3264">
        <f t="shared" si="22"/>
        <v>0</v>
      </c>
      <c r="BH98" s="3264">
        <f t="shared" si="23"/>
        <v>0</v>
      </c>
      <c r="BI98" s="3264">
        <f t="shared" si="24"/>
        <v>0</v>
      </c>
      <c r="BJ98" s="3264">
        <f t="shared" si="25"/>
        <v>0</v>
      </c>
      <c r="BK98" s="3264">
        <f t="shared" si="26"/>
        <v>0</v>
      </c>
      <c r="BL98" s="3264">
        <f t="shared" si="27"/>
        <v>0</v>
      </c>
      <c r="BM98" s="3264">
        <f t="shared" si="28"/>
        <v>0</v>
      </c>
      <c r="BN98" s="3264">
        <f t="shared" si="29"/>
        <v>0</v>
      </c>
      <c r="BO98" s="3264">
        <f t="shared" si="30"/>
        <v>0</v>
      </c>
      <c r="BP98" s="3264">
        <f t="shared" si="31"/>
        <v>0</v>
      </c>
      <c r="BQ98" s="3264">
        <f t="shared" si="32"/>
        <v>0</v>
      </c>
      <c r="BR98" s="3264">
        <f t="shared" si="33"/>
        <v>0</v>
      </c>
      <c r="BS98" s="3264">
        <f t="shared" si="34"/>
        <v>0</v>
      </c>
      <c r="BT98" s="3317">
        <f t="shared" si="35"/>
        <v>0</v>
      </c>
    </row>
    <row r="99" spans="1:72">
      <c r="A99" s="3262"/>
      <c r="B99" s="3263"/>
      <c r="C99" s="3263"/>
      <c r="D99" s="3268"/>
      <c r="E99" s="3264">
        <f t="shared" si="7"/>
        <v>0</v>
      </c>
      <c r="F99" s="3265"/>
      <c r="G99" s="3266">
        <f t="shared" si="8"/>
        <v>0</v>
      </c>
      <c r="H99" s="3267">
        <f t="shared" si="9"/>
        <v>0</v>
      </c>
      <c r="I99" s="3275"/>
      <c r="J99" s="3275"/>
      <c r="K99" s="3275"/>
      <c r="L99" s="3275"/>
      <c r="M99" s="3275"/>
      <c r="N99" s="3275"/>
      <c r="O99" s="3275"/>
      <c r="P99" s="3275"/>
      <c r="Q99" s="3275"/>
      <c r="R99" s="3275"/>
      <c r="S99" s="3275"/>
      <c r="T99" s="3275"/>
      <c r="U99" s="3275"/>
      <c r="V99" s="3275"/>
      <c r="W99" s="3275"/>
      <c r="X99" s="3275"/>
      <c r="Y99" s="3275"/>
      <c r="Z99" s="3275"/>
      <c r="AA99" s="3275"/>
      <c r="AB99" s="3275"/>
      <c r="AC99" s="3264">
        <f t="shared" si="10"/>
        <v>0</v>
      </c>
      <c r="AD99" s="3285"/>
      <c r="AE99" s="3285"/>
      <c r="AF99" s="3285"/>
      <c r="AG99" s="3285"/>
      <c r="AH99" s="3285"/>
      <c r="AI99" s="3285"/>
      <c r="AJ99" s="3285"/>
      <c r="AK99" s="3285"/>
      <c r="AL99" s="3285"/>
      <c r="AM99" s="3285"/>
      <c r="AN99" s="3285"/>
      <c r="AO99" s="3285"/>
      <c r="AP99" s="3285"/>
      <c r="AQ99" s="3285"/>
      <c r="AR99" s="3285"/>
      <c r="AS99" s="3285"/>
      <c r="AT99" s="3295"/>
      <c r="AU99" s="3296"/>
      <c r="AV99" s="830">
        <f t="shared" si="11"/>
        <v>0</v>
      </c>
      <c r="AW99" s="830">
        <f t="shared" si="12"/>
        <v>0</v>
      </c>
      <c r="AX99" s="830">
        <f t="shared" si="13"/>
        <v>0</v>
      </c>
      <c r="AY99" s="3310">
        <f t="shared" si="14"/>
        <v>0</v>
      </c>
      <c r="AZ99" s="3264">
        <f t="shared" si="15"/>
        <v>0</v>
      </c>
      <c r="BA99" s="3264">
        <f t="shared" si="16"/>
        <v>0</v>
      </c>
      <c r="BB99" s="3264">
        <f t="shared" si="17"/>
        <v>0</v>
      </c>
      <c r="BC99" s="3264">
        <f t="shared" si="18"/>
        <v>0</v>
      </c>
      <c r="BD99" s="3264">
        <f t="shared" si="19"/>
        <v>0</v>
      </c>
      <c r="BE99" s="3264">
        <f t="shared" si="20"/>
        <v>0</v>
      </c>
      <c r="BF99" s="3264">
        <f t="shared" si="21"/>
        <v>0</v>
      </c>
      <c r="BG99" s="3264">
        <f t="shared" si="22"/>
        <v>0</v>
      </c>
      <c r="BH99" s="3264">
        <f t="shared" si="23"/>
        <v>0</v>
      </c>
      <c r="BI99" s="3264">
        <f t="shared" si="24"/>
        <v>0</v>
      </c>
      <c r="BJ99" s="3264">
        <f t="shared" si="25"/>
        <v>0</v>
      </c>
      <c r="BK99" s="3264">
        <f t="shared" si="26"/>
        <v>0</v>
      </c>
      <c r="BL99" s="3264">
        <f t="shared" si="27"/>
        <v>0</v>
      </c>
      <c r="BM99" s="3264">
        <f t="shared" si="28"/>
        <v>0</v>
      </c>
      <c r="BN99" s="3264">
        <f t="shared" si="29"/>
        <v>0</v>
      </c>
      <c r="BO99" s="3264">
        <f t="shared" si="30"/>
        <v>0</v>
      </c>
      <c r="BP99" s="3264">
        <f t="shared" si="31"/>
        <v>0</v>
      </c>
      <c r="BQ99" s="3264">
        <f t="shared" si="32"/>
        <v>0</v>
      </c>
      <c r="BR99" s="3264">
        <f t="shared" si="33"/>
        <v>0</v>
      </c>
      <c r="BS99" s="3264">
        <f t="shared" si="34"/>
        <v>0</v>
      </c>
      <c r="BT99" s="3317">
        <f t="shared" si="35"/>
        <v>0</v>
      </c>
    </row>
    <row r="100" spans="1:72">
      <c r="A100" s="3262"/>
      <c r="B100" s="3263"/>
      <c r="C100" s="3263"/>
      <c r="D100" s="3268"/>
      <c r="E100" s="3264">
        <f t="shared" si="7"/>
        <v>0</v>
      </c>
      <c r="F100" s="3265"/>
      <c r="G100" s="3266">
        <f t="shared" si="8"/>
        <v>0</v>
      </c>
      <c r="H100" s="3267">
        <f t="shared" si="9"/>
        <v>0</v>
      </c>
      <c r="I100" s="3275"/>
      <c r="J100" s="3275"/>
      <c r="K100" s="3275"/>
      <c r="L100" s="3275"/>
      <c r="M100" s="3275"/>
      <c r="N100" s="3275"/>
      <c r="O100" s="3275"/>
      <c r="P100" s="3275"/>
      <c r="Q100" s="3275"/>
      <c r="R100" s="3275"/>
      <c r="S100" s="3275"/>
      <c r="T100" s="3275"/>
      <c r="U100" s="3275"/>
      <c r="V100" s="3275"/>
      <c r="W100" s="3275"/>
      <c r="X100" s="3275"/>
      <c r="Y100" s="3275"/>
      <c r="Z100" s="3275"/>
      <c r="AA100" s="3275"/>
      <c r="AB100" s="3275"/>
      <c r="AC100" s="3264">
        <f t="shared" si="10"/>
        <v>0</v>
      </c>
      <c r="AD100" s="3285"/>
      <c r="AE100" s="3285"/>
      <c r="AF100" s="3285"/>
      <c r="AG100" s="3285"/>
      <c r="AH100" s="3285"/>
      <c r="AI100" s="3285"/>
      <c r="AJ100" s="3285"/>
      <c r="AK100" s="3285"/>
      <c r="AL100" s="3285"/>
      <c r="AM100" s="3285"/>
      <c r="AN100" s="3285"/>
      <c r="AO100" s="3285"/>
      <c r="AP100" s="3285"/>
      <c r="AQ100" s="3285"/>
      <c r="AR100" s="3285"/>
      <c r="AS100" s="3285"/>
      <c r="AT100" s="3295"/>
      <c r="AU100" s="3296"/>
      <c r="AV100" s="830">
        <f t="shared" si="11"/>
        <v>0</v>
      </c>
      <c r="AW100" s="830">
        <f t="shared" si="12"/>
        <v>0</v>
      </c>
      <c r="AX100" s="830">
        <f t="shared" si="13"/>
        <v>0</v>
      </c>
      <c r="AY100" s="3310">
        <f t="shared" si="14"/>
        <v>0</v>
      </c>
      <c r="AZ100" s="3264">
        <f t="shared" si="15"/>
        <v>0</v>
      </c>
      <c r="BA100" s="3264">
        <f t="shared" si="16"/>
        <v>0</v>
      </c>
      <c r="BB100" s="3264">
        <f t="shared" si="17"/>
        <v>0</v>
      </c>
      <c r="BC100" s="3264">
        <f t="shared" si="18"/>
        <v>0</v>
      </c>
      <c r="BD100" s="3264">
        <f t="shared" si="19"/>
        <v>0</v>
      </c>
      <c r="BE100" s="3264">
        <f t="shared" si="20"/>
        <v>0</v>
      </c>
      <c r="BF100" s="3264">
        <f t="shared" si="21"/>
        <v>0</v>
      </c>
      <c r="BG100" s="3264">
        <f t="shared" si="22"/>
        <v>0</v>
      </c>
      <c r="BH100" s="3264">
        <f t="shared" si="23"/>
        <v>0</v>
      </c>
      <c r="BI100" s="3264">
        <f t="shared" si="24"/>
        <v>0</v>
      </c>
      <c r="BJ100" s="3264">
        <f t="shared" si="25"/>
        <v>0</v>
      </c>
      <c r="BK100" s="3264">
        <f t="shared" si="26"/>
        <v>0</v>
      </c>
      <c r="BL100" s="3264">
        <f t="shared" si="27"/>
        <v>0</v>
      </c>
      <c r="BM100" s="3264">
        <f t="shared" si="28"/>
        <v>0</v>
      </c>
      <c r="BN100" s="3264">
        <f t="shared" si="29"/>
        <v>0</v>
      </c>
      <c r="BO100" s="3264">
        <f t="shared" si="30"/>
        <v>0</v>
      </c>
      <c r="BP100" s="3264">
        <f t="shared" si="31"/>
        <v>0</v>
      </c>
      <c r="BQ100" s="3264">
        <f t="shared" si="32"/>
        <v>0</v>
      </c>
      <c r="BR100" s="3264">
        <f t="shared" si="33"/>
        <v>0</v>
      </c>
      <c r="BS100" s="3264">
        <f t="shared" si="34"/>
        <v>0</v>
      </c>
      <c r="BT100" s="3317">
        <f t="shared" si="35"/>
        <v>0</v>
      </c>
    </row>
    <row r="101" spans="1:72">
      <c r="A101" s="3262"/>
      <c r="B101" s="3263"/>
      <c r="C101" s="3263"/>
      <c r="D101" s="3268"/>
      <c r="E101" s="3264">
        <f t="shared" si="7"/>
        <v>0</v>
      </c>
      <c r="F101" s="3265"/>
      <c r="G101" s="3266">
        <f t="shared" si="8"/>
        <v>0</v>
      </c>
      <c r="H101" s="3267">
        <f t="shared" si="9"/>
        <v>0</v>
      </c>
      <c r="I101" s="3275"/>
      <c r="J101" s="3275"/>
      <c r="K101" s="3275"/>
      <c r="L101" s="3275"/>
      <c r="M101" s="3275"/>
      <c r="N101" s="3275"/>
      <c r="O101" s="3275"/>
      <c r="P101" s="3275"/>
      <c r="Q101" s="3275"/>
      <c r="R101" s="3275"/>
      <c r="S101" s="3275"/>
      <c r="T101" s="3275"/>
      <c r="U101" s="3275"/>
      <c r="V101" s="3275"/>
      <c r="W101" s="3275"/>
      <c r="X101" s="3275"/>
      <c r="Y101" s="3275"/>
      <c r="Z101" s="3275"/>
      <c r="AA101" s="3275"/>
      <c r="AB101" s="3275"/>
      <c r="AC101" s="3264">
        <f t="shared" si="10"/>
        <v>0</v>
      </c>
      <c r="AD101" s="3285"/>
      <c r="AE101" s="3285"/>
      <c r="AF101" s="3285"/>
      <c r="AG101" s="3285"/>
      <c r="AH101" s="3285"/>
      <c r="AI101" s="3285"/>
      <c r="AJ101" s="3285"/>
      <c r="AK101" s="3285"/>
      <c r="AL101" s="3285"/>
      <c r="AM101" s="3285"/>
      <c r="AN101" s="3285"/>
      <c r="AO101" s="3285"/>
      <c r="AP101" s="3285"/>
      <c r="AQ101" s="3285"/>
      <c r="AR101" s="3285"/>
      <c r="AS101" s="3285"/>
      <c r="AT101" s="3295"/>
      <c r="AU101" s="3296"/>
      <c r="AV101" s="830">
        <f t="shared" si="11"/>
        <v>0</v>
      </c>
      <c r="AW101" s="830">
        <f t="shared" si="12"/>
        <v>0</v>
      </c>
      <c r="AX101" s="830">
        <f t="shared" si="13"/>
        <v>0</v>
      </c>
      <c r="AY101" s="3310">
        <f t="shared" si="14"/>
        <v>0</v>
      </c>
      <c r="AZ101" s="3264">
        <f t="shared" si="15"/>
        <v>0</v>
      </c>
      <c r="BA101" s="3264">
        <f t="shared" si="16"/>
        <v>0</v>
      </c>
      <c r="BB101" s="3264">
        <f t="shared" si="17"/>
        <v>0</v>
      </c>
      <c r="BC101" s="3264">
        <f t="shared" si="18"/>
        <v>0</v>
      </c>
      <c r="BD101" s="3264">
        <f t="shared" si="19"/>
        <v>0</v>
      </c>
      <c r="BE101" s="3264">
        <f t="shared" si="20"/>
        <v>0</v>
      </c>
      <c r="BF101" s="3264">
        <f t="shared" si="21"/>
        <v>0</v>
      </c>
      <c r="BG101" s="3264">
        <f t="shared" si="22"/>
        <v>0</v>
      </c>
      <c r="BH101" s="3264">
        <f t="shared" si="23"/>
        <v>0</v>
      </c>
      <c r="BI101" s="3264">
        <f t="shared" si="24"/>
        <v>0</v>
      </c>
      <c r="BJ101" s="3264">
        <f t="shared" si="25"/>
        <v>0</v>
      </c>
      <c r="BK101" s="3264">
        <f t="shared" si="26"/>
        <v>0</v>
      </c>
      <c r="BL101" s="3264">
        <f t="shared" si="27"/>
        <v>0</v>
      </c>
      <c r="BM101" s="3264">
        <f t="shared" si="28"/>
        <v>0</v>
      </c>
      <c r="BN101" s="3264">
        <f t="shared" si="29"/>
        <v>0</v>
      </c>
      <c r="BO101" s="3264">
        <f t="shared" si="30"/>
        <v>0</v>
      </c>
      <c r="BP101" s="3264">
        <f t="shared" si="31"/>
        <v>0</v>
      </c>
      <c r="BQ101" s="3264">
        <f t="shared" si="32"/>
        <v>0</v>
      </c>
      <c r="BR101" s="3264">
        <f t="shared" si="33"/>
        <v>0</v>
      </c>
      <c r="BS101" s="3264">
        <f t="shared" si="34"/>
        <v>0</v>
      </c>
      <c r="BT101" s="3317">
        <f t="shared" si="35"/>
        <v>0</v>
      </c>
    </row>
    <row r="102" spans="1:72">
      <c r="A102" s="3262"/>
      <c r="B102" s="3263"/>
      <c r="C102" s="3263"/>
      <c r="D102" s="3268"/>
      <c r="E102" s="3264">
        <f t="shared" si="7"/>
        <v>0</v>
      </c>
      <c r="F102" s="3265"/>
      <c r="G102" s="3266">
        <f t="shared" si="8"/>
        <v>0</v>
      </c>
      <c r="H102" s="3267">
        <f t="shared" si="9"/>
        <v>0</v>
      </c>
      <c r="I102" s="3275"/>
      <c r="J102" s="3275"/>
      <c r="K102" s="3275"/>
      <c r="L102" s="3275"/>
      <c r="M102" s="3275"/>
      <c r="N102" s="3275"/>
      <c r="O102" s="3275"/>
      <c r="P102" s="3275"/>
      <c r="Q102" s="3275"/>
      <c r="R102" s="3275"/>
      <c r="S102" s="3275"/>
      <c r="T102" s="3275"/>
      <c r="U102" s="3275"/>
      <c r="V102" s="3275"/>
      <c r="W102" s="3275"/>
      <c r="X102" s="3275"/>
      <c r="Y102" s="3275"/>
      <c r="Z102" s="3275"/>
      <c r="AA102" s="3275"/>
      <c r="AB102" s="3275"/>
      <c r="AC102" s="3264">
        <f t="shared" si="10"/>
        <v>0</v>
      </c>
      <c r="AD102" s="3285"/>
      <c r="AE102" s="3285"/>
      <c r="AF102" s="3285"/>
      <c r="AG102" s="3285"/>
      <c r="AH102" s="3285"/>
      <c r="AI102" s="3285"/>
      <c r="AJ102" s="3285"/>
      <c r="AK102" s="3285"/>
      <c r="AL102" s="3285"/>
      <c r="AM102" s="3285"/>
      <c r="AN102" s="3285"/>
      <c r="AO102" s="3285"/>
      <c r="AP102" s="3285"/>
      <c r="AQ102" s="3285"/>
      <c r="AR102" s="3285"/>
      <c r="AS102" s="3285"/>
      <c r="AT102" s="3295"/>
      <c r="AU102" s="3296"/>
      <c r="AV102" s="830">
        <f t="shared" si="11"/>
        <v>0</v>
      </c>
      <c r="AW102" s="830">
        <f t="shared" si="12"/>
        <v>0</v>
      </c>
      <c r="AX102" s="830">
        <f t="shared" si="13"/>
        <v>0</v>
      </c>
      <c r="AY102" s="3310">
        <f t="shared" si="14"/>
        <v>0</v>
      </c>
      <c r="AZ102" s="3264">
        <f t="shared" si="15"/>
        <v>0</v>
      </c>
      <c r="BA102" s="3264">
        <f t="shared" si="16"/>
        <v>0</v>
      </c>
      <c r="BB102" s="3264">
        <f t="shared" si="17"/>
        <v>0</v>
      </c>
      <c r="BC102" s="3264">
        <f t="shared" si="18"/>
        <v>0</v>
      </c>
      <c r="BD102" s="3264">
        <f t="shared" si="19"/>
        <v>0</v>
      </c>
      <c r="BE102" s="3264">
        <f t="shared" si="20"/>
        <v>0</v>
      </c>
      <c r="BF102" s="3264">
        <f t="shared" si="21"/>
        <v>0</v>
      </c>
      <c r="BG102" s="3264">
        <f t="shared" si="22"/>
        <v>0</v>
      </c>
      <c r="BH102" s="3264">
        <f t="shared" si="23"/>
        <v>0</v>
      </c>
      <c r="BI102" s="3264">
        <f t="shared" si="24"/>
        <v>0</v>
      </c>
      <c r="BJ102" s="3264">
        <f t="shared" si="25"/>
        <v>0</v>
      </c>
      <c r="BK102" s="3264">
        <f t="shared" si="26"/>
        <v>0</v>
      </c>
      <c r="BL102" s="3264">
        <f t="shared" si="27"/>
        <v>0</v>
      </c>
      <c r="BM102" s="3264">
        <f t="shared" si="28"/>
        <v>0</v>
      </c>
      <c r="BN102" s="3264">
        <f t="shared" si="29"/>
        <v>0</v>
      </c>
      <c r="BO102" s="3264">
        <f t="shared" si="30"/>
        <v>0</v>
      </c>
      <c r="BP102" s="3264">
        <f t="shared" si="31"/>
        <v>0</v>
      </c>
      <c r="BQ102" s="3264">
        <f t="shared" si="32"/>
        <v>0</v>
      </c>
      <c r="BR102" s="3264">
        <f t="shared" si="33"/>
        <v>0</v>
      </c>
      <c r="BS102" s="3264">
        <f t="shared" si="34"/>
        <v>0</v>
      </c>
      <c r="BT102" s="3317">
        <f t="shared" si="35"/>
        <v>0</v>
      </c>
    </row>
    <row r="103" spans="1:72">
      <c r="A103" s="3262"/>
      <c r="B103" s="3263"/>
      <c r="C103" s="3263"/>
      <c r="D103" s="3268"/>
      <c r="E103" s="3264">
        <f t="shared" si="7"/>
        <v>0</v>
      </c>
      <c r="F103" s="3265"/>
      <c r="G103" s="3266">
        <f t="shared" si="8"/>
        <v>0</v>
      </c>
      <c r="H103" s="3267">
        <f t="shared" si="9"/>
        <v>0</v>
      </c>
      <c r="I103" s="3275"/>
      <c r="J103" s="3275"/>
      <c r="K103" s="3275"/>
      <c r="L103" s="3275"/>
      <c r="M103" s="3275"/>
      <c r="N103" s="3275"/>
      <c r="O103" s="3275"/>
      <c r="P103" s="3275"/>
      <c r="Q103" s="3275"/>
      <c r="R103" s="3275"/>
      <c r="S103" s="3275"/>
      <c r="T103" s="3275"/>
      <c r="U103" s="3275"/>
      <c r="V103" s="3275"/>
      <c r="W103" s="3275"/>
      <c r="X103" s="3275"/>
      <c r="Y103" s="3275"/>
      <c r="Z103" s="3275"/>
      <c r="AA103" s="3275"/>
      <c r="AB103" s="3275"/>
      <c r="AC103" s="3264">
        <f t="shared" si="10"/>
        <v>0</v>
      </c>
      <c r="AD103" s="3285"/>
      <c r="AE103" s="3285"/>
      <c r="AF103" s="3285"/>
      <c r="AG103" s="3285"/>
      <c r="AH103" s="3285"/>
      <c r="AI103" s="3285"/>
      <c r="AJ103" s="3285"/>
      <c r="AK103" s="3285"/>
      <c r="AL103" s="3285"/>
      <c r="AM103" s="3285"/>
      <c r="AN103" s="3285"/>
      <c r="AO103" s="3285"/>
      <c r="AP103" s="3285"/>
      <c r="AQ103" s="3285"/>
      <c r="AR103" s="3285"/>
      <c r="AS103" s="3285"/>
      <c r="AT103" s="3295"/>
      <c r="AU103" s="3296"/>
      <c r="AV103" s="830">
        <f t="shared" si="11"/>
        <v>0</v>
      </c>
      <c r="AW103" s="830">
        <f t="shared" si="12"/>
        <v>0</v>
      </c>
      <c r="AX103" s="830">
        <f t="shared" si="13"/>
        <v>0</v>
      </c>
      <c r="AY103" s="3310">
        <f t="shared" si="14"/>
        <v>0</v>
      </c>
      <c r="AZ103" s="3264">
        <f t="shared" si="15"/>
        <v>0</v>
      </c>
      <c r="BA103" s="3264">
        <f t="shared" si="16"/>
        <v>0</v>
      </c>
      <c r="BB103" s="3264">
        <f t="shared" si="17"/>
        <v>0</v>
      </c>
      <c r="BC103" s="3264">
        <f t="shared" si="18"/>
        <v>0</v>
      </c>
      <c r="BD103" s="3264">
        <f t="shared" si="19"/>
        <v>0</v>
      </c>
      <c r="BE103" s="3264">
        <f t="shared" si="20"/>
        <v>0</v>
      </c>
      <c r="BF103" s="3264">
        <f t="shared" si="21"/>
        <v>0</v>
      </c>
      <c r="BG103" s="3264">
        <f t="shared" si="22"/>
        <v>0</v>
      </c>
      <c r="BH103" s="3264">
        <f t="shared" si="23"/>
        <v>0</v>
      </c>
      <c r="BI103" s="3264">
        <f t="shared" si="24"/>
        <v>0</v>
      </c>
      <c r="BJ103" s="3264">
        <f t="shared" si="25"/>
        <v>0</v>
      </c>
      <c r="BK103" s="3264">
        <f t="shared" si="26"/>
        <v>0</v>
      </c>
      <c r="BL103" s="3264">
        <f t="shared" si="27"/>
        <v>0</v>
      </c>
      <c r="BM103" s="3264">
        <f t="shared" si="28"/>
        <v>0</v>
      </c>
      <c r="BN103" s="3264">
        <f t="shared" si="29"/>
        <v>0</v>
      </c>
      <c r="BO103" s="3264">
        <f t="shared" si="30"/>
        <v>0</v>
      </c>
      <c r="BP103" s="3264">
        <f t="shared" si="31"/>
        <v>0</v>
      </c>
      <c r="BQ103" s="3264">
        <f t="shared" si="32"/>
        <v>0</v>
      </c>
      <c r="BR103" s="3264">
        <f t="shared" si="33"/>
        <v>0</v>
      </c>
      <c r="BS103" s="3264">
        <f t="shared" si="34"/>
        <v>0</v>
      </c>
      <c r="BT103" s="3317">
        <f t="shared" si="35"/>
        <v>0</v>
      </c>
    </row>
    <row r="104" spans="1:72">
      <c r="A104" s="3262"/>
      <c r="B104" s="3263"/>
      <c r="C104" s="3263"/>
      <c r="D104" s="3268"/>
      <c r="E104" s="3264">
        <f t="shared" si="7"/>
        <v>0</v>
      </c>
      <c r="F104" s="3265"/>
      <c r="G104" s="3266">
        <f t="shared" si="8"/>
        <v>0</v>
      </c>
      <c r="H104" s="3267">
        <f t="shared" si="9"/>
        <v>0</v>
      </c>
      <c r="I104" s="3275"/>
      <c r="J104" s="3275"/>
      <c r="K104" s="3275"/>
      <c r="L104" s="3275"/>
      <c r="M104" s="3275"/>
      <c r="N104" s="3275"/>
      <c r="O104" s="3275"/>
      <c r="P104" s="3275"/>
      <c r="Q104" s="3275"/>
      <c r="R104" s="3275"/>
      <c r="S104" s="3275"/>
      <c r="T104" s="3275"/>
      <c r="U104" s="3275"/>
      <c r="V104" s="3275"/>
      <c r="W104" s="3275"/>
      <c r="X104" s="3275"/>
      <c r="Y104" s="3275"/>
      <c r="Z104" s="3275"/>
      <c r="AA104" s="3275"/>
      <c r="AB104" s="3275"/>
      <c r="AC104" s="3264">
        <f t="shared" si="10"/>
        <v>0</v>
      </c>
      <c r="AD104" s="3285"/>
      <c r="AE104" s="3285"/>
      <c r="AF104" s="3285"/>
      <c r="AG104" s="3285"/>
      <c r="AH104" s="3285"/>
      <c r="AI104" s="3285"/>
      <c r="AJ104" s="3285"/>
      <c r="AK104" s="3285"/>
      <c r="AL104" s="3285"/>
      <c r="AM104" s="3285"/>
      <c r="AN104" s="3285"/>
      <c r="AO104" s="3285"/>
      <c r="AP104" s="3285"/>
      <c r="AQ104" s="3285"/>
      <c r="AR104" s="3285"/>
      <c r="AS104" s="3285"/>
      <c r="AT104" s="3295"/>
      <c r="AU104" s="3296"/>
      <c r="AV104" s="830">
        <f t="shared" si="11"/>
        <v>0</v>
      </c>
      <c r="AW104" s="830">
        <f t="shared" si="12"/>
        <v>0</v>
      </c>
      <c r="AX104" s="830">
        <f t="shared" si="13"/>
        <v>0</v>
      </c>
      <c r="AY104" s="3310">
        <f t="shared" si="14"/>
        <v>0</v>
      </c>
      <c r="AZ104" s="3264">
        <f t="shared" si="15"/>
        <v>0</v>
      </c>
      <c r="BA104" s="3264">
        <f t="shared" si="16"/>
        <v>0</v>
      </c>
      <c r="BB104" s="3264">
        <f t="shared" si="17"/>
        <v>0</v>
      </c>
      <c r="BC104" s="3264">
        <f t="shared" si="18"/>
        <v>0</v>
      </c>
      <c r="BD104" s="3264">
        <f t="shared" si="19"/>
        <v>0</v>
      </c>
      <c r="BE104" s="3264">
        <f t="shared" si="20"/>
        <v>0</v>
      </c>
      <c r="BF104" s="3264">
        <f t="shared" si="21"/>
        <v>0</v>
      </c>
      <c r="BG104" s="3264">
        <f t="shared" si="22"/>
        <v>0</v>
      </c>
      <c r="BH104" s="3264">
        <f t="shared" si="23"/>
        <v>0</v>
      </c>
      <c r="BI104" s="3264">
        <f t="shared" si="24"/>
        <v>0</v>
      </c>
      <c r="BJ104" s="3264">
        <f t="shared" si="25"/>
        <v>0</v>
      </c>
      <c r="BK104" s="3264">
        <f t="shared" si="26"/>
        <v>0</v>
      </c>
      <c r="BL104" s="3264">
        <f t="shared" si="27"/>
        <v>0</v>
      </c>
      <c r="BM104" s="3264">
        <f t="shared" si="28"/>
        <v>0</v>
      </c>
      <c r="BN104" s="3264">
        <f t="shared" si="29"/>
        <v>0</v>
      </c>
      <c r="BO104" s="3264">
        <f t="shared" si="30"/>
        <v>0</v>
      </c>
      <c r="BP104" s="3264">
        <f t="shared" si="31"/>
        <v>0</v>
      </c>
      <c r="BQ104" s="3264">
        <f t="shared" si="32"/>
        <v>0</v>
      </c>
      <c r="BR104" s="3264">
        <f t="shared" si="33"/>
        <v>0</v>
      </c>
      <c r="BS104" s="3264">
        <f t="shared" si="34"/>
        <v>0</v>
      </c>
      <c r="BT104" s="3317">
        <f t="shared" si="35"/>
        <v>0</v>
      </c>
    </row>
    <row r="105" spans="1:72">
      <c r="A105" s="3262"/>
      <c r="B105" s="3263"/>
      <c r="C105" s="3263"/>
      <c r="D105" s="3268"/>
      <c r="E105" s="3264">
        <f t="shared" si="7"/>
        <v>0</v>
      </c>
      <c r="F105" s="3265"/>
      <c r="G105" s="3266">
        <f t="shared" si="8"/>
        <v>0</v>
      </c>
      <c r="H105" s="3267">
        <f t="shared" si="9"/>
        <v>0</v>
      </c>
      <c r="I105" s="3275"/>
      <c r="J105" s="3275"/>
      <c r="K105" s="3275"/>
      <c r="L105" s="3275"/>
      <c r="M105" s="3275"/>
      <c r="N105" s="3275"/>
      <c r="O105" s="3275"/>
      <c r="P105" s="3275"/>
      <c r="Q105" s="3275"/>
      <c r="R105" s="3275"/>
      <c r="S105" s="3275"/>
      <c r="T105" s="3275"/>
      <c r="U105" s="3275"/>
      <c r="V105" s="3275"/>
      <c r="W105" s="3275"/>
      <c r="X105" s="3275"/>
      <c r="Y105" s="3275"/>
      <c r="Z105" s="3275"/>
      <c r="AA105" s="3275"/>
      <c r="AB105" s="3275"/>
      <c r="AC105" s="3264">
        <f t="shared" si="10"/>
        <v>0</v>
      </c>
      <c r="AD105" s="3285"/>
      <c r="AE105" s="3285"/>
      <c r="AF105" s="3285"/>
      <c r="AG105" s="3285"/>
      <c r="AH105" s="3285"/>
      <c r="AI105" s="3285"/>
      <c r="AJ105" s="3285"/>
      <c r="AK105" s="3285"/>
      <c r="AL105" s="3285"/>
      <c r="AM105" s="3285"/>
      <c r="AN105" s="3285"/>
      <c r="AO105" s="3285"/>
      <c r="AP105" s="3285"/>
      <c r="AQ105" s="3285"/>
      <c r="AR105" s="3285"/>
      <c r="AS105" s="3285"/>
      <c r="AT105" s="3295"/>
      <c r="AU105" s="3296"/>
      <c r="AV105" s="830">
        <f t="shared" si="11"/>
        <v>0</v>
      </c>
      <c r="AW105" s="830">
        <f t="shared" si="12"/>
        <v>0</v>
      </c>
      <c r="AX105" s="830">
        <f t="shared" si="13"/>
        <v>0</v>
      </c>
      <c r="AY105" s="3310">
        <f t="shared" si="14"/>
        <v>0</v>
      </c>
      <c r="AZ105" s="3264">
        <f t="shared" si="15"/>
        <v>0</v>
      </c>
      <c r="BA105" s="3264">
        <f t="shared" si="16"/>
        <v>0</v>
      </c>
      <c r="BB105" s="3264">
        <f t="shared" si="17"/>
        <v>0</v>
      </c>
      <c r="BC105" s="3264">
        <f t="shared" si="18"/>
        <v>0</v>
      </c>
      <c r="BD105" s="3264">
        <f t="shared" si="19"/>
        <v>0</v>
      </c>
      <c r="BE105" s="3264">
        <f t="shared" si="20"/>
        <v>0</v>
      </c>
      <c r="BF105" s="3264">
        <f t="shared" si="21"/>
        <v>0</v>
      </c>
      <c r="BG105" s="3264">
        <f t="shared" si="22"/>
        <v>0</v>
      </c>
      <c r="BH105" s="3264">
        <f t="shared" si="23"/>
        <v>0</v>
      </c>
      <c r="BI105" s="3264">
        <f t="shared" si="24"/>
        <v>0</v>
      </c>
      <c r="BJ105" s="3264">
        <f t="shared" si="25"/>
        <v>0</v>
      </c>
      <c r="BK105" s="3264">
        <f t="shared" si="26"/>
        <v>0</v>
      </c>
      <c r="BL105" s="3264">
        <f t="shared" si="27"/>
        <v>0</v>
      </c>
      <c r="BM105" s="3264">
        <f t="shared" si="28"/>
        <v>0</v>
      </c>
      <c r="BN105" s="3264">
        <f t="shared" si="29"/>
        <v>0</v>
      </c>
      <c r="BO105" s="3264">
        <f t="shared" si="30"/>
        <v>0</v>
      </c>
      <c r="BP105" s="3264">
        <f t="shared" si="31"/>
        <v>0</v>
      </c>
      <c r="BQ105" s="3264">
        <f t="shared" si="32"/>
        <v>0</v>
      </c>
      <c r="BR105" s="3264">
        <f t="shared" si="33"/>
        <v>0</v>
      </c>
      <c r="BS105" s="3264">
        <f t="shared" si="34"/>
        <v>0</v>
      </c>
      <c r="BT105" s="3317">
        <f t="shared" si="35"/>
        <v>0</v>
      </c>
    </row>
    <row r="106" spans="1:72">
      <c r="A106" s="3262"/>
      <c r="B106" s="3263"/>
      <c r="C106" s="3263"/>
      <c r="D106" s="3268"/>
      <c r="E106" s="3264">
        <f t="shared" si="7"/>
        <v>0</v>
      </c>
      <c r="F106" s="3265"/>
      <c r="G106" s="3266">
        <f t="shared" si="8"/>
        <v>0</v>
      </c>
      <c r="H106" s="3267">
        <f t="shared" si="9"/>
        <v>0</v>
      </c>
      <c r="I106" s="3275"/>
      <c r="J106" s="3275"/>
      <c r="K106" s="3275"/>
      <c r="L106" s="3275"/>
      <c r="M106" s="3275"/>
      <c r="N106" s="3275"/>
      <c r="O106" s="3275"/>
      <c r="P106" s="3275"/>
      <c r="Q106" s="3275"/>
      <c r="R106" s="3275"/>
      <c r="S106" s="3275"/>
      <c r="T106" s="3275"/>
      <c r="U106" s="3275"/>
      <c r="V106" s="3275"/>
      <c r="W106" s="3275"/>
      <c r="X106" s="3275"/>
      <c r="Y106" s="3275"/>
      <c r="Z106" s="3275"/>
      <c r="AA106" s="3275"/>
      <c r="AB106" s="3275"/>
      <c r="AC106" s="3264">
        <f t="shared" si="10"/>
        <v>0</v>
      </c>
      <c r="AD106" s="3285"/>
      <c r="AE106" s="3285"/>
      <c r="AF106" s="3285"/>
      <c r="AG106" s="3285"/>
      <c r="AH106" s="3285"/>
      <c r="AI106" s="3285"/>
      <c r="AJ106" s="3285"/>
      <c r="AK106" s="3285"/>
      <c r="AL106" s="3285"/>
      <c r="AM106" s="3285"/>
      <c r="AN106" s="3285"/>
      <c r="AO106" s="3285"/>
      <c r="AP106" s="3285"/>
      <c r="AQ106" s="3285"/>
      <c r="AR106" s="3285"/>
      <c r="AS106" s="3285"/>
      <c r="AT106" s="3295"/>
      <c r="AU106" s="3296"/>
      <c r="AV106" s="830">
        <f t="shared" si="11"/>
        <v>0</v>
      </c>
      <c r="AW106" s="830">
        <f t="shared" si="12"/>
        <v>0</v>
      </c>
      <c r="AX106" s="830">
        <f t="shared" si="13"/>
        <v>0</v>
      </c>
      <c r="AY106" s="3310">
        <f t="shared" si="14"/>
        <v>0</v>
      </c>
      <c r="AZ106" s="3264">
        <f t="shared" si="15"/>
        <v>0</v>
      </c>
      <c r="BA106" s="3264">
        <f t="shared" si="16"/>
        <v>0</v>
      </c>
      <c r="BB106" s="3264">
        <f t="shared" si="17"/>
        <v>0</v>
      </c>
      <c r="BC106" s="3264">
        <f t="shared" si="18"/>
        <v>0</v>
      </c>
      <c r="BD106" s="3264">
        <f t="shared" si="19"/>
        <v>0</v>
      </c>
      <c r="BE106" s="3264">
        <f t="shared" si="20"/>
        <v>0</v>
      </c>
      <c r="BF106" s="3264">
        <f t="shared" si="21"/>
        <v>0</v>
      </c>
      <c r="BG106" s="3264">
        <f t="shared" si="22"/>
        <v>0</v>
      </c>
      <c r="BH106" s="3264">
        <f t="shared" si="23"/>
        <v>0</v>
      </c>
      <c r="BI106" s="3264">
        <f t="shared" si="24"/>
        <v>0</v>
      </c>
      <c r="BJ106" s="3264">
        <f t="shared" si="25"/>
        <v>0</v>
      </c>
      <c r="BK106" s="3264">
        <f t="shared" si="26"/>
        <v>0</v>
      </c>
      <c r="BL106" s="3264">
        <f t="shared" si="27"/>
        <v>0</v>
      </c>
      <c r="BM106" s="3264">
        <f t="shared" si="28"/>
        <v>0</v>
      </c>
      <c r="BN106" s="3264">
        <f t="shared" si="29"/>
        <v>0</v>
      </c>
      <c r="BO106" s="3264">
        <f t="shared" si="30"/>
        <v>0</v>
      </c>
      <c r="BP106" s="3264">
        <f t="shared" si="31"/>
        <v>0</v>
      </c>
      <c r="BQ106" s="3264">
        <f t="shared" si="32"/>
        <v>0</v>
      </c>
      <c r="BR106" s="3264">
        <f t="shared" si="33"/>
        <v>0</v>
      </c>
      <c r="BS106" s="3264">
        <f t="shared" si="34"/>
        <v>0</v>
      </c>
      <c r="BT106" s="3317">
        <f t="shared" si="35"/>
        <v>0</v>
      </c>
    </row>
    <row r="107" spans="1:72">
      <c r="A107" s="3262"/>
      <c r="B107" s="3263"/>
      <c r="C107" s="3263"/>
      <c r="D107" s="3268"/>
      <c r="E107" s="3264">
        <f t="shared" si="7"/>
        <v>0</v>
      </c>
      <c r="F107" s="3265"/>
      <c r="G107" s="3266">
        <f t="shared" si="8"/>
        <v>0</v>
      </c>
      <c r="H107" s="3267">
        <f t="shared" si="9"/>
        <v>0</v>
      </c>
      <c r="I107" s="3275"/>
      <c r="J107" s="3275"/>
      <c r="K107" s="3275"/>
      <c r="L107" s="3275"/>
      <c r="M107" s="3275"/>
      <c r="N107" s="3275"/>
      <c r="O107" s="3275"/>
      <c r="P107" s="3275"/>
      <c r="Q107" s="3275"/>
      <c r="R107" s="3275"/>
      <c r="S107" s="3275"/>
      <c r="T107" s="3275"/>
      <c r="U107" s="3275"/>
      <c r="V107" s="3275"/>
      <c r="W107" s="3275"/>
      <c r="X107" s="3275"/>
      <c r="Y107" s="3275"/>
      <c r="Z107" s="3275"/>
      <c r="AA107" s="3275"/>
      <c r="AB107" s="3275"/>
      <c r="AC107" s="3264">
        <f t="shared" si="10"/>
        <v>0</v>
      </c>
      <c r="AD107" s="3285"/>
      <c r="AE107" s="3285"/>
      <c r="AF107" s="3285"/>
      <c r="AG107" s="3285"/>
      <c r="AH107" s="3285"/>
      <c r="AI107" s="3285"/>
      <c r="AJ107" s="3285"/>
      <c r="AK107" s="3285"/>
      <c r="AL107" s="3285"/>
      <c r="AM107" s="3285"/>
      <c r="AN107" s="3285"/>
      <c r="AO107" s="3285"/>
      <c r="AP107" s="3285"/>
      <c r="AQ107" s="3285"/>
      <c r="AR107" s="3285"/>
      <c r="AS107" s="3285"/>
      <c r="AT107" s="3295"/>
      <c r="AU107" s="3296"/>
      <c r="AV107" s="830">
        <f t="shared" si="11"/>
        <v>0</v>
      </c>
      <c r="AW107" s="830">
        <f t="shared" si="12"/>
        <v>0</v>
      </c>
      <c r="AX107" s="830">
        <f t="shared" si="13"/>
        <v>0</v>
      </c>
      <c r="AY107" s="3310">
        <f t="shared" si="14"/>
        <v>0</v>
      </c>
      <c r="AZ107" s="3264">
        <f t="shared" si="15"/>
        <v>0</v>
      </c>
      <c r="BA107" s="3264">
        <f t="shared" si="16"/>
        <v>0</v>
      </c>
      <c r="BB107" s="3264">
        <f t="shared" si="17"/>
        <v>0</v>
      </c>
      <c r="BC107" s="3264">
        <f t="shared" si="18"/>
        <v>0</v>
      </c>
      <c r="BD107" s="3264">
        <f t="shared" si="19"/>
        <v>0</v>
      </c>
      <c r="BE107" s="3264">
        <f t="shared" si="20"/>
        <v>0</v>
      </c>
      <c r="BF107" s="3264">
        <f t="shared" si="21"/>
        <v>0</v>
      </c>
      <c r="BG107" s="3264">
        <f t="shared" si="22"/>
        <v>0</v>
      </c>
      <c r="BH107" s="3264">
        <f t="shared" si="23"/>
        <v>0</v>
      </c>
      <c r="BI107" s="3264">
        <f t="shared" si="24"/>
        <v>0</v>
      </c>
      <c r="BJ107" s="3264">
        <f t="shared" si="25"/>
        <v>0</v>
      </c>
      <c r="BK107" s="3264">
        <f t="shared" si="26"/>
        <v>0</v>
      </c>
      <c r="BL107" s="3264">
        <f t="shared" si="27"/>
        <v>0</v>
      </c>
      <c r="BM107" s="3264">
        <f t="shared" si="28"/>
        <v>0</v>
      </c>
      <c r="BN107" s="3264">
        <f t="shared" si="29"/>
        <v>0</v>
      </c>
      <c r="BO107" s="3264">
        <f t="shared" si="30"/>
        <v>0</v>
      </c>
      <c r="BP107" s="3264">
        <f t="shared" si="31"/>
        <v>0</v>
      </c>
      <c r="BQ107" s="3264">
        <f t="shared" si="32"/>
        <v>0</v>
      </c>
      <c r="BR107" s="3264">
        <f t="shared" si="33"/>
        <v>0</v>
      </c>
      <c r="BS107" s="3264">
        <f t="shared" si="34"/>
        <v>0</v>
      </c>
      <c r="BT107" s="3317">
        <f t="shared" si="35"/>
        <v>0</v>
      </c>
    </row>
    <row r="108" spans="1:72">
      <c r="A108" s="3262"/>
      <c r="B108" s="3263"/>
      <c r="C108" s="3263"/>
      <c r="D108" s="3268"/>
      <c r="E108" s="3264">
        <f t="shared" si="7"/>
        <v>0</v>
      </c>
      <c r="F108" s="3265"/>
      <c r="G108" s="3266">
        <f t="shared" si="8"/>
        <v>0</v>
      </c>
      <c r="H108" s="3267">
        <f t="shared" si="9"/>
        <v>0</v>
      </c>
      <c r="I108" s="3275"/>
      <c r="J108" s="3275"/>
      <c r="K108" s="3275"/>
      <c r="L108" s="3275"/>
      <c r="M108" s="3275"/>
      <c r="N108" s="3275"/>
      <c r="O108" s="3275"/>
      <c r="P108" s="3275"/>
      <c r="Q108" s="3275"/>
      <c r="R108" s="3275"/>
      <c r="S108" s="3275"/>
      <c r="T108" s="3275"/>
      <c r="U108" s="3275"/>
      <c r="V108" s="3275"/>
      <c r="W108" s="3275"/>
      <c r="X108" s="3275"/>
      <c r="Y108" s="3275"/>
      <c r="Z108" s="3275"/>
      <c r="AA108" s="3275"/>
      <c r="AB108" s="3275"/>
      <c r="AC108" s="3264">
        <f t="shared" si="10"/>
        <v>0</v>
      </c>
      <c r="AD108" s="3285"/>
      <c r="AE108" s="3285"/>
      <c r="AF108" s="3285"/>
      <c r="AG108" s="3285"/>
      <c r="AH108" s="3285"/>
      <c r="AI108" s="3285"/>
      <c r="AJ108" s="3285"/>
      <c r="AK108" s="3285"/>
      <c r="AL108" s="3285"/>
      <c r="AM108" s="3285"/>
      <c r="AN108" s="3285"/>
      <c r="AO108" s="3285"/>
      <c r="AP108" s="3285"/>
      <c r="AQ108" s="3285"/>
      <c r="AR108" s="3285"/>
      <c r="AS108" s="3285"/>
      <c r="AT108" s="3295"/>
      <c r="AU108" s="3296"/>
      <c r="AV108" s="830">
        <f t="shared" si="11"/>
        <v>0</v>
      </c>
      <c r="AW108" s="830">
        <f t="shared" si="12"/>
        <v>0</v>
      </c>
      <c r="AX108" s="830">
        <f t="shared" si="13"/>
        <v>0</v>
      </c>
      <c r="AY108" s="3310">
        <f t="shared" si="14"/>
        <v>0</v>
      </c>
      <c r="AZ108" s="3264">
        <f t="shared" si="15"/>
        <v>0</v>
      </c>
      <c r="BA108" s="3264">
        <f t="shared" si="16"/>
        <v>0</v>
      </c>
      <c r="BB108" s="3264">
        <f t="shared" si="17"/>
        <v>0</v>
      </c>
      <c r="BC108" s="3264">
        <f t="shared" si="18"/>
        <v>0</v>
      </c>
      <c r="BD108" s="3264">
        <f t="shared" si="19"/>
        <v>0</v>
      </c>
      <c r="BE108" s="3264">
        <f t="shared" si="20"/>
        <v>0</v>
      </c>
      <c r="BF108" s="3264">
        <f t="shared" si="21"/>
        <v>0</v>
      </c>
      <c r="BG108" s="3264">
        <f t="shared" si="22"/>
        <v>0</v>
      </c>
      <c r="BH108" s="3264">
        <f t="shared" si="23"/>
        <v>0</v>
      </c>
      <c r="BI108" s="3264">
        <f t="shared" si="24"/>
        <v>0</v>
      </c>
      <c r="BJ108" s="3264">
        <f t="shared" si="25"/>
        <v>0</v>
      </c>
      <c r="BK108" s="3264">
        <f t="shared" si="26"/>
        <v>0</v>
      </c>
      <c r="BL108" s="3264">
        <f t="shared" si="27"/>
        <v>0</v>
      </c>
      <c r="BM108" s="3264">
        <f t="shared" si="28"/>
        <v>0</v>
      </c>
      <c r="BN108" s="3264">
        <f t="shared" si="29"/>
        <v>0</v>
      </c>
      <c r="BO108" s="3264">
        <f t="shared" si="30"/>
        <v>0</v>
      </c>
      <c r="BP108" s="3264">
        <f t="shared" si="31"/>
        <v>0</v>
      </c>
      <c r="BQ108" s="3264">
        <f t="shared" si="32"/>
        <v>0</v>
      </c>
      <c r="BR108" s="3264">
        <f t="shared" si="33"/>
        <v>0</v>
      </c>
      <c r="BS108" s="3264">
        <f t="shared" si="34"/>
        <v>0</v>
      </c>
      <c r="BT108" s="3317">
        <f t="shared" si="35"/>
        <v>0</v>
      </c>
    </row>
    <row r="109" spans="1:72">
      <c r="A109" s="3262"/>
      <c r="B109" s="3263"/>
      <c r="C109" s="3263"/>
      <c r="D109" s="3268"/>
      <c r="E109" s="3264">
        <f t="shared" si="7"/>
        <v>0</v>
      </c>
      <c r="F109" s="3265"/>
      <c r="G109" s="3266">
        <f t="shared" si="8"/>
        <v>0</v>
      </c>
      <c r="H109" s="3267">
        <f t="shared" si="9"/>
        <v>0</v>
      </c>
      <c r="I109" s="3275"/>
      <c r="J109" s="3275"/>
      <c r="K109" s="3275"/>
      <c r="L109" s="3275"/>
      <c r="M109" s="3275"/>
      <c r="N109" s="3275"/>
      <c r="O109" s="3275"/>
      <c r="P109" s="3275"/>
      <c r="Q109" s="3275"/>
      <c r="R109" s="3275"/>
      <c r="S109" s="3275"/>
      <c r="T109" s="3275"/>
      <c r="U109" s="3275"/>
      <c r="V109" s="3275"/>
      <c r="W109" s="3275"/>
      <c r="X109" s="3275"/>
      <c r="Y109" s="3275"/>
      <c r="Z109" s="3275"/>
      <c r="AA109" s="3275"/>
      <c r="AB109" s="3275"/>
      <c r="AC109" s="3264">
        <f t="shared" si="10"/>
        <v>0</v>
      </c>
      <c r="AD109" s="3285"/>
      <c r="AE109" s="3285"/>
      <c r="AF109" s="3285"/>
      <c r="AG109" s="3285"/>
      <c r="AH109" s="3285"/>
      <c r="AI109" s="3285"/>
      <c r="AJ109" s="3285"/>
      <c r="AK109" s="3285"/>
      <c r="AL109" s="3285"/>
      <c r="AM109" s="3285"/>
      <c r="AN109" s="3285"/>
      <c r="AO109" s="3285"/>
      <c r="AP109" s="3285"/>
      <c r="AQ109" s="3285"/>
      <c r="AR109" s="3285"/>
      <c r="AS109" s="3285"/>
      <c r="AT109" s="3295"/>
      <c r="AU109" s="3296"/>
      <c r="AV109" s="830">
        <f t="shared" si="11"/>
        <v>0</v>
      </c>
      <c r="AW109" s="830">
        <f t="shared" si="12"/>
        <v>0</v>
      </c>
      <c r="AX109" s="830">
        <f t="shared" si="13"/>
        <v>0</v>
      </c>
      <c r="AY109" s="3310">
        <f t="shared" si="14"/>
        <v>0</v>
      </c>
      <c r="AZ109" s="3264">
        <f t="shared" si="15"/>
        <v>0</v>
      </c>
      <c r="BA109" s="3264">
        <f t="shared" si="16"/>
        <v>0</v>
      </c>
      <c r="BB109" s="3264">
        <f t="shared" si="17"/>
        <v>0</v>
      </c>
      <c r="BC109" s="3264">
        <f t="shared" si="18"/>
        <v>0</v>
      </c>
      <c r="BD109" s="3264">
        <f t="shared" si="19"/>
        <v>0</v>
      </c>
      <c r="BE109" s="3264">
        <f t="shared" si="20"/>
        <v>0</v>
      </c>
      <c r="BF109" s="3264">
        <f t="shared" si="21"/>
        <v>0</v>
      </c>
      <c r="BG109" s="3264">
        <f t="shared" si="22"/>
        <v>0</v>
      </c>
      <c r="BH109" s="3264">
        <f t="shared" si="23"/>
        <v>0</v>
      </c>
      <c r="BI109" s="3264">
        <f t="shared" si="24"/>
        <v>0</v>
      </c>
      <c r="BJ109" s="3264">
        <f t="shared" si="25"/>
        <v>0</v>
      </c>
      <c r="BK109" s="3264">
        <f t="shared" si="26"/>
        <v>0</v>
      </c>
      <c r="BL109" s="3264">
        <f t="shared" si="27"/>
        <v>0</v>
      </c>
      <c r="BM109" s="3264">
        <f t="shared" si="28"/>
        <v>0</v>
      </c>
      <c r="BN109" s="3264">
        <f t="shared" si="29"/>
        <v>0</v>
      </c>
      <c r="BO109" s="3264">
        <f t="shared" si="30"/>
        <v>0</v>
      </c>
      <c r="BP109" s="3264">
        <f t="shared" si="31"/>
        <v>0</v>
      </c>
      <c r="BQ109" s="3264">
        <f t="shared" si="32"/>
        <v>0</v>
      </c>
      <c r="BR109" s="3264">
        <f t="shared" si="33"/>
        <v>0</v>
      </c>
      <c r="BS109" s="3264">
        <f t="shared" si="34"/>
        <v>0</v>
      </c>
      <c r="BT109" s="3317">
        <f t="shared" si="35"/>
        <v>0</v>
      </c>
    </row>
    <row r="110" spans="1:72">
      <c r="A110" s="3262"/>
      <c r="B110" s="3262"/>
      <c r="C110" s="3262"/>
      <c r="D110" s="3268"/>
      <c r="E110" s="3264">
        <f t="shared" si="7"/>
        <v>0</v>
      </c>
      <c r="F110" s="3318"/>
      <c r="G110" s="3266">
        <f t="shared" ref="G110:G141" si="36">H110+AC110+AT110</f>
        <v>0</v>
      </c>
      <c r="H110" s="3267">
        <f t="shared" ref="H110:H141" si="37">SUMIF(I$12:AB$12,"总值",I110:AB110)</f>
        <v>0</v>
      </c>
      <c r="I110" s="3319"/>
      <c r="J110" s="3319"/>
      <c r="K110" s="3275"/>
      <c r="L110" s="3275"/>
      <c r="M110" s="3275"/>
      <c r="N110" s="3275"/>
      <c r="O110" s="3275"/>
      <c r="P110" s="3275"/>
      <c r="Q110" s="3275"/>
      <c r="R110" s="3275"/>
      <c r="S110" s="3275"/>
      <c r="T110" s="3275"/>
      <c r="U110" s="3275"/>
      <c r="V110" s="3275"/>
      <c r="W110" s="3275"/>
      <c r="X110" s="3275"/>
      <c r="Y110" s="3275"/>
      <c r="Z110" s="3275"/>
      <c r="AA110" s="3275"/>
      <c r="AB110" s="3275"/>
      <c r="AC110" s="3264">
        <f t="shared" ref="AC110:AC141" si="38">SUMIF(AD$12:AS$12,"总值",AD110:AS110)</f>
        <v>0</v>
      </c>
      <c r="AD110" s="3285"/>
      <c r="AE110" s="3285"/>
      <c r="AF110" s="3285"/>
      <c r="AG110" s="3285"/>
      <c r="AH110" s="3285"/>
      <c r="AI110" s="3285"/>
      <c r="AJ110" s="3285"/>
      <c r="AK110" s="3285"/>
      <c r="AL110" s="3285"/>
      <c r="AM110" s="3285"/>
      <c r="AN110" s="3285"/>
      <c r="AO110" s="3285"/>
      <c r="AP110" s="3285"/>
      <c r="AQ110" s="3285"/>
      <c r="AR110" s="3285"/>
      <c r="AS110" s="3285"/>
      <c r="AT110" s="3285"/>
      <c r="AU110" s="3320"/>
      <c r="AV110" s="830">
        <f t="shared" si="11"/>
        <v>0</v>
      </c>
      <c r="AW110" s="830">
        <f t="shared" si="12"/>
        <v>0</v>
      </c>
      <c r="AX110" s="830">
        <f t="shared" si="13"/>
        <v>0</v>
      </c>
      <c r="AY110" s="3310">
        <f t="shared" ref="AY110:AY141" si="39">ROUND($AY$6*AZ110/$AZ$5,2)</f>
        <v>0</v>
      </c>
      <c r="AZ110" s="3264">
        <f t="shared" ref="AZ110:AZ141" si="40">BA110+BL110</f>
        <v>0</v>
      </c>
      <c r="BA110" s="3264">
        <f t="shared" ref="BA110:BA141" si="41">SUM(BB110:BK110)</f>
        <v>0</v>
      </c>
      <c r="BB110" s="3264">
        <f t="shared" ref="BB110:BB141" si="42">IF($D110="是",I110-J110,0)</f>
        <v>0</v>
      </c>
      <c r="BC110" s="3264">
        <f t="shared" ref="BC110:BC141" si="43">IF($D110="是",K110-L110,0)</f>
        <v>0</v>
      </c>
      <c r="BD110" s="3264">
        <f t="shared" ref="BD110:BD141" si="44">IF($D110="是",M110-N110,0)</f>
        <v>0</v>
      </c>
      <c r="BE110" s="3264">
        <f t="shared" ref="BE110:BE141" si="45">IF($D110="是",O110-P110,0)</f>
        <v>0</v>
      </c>
      <c r="BF110" s="3264">
        <f t="shared" ref="BF110:BF141" si="46">IF($D110="是",Q110-R110,0)</f>
        <v>0</v>
      </c>
      <c r="BG110" s="3264">
        <f t="shared" ref="BG110:BG141" si="47">IF($D110="是",S110-T110,0)</f>
        <v>0</v>
      </c>
      <c r="BH110" s="3264">
        <f t="shared" ref="BH110:BH141" si="48">IF($D110="是",U110-V110,0)</f>
        <v>0</v>
      </c>
      <c r="BI110" s="3264">
        <f t="shared" ref="BI110:BI141" si="49">IF($D110="是",W110-X110,0)</f>
        <v>0</v>
      </c>
      <c r="BJ110" s="3264">
        <f t="shared" ref="BJ110:BJ141" si="50">IF($D110="是",Y110-Z110,0)</f>
        <v>0</v>
      </c>
      <c r="BK110" s="3264">
        <f t="shared" ref="BK110:BK141" si="51">IF($D110="是",AA110-AB110,0)</f>
        <v>0</v>
      </c>
      <c r="BL110" s="3264">
        <f t="shared" ref="BL110:BL141" si="52">SUM(BM110:BT110)</f>
        <v>0</v>
      </c>
      <c r="BM110" s="3264">
        <f t="shared" ref="BM110:BM141" si="53">IF($D110="是",AD110-AE110,0)</f>
        <v>0</v>
      </c>
      <c r="BN110" s="3264">
        <f t="shared" ref="BN110:BN141" si="54">IF($D110="是",AF110-AG110,0)</f>
        <v>0</v>
      </c>
      <c r="BO110" s="3264">
        <f t="shared" ref="BO110:BO141" si="55">IF($D110="是",AH110-AI110,0)</f>
        <v>0</v>
      </c>
      <c r="BP110" s="3264">
        <f t="shared" ref="BP110:BP141" si="56">IF($D110="是",AJ110-AK110,0)</f>
        <v>0</v>
      </c>
      <c r="BQ110" s="3264">
        <f t="shared" ref="BQ110:BQ141" si="57">IF($D110="是",AL110-AM110,0)</f>
        <v>0</v>
      </c>
      <c r="BR110" s="3264">
        <f t="shared" ref="BR110:BR141" si="58">IF($D110="是",AN110-AO110,0)</f>
        <v>0</v>
      </c>
      <c r="BS110" s="3264">
        <f t="shared" ref="BS110:BS141" si="59">IF($D110="是",AP110-AQ110,0)</f>
        <v>0</v>
      </c>
      <c r="BT110" s="3317">
        <f t="shared" ref="BT110:BT141" si="60">IF($D110="是",AR110-AS110,0)</f>
        <v>0</v>
      </c>
    </row>
    <row r="111" spans="1:72">
      <c r="A111" s="3262"/>
      <c r="B111" s="3262"/>
      <c r="C111" s="3262"/>
      <c r="D111" s="3268"/>
      <c r="E111" s="3264">
        <f t="shared" si="7"/>
        <v>0</v>
      </c>
      <c r="F111" s="3318"/>
      <c r="G111" s="3266">
        <f t="shared" si="36"/>
        <v>0</v>
      </c>
      <c r="H111" s="3267">
        <f t="shared" si="37"/>
        <v>0</v>
      </c>
      <c r="I111" s="3275"/>
      <c r="J111" s="3275"/>
      <c r="K111" s="3275"/>
      <c r="L111" s="3275"/>
      <c r="M111" s="3275"/>
      <c r="N111" s="3275"/>
      <c r="O111" s="3275"/>
      <c r="P111" s="3275"/>
      <c r="Q111" s="3275"/>
      <c r="R111" s="3275"/>
      <c r="S111" s="3275"/>
      <c r="T111" s="3275"/>
      <c r="U111" s="3275"/>
      <c r="V111" s="3275"/>
      <c r="W111" s="3275"/>
      <c r="X111" s="3275"/>
      <c r="Y111" s="3275"/>
      <c r="Z111" s="3275"/>
      <c r="AA111" s="3275"/>
      <c r="AB111" s="3275"/>
      <c r="AC111" s="3264">
        <f t="shared" si="38"/>
        <v>0</v>
      </c>
      <c r="AD111" s="3285"/>
      <c r="AE111" s="3285"/>
      <c r="AF111" s="3285"/>
      <c r="AG111" s="3285"/>
      <c r="AH111" s="3285"/>
      <c r="AI111" s="3285"/>
      <c r="AJ111" s="3285"/>
      <c r="AK111" s="3285"/>
      <c r="AL111" s="3285"/>
      <c r="AM111" s="3285"/>
      <c r="AN111" s="3285"/>
      <c r="AO111" s="3285"/>
      <c r="AP111" s="3285"/>
      <c r="AQ111" s="3285"/>
      <c r="AR111" s="3285"/>
      <c r="AS111" s="3285"/>
      <c r="AT111" s="3285"/>
      <c r="AU111" s="3320"/>
      <c r="AV111" s="830">
        <f t="shared" si="11"/>
        <v>0</v>
      </c>
      <c r="AW111" s="830">
        <f t="shared" si="12"/>
        <v>0</v>
      </c>
      <c r="AX111" s="830">
        <f t="shared" si="13"/>
        <v>0</v>
      </c>
      <c r="AY111" s="3310">
        <f t="shared" si="39"/>
        <v>0</v>
      </c>
      <c r="AZ111" s="3264">
        <f t="shared" si="40"/>
        <v>0</v>
      </c>
      <c r="BA111" s="3264">
        <f t="shared" si="41"/>
        <v>0</v>
      </c>
      <c r="BB111" s="3264">
        <f t="shared" si="42"/>
        <v>0</v>
      </c>
      <c r="BC111" s="3264">
        <f t="shared" si="43"/>
        <v>0</v>
      </c>
      <c r="BD111" s="3264">
        <f t="shared" si="44"/>
        <v>0</v>
      </c>
      <c r="BE111" s="3264">
        <f t="shared" si="45"/>
        <v>0</v>
      </c>
      <c r="BF111" s="3264">
        <f t="shared" si="46"/>
        <v>0</v>
      </c>
      <c r="BG111" s="3264">
        <f t="shared" si="47"/>
        <v>0</v>
      </c>
      <c r="BH111" s="3264">
        <f t="shared" si="48"/>
        <v>0</v>
      </c>
      <c r="BI111" s="3264">
        <f t="shared" si="49"/>
        <v>0</v>
      </c>
      <c r="BJ111" s="3264">
        <f t="shared" si="50"/>
        <v>0</v>
      </c>
      <c r="BK111" s="3264">
        <f t="shared" si="51"/>
        <v>0</v>
      </c>
      <c r="BL111" s="3264">
        <f t="shared" si="52"/>
        <v>0</v>
      </c>
      <c r="BM111" s="3264">
        <f t="shared" si="53"/>
        <v>0</v>
      </c>
      <c r="BN111" s="3264">
        <f t="shared" si="54"/>
        <v>0</v>
      </c>
      <c r="BO111" s="3264">
        <f t="shared" si="55"/>
        <v>0</v>
      </c>
      <c r="BP111" s="3264">
        <f t="shared" si="56"/>
        <v>0</v>
      </c>
      <c r="BQ111" s="3264">
        <f t="shared" si="57"/>
        <v>0</v>
      </c>
      <c r="BR111" s="3264">
        <f t="shared" si="58"/>
        <v>0</v>
      </c>
      <c r="BS111" s="3264">
        <f t="shared" si="59"/>
        <v>0</v>
      </c>
      <c r="BT111" s="3317">
        <f t="shared" si="60"/>
        <v>0</v>
      </c>
    </row>
    <row r="112" spans="1:72">
      <c r="A112" s="3262"/>
      <c r="B112" s="3262"/>
      <c r="C112" s="3262"/>
      <c r="D112" s="3268"/>
      <c r="E112" s="3264">
        <f t="shared" si="7"/>
        <v>0</v>
      </c>
      <c r="F112" s="3318"/>
      <c r="G112" s="3266">
        <f t="shared" si="36"/>
        <v>0</v>
      </c>
      <c r="H112" s="3267">
        <f t="shared" si="37"/>
        <v>0</v>
      </c>
      <c r="I112" s="3275"/>
      <c r="J112" s="3275"/>
      <c r="K112" s="3275"/>
      <c r="L112" s="3275"/>
      <c r="M112" s="3275"/>
      <c r="N112" s="3275"/>
      <c r="O112" s="3275"/>
      <c r="P112" s="3275"/>
      <c r="Q112" s="3275"/>
      <c r="R112" s="3275"/>
      <c r="S112" s="3275"/>
      <c r="T112" s="3275"/>
      <c r="U112" s="3275"/>
      <c r="V112" s="3275"/>
      <c r="W112" s="3275"/>
      <c r="X112" s="3275"/>
      <c r="Y112" s="3275"/>
      <c r="Z112" s="3275"/>
      <c r="AA112" s="3275"/>
      <c r="AB112" s="3275"/>
      <c r="AC112" s="3264">
        <f t="shared" si="38"/>
        <v>0</v>
      </c>
      <c r="AD112" s="3285"/>
      <c r="AE112" s="3285"/>
      <c r="AF112" s="3285"/>
      <c r="AG112" s="3285"/>
      <c r="AH112" s="3285"/>
      <c r="AI112" s="3285"/>
      <c r="AJ112" s="3285"/>
      <c r="AK112" s="3285"/>
      <c r="AL112" s="3285"/>
      <c r="AM112" s="3285"/>
      <c r="AN112" s="3285"/>
      <c r="AO112" s="3285"/>
      <c r="AP112" s="3285"/>
      <c r="AQ112" s="3285"/>
      <c r="AR112" s="3285"/>
      <c r="AS112" s="3285"/>
      <c r="AT112" s="3285"/>
      <c r="AU112" s="3320"/>
      <c r="AV112" s="830">
        <f t="shared" si="11"/>
        <v>0</v>
      </c>
      <c r="AW112" s="830">
        <f t="shared" si="12"/>
        <v>0</v>
      </c>
      <c r="AX112" s="830">
        <f t="shared" si="13"/>
        <v>0</v>
      </c>
      <c r="AY112" s="3310">
        <f t="shared" si="39"/>
        <v>0</v>
      </c>
      <c r="AZ112" s="3264">
        <f t="shared" si="40"/>
        <v>0</v>
      </c>
      <c r="BA112" s="3264">
        <f t="shared" si="41"/>
        <v>0</v>
      </c>
      <c r="BB112" s="3264">
        <f t="shared" si="42"/>
        <v>0</v>
      </c>
      <c r="BC112" s="3264">
        <f t="shared" si="43"/>
        <v>0</v>
      </c>
      <c r="BD112" s="3264">
        <f t="shared" si="44"/>
        <v>0</v>
      </c>
      <c r="BE112" s="3264">
        <f t="shared" si="45"/>
        <v>0</v>
      </c>
      <c r="BF112" s="3264">
        <f t="shared" si="46"/>
        <v>0</v>
      </c>
      <c r="BG112" s="3264">
        <f t="shared" si="47"/>
        <v>0</v>
      </c>
      <c r="BH112" s="3264">
        <f t="shared" si="48"/>
        <v>0</v>
      </c>
      <c r="BI112" s="3264">
        <f t="shared" si="49"/>
        <v>0</v>
      </c>
      <c r="BJ112" s="3264">
        <f t="shared" si="50"/>
        <v>0</v>
      </c>
      <c r="BK112" s="3264">
        <f t="shared" si="51"/>
        <v>0</v>
      </c>
      <c r="BL112" s="3264">
        <f t="shared" si="52"/>
        <v>0</v>
      </c>
      <c r="BM112" s="3264">
        <f t="shared" si="53"/>
        <v>0</v>
      </c>
      <c r="BN112" s="3264">
        <f t="shared" si="54"/>
        <v>0</v>
      </c>
      <c r="BO112" s="3264">
        <f t="shared" si="55"/>
        <v>0</v>
      </c>
      <c r="BP112" s="3264">
        <f t="shared" si="56"/>
        <v>0</v>
      </c>
      <c r="BQ112" s="3264">
        <f t="shared" si="57"/>
        <v>0</v>
      </c>
      <c r="BR112" s="3264">
        <f t="shared" si="58"/>
        <v>0</v>
      </c>
      <c r="BS112" s="3264">
        <f t="shared" si="59"/>
        <v>0</v>
      </c>
      <c r="BT112" s="3317">
        <f t="shared" si="60"/>
        <v>0</v>
      </c>
    </row>
    <row r="113" spans="1:72">
      <c r="A113" s="3262"/>
      <c r="B113" s="3263"/>
      <c r="C113" s="3263"/>
      <c r="D113" s="3268"/>
      <c r="E113" s="3264">
        <f t="shared" ref="E113:E144" si="61">IF($C$3="是",ROUND($A$3*G113/$B$3,2),ROUND($A$3*(G113-AT113)/$B$3,2))</f>
        <v>0</v>
      </c>
      <c r="F113" s="3265"/>
      <c r="G113" s="3266">
        <f t="shared" si="36"/>
        <v>0</v>
      </c>
      <c r="H113" s="3267">
        <f t="shared" si="37"/>
        <v>0</v>
      </c>
      <c r="I113" s="3275"/>
      <c r="J113" s="3275"/>
      <c r="K113" s="3275"/>
      <c r="L113" s="3275"/>
      <c r="M113" s="3275"/>
      <c r="N113" s="3275"/>
      <c r="O113" s="3275"/>
      <c r="P113" s="3275"/>
      <c r="Q113" s="3275"/>
      <c r="R113" s="3275"/>
      <c r="S113" s="3275"/>
      <c r="T113" s="3275"/>
      <c r="U113" s="3275"/>
      <c r="V113" s="3275"/>
      <c r="W113" s="3275"/>
      <c r="X113" s="3275"/>
      <c r="Y113" s="3275"/>
      <c r="Z113" s="3275"/>
      <c r="AA113" s="3275"/>
      <c r="AB113" s="3275"/>
      <c r="AC113" s="3264">
        <f t="shared" si="38"/>
        <v>0</v>
      </c>
      <c r="AD113" s="3285"/>
      <c r="AE113" s="3285"/>
      <c r="AF113" s="3285"/>
      <c r="AG113" s="3285"/>
      <c r="AH113" s="3285"/>
      <c r="AI113" s="3285"/>
      <c r="AJ113" s="3285"/>
      <c r="AK113" s="3285"/>
      <c r="AL113" s="3285"/>
      <c r="AM113" s="3285"/>
      <c r="AN113" s="3285"/>
      <c r="AO113" s="3285"/>
      <c r="AP113" s="3285"/>
      <c r="AQ113" s="3285"/>
      <c r="AR113" s="3285"/>
      <c r="AS113" s="3285"/>
      <c r="AT113" s="3295"/>
      <c r="AU113" s="3296"/>
      <c r="AV113" s="830">
        <f t="shared" ref="AV113:AV144" si="62">A113</f>
        <v>0</v>
      </c>
      <c r="AW113" s="830">
        <f t="shared" ref="AW113:AW144" si="63">B113</f>
        <v>0</v>
      </c>
      <c r="AX113" s="830">
        <f t="shared" ref="AX113:AX144" si="64">C113</f>
        <v>0</v>
      </c>
      <c r="AY113" s="3310">
        <f t="shared" si="39"/>
        <v>0</v>
      </c>
      <c r="AZ113" s="3264">
        <f t="shared" si="40"/>
        <v>0</v>
      </c>
      <c r="BA113" s="3264">
        <f t="shared" si="41"/>
        <v>0</v>
      </c>
      <c r="BB113" s="3264">
        <f t="shared" si="42"/>
        <v>0</v>
      </c>
      <c r="BC113" s="3264">
        <f t="shared" si="43"/>
        <v>0</v>
      </c>
      <c r="BD113" s="3264">
        <f t="shared" si="44"/>
        <v>0</v>
      </c>
      <c r="BE113" s="3264">
        <f t="shared" si="45"/>
        <v>0</v>
      </c>
      <c r="BF113" s="3264">
        <f t="shared" si="46"/>
        <v>0</v>
      </c>
      <c r="BG113" s="3264">
        <f t="shared" si="47"/>
        <v>0</v>
      </c>
      <c r="BH113" s="3264">
        <f t="shared" si="48"/>
        <v>0</v>
      </c>
      <c r="BI113" s="3264">
        <f t="shared" si="49"/>
        <v>0</v>
      </c>
      <c r="BJ113" s="3264">
        <f t="shared" si="50"/>
        <v>0</v>
      </c>
      <c r="BK113" s="3264">
        <f t="shared" si="51"/>
        <v>0</v>
      </c>
      <c r="BL113" s="3264">
        <f t="shared" si="52"/>
        <v>0</v>
      </c>
      <c r="BM113" s="3264">
        <f t="shared" si="53"/>
        <v>0</v>
      </c>
      <c r="BN113" s="3264">
        <f t="shared" si="54"/>
        <v>0</v>
      </c>
      <c r="BO113" s="3264">
        <f t="shared" si="55"/>
        <v>0</v>
      </c>
      <c r="BP113" s="3264">
        <f t="shared" si="56"/>
        <v>0</v>
      </c>
      <c r="BQ113" s="3264">
        <f t="shared" si="57"/>
        <v>0</v>
      </c>
      <c r="BR113" s="3264">
        <f t="shared" si="58"/>
        <v>0</v>
      </c>
      <c r="BS113" s="3264">
        <f t="shared" si="59"/>
        <v>0</v>
      </c>
      <c r="BT113" s="3317">
        <f t="shared" si="60"/>
        <v>0</v>
      </c>
    </row>
    <row r="114" spans="1:72">
      <c r="A114" s="3262"/>
      <c r="B114" s="3263"/>
      <c r="C114" s="3263"/>
      <c r="D114" s="3268"/>
      <c r="E114" s="3264">
        <f t="shared" si="61"/>
        <v>0</v>
      </c>
      <c r="F114" s="3265"/>
      <c r="G114" s="3266">
        <f t="shared" si="36"/>
        <v>0</v>
      </c>
      <c r="H114" s="3267">
        <f t="shared" si="37"/>
        <v>0</v>
      </c>
      <c r="I114" s="3275"/>
      <c r="J114" s="3275"/>
      <c r="K114" s="3275"/>
      <c r="L114" s="3275"/>
      <c r="M114" s="3275"/>
      <c r="N114" s="3275"/>
      <c r="O114" s="3275"/>
      <c r="P114" s="3275"/>
      <c r="Q114" s="3275"/>
      <c r="R114" s="3275"/>
      <c r="S114" s="3275"/>
      <c r="T114" s="3275"/>
      <c r="U114" s="3275"/>
      <c r="V114" s="3275"/>
      <c r="W114" s="3275"/>
      <c r="X114" s="3275"/>
      <c r="Y114" s="3275"/>
      <c r="Z114" s="3275"/>
      <c r="AA114" s="3275"/>
      <c r="AB114" s="3275"/>
      <c r="AC114" s="3264">
        <f t="shared" si="38"/>
        <v>0</v>
      </c>
      <c r="AD114" s="3285"/>
      <c r="AE114" s="3285"/>
      <c r="AF114" s="3285"/>
      <c r="AG114" s="3285"/>
      <c r="AH114" s="3285"/>
      <c r="AI114" s="3285"/>
      <c r="AJ114" s="3285"/>
      <c r="AK114" s="3285"/>
      <c r="AL114" s="3285"/>
      <c r="AM114" s="3285"/>
      <c r="AN114" s="3285"/>
      <c r="AO114" s="3285"/>
      <c r="AP114" s="3285"/>
      <c r="AQ114" s="3285"/>
      <c r="AR114" s="3285"/>
      <c r="AS114" s="3285"/>
      <c r="AT114" s="3295"/>
      <c r="AU114" s="3296"/>
      <c r="AV114" s="830">
        <f t="shared" si="62"/>
        <v>0</v>
      </c>
      <c r="AW114" s="830">
        <f t="shared" si="63"/>
        <v>0</v>
      </c>
      <c r="AX114" s="830">
        <f t="shared" si="64"/>
        <v>0</v>
      </c>
      <c r="AY114" s="3310">
        <f t="shared" si="39"/>
        <v>0</v>
      </c>
      <c r="AZ114" s="3264">
        <f t="shared" si="40"/>
        <v>0</v>
      </c>
      <c r="BA114" s="3264">
        <f t="shared" si="41"/>
        <v>0</v>
      </c>
      <c r="BB114" s="3264">
        <f t="shared" si="42"/>
        <v>0</v>
      </c>
      <c r="BC114" s="3264">
        <f t="shared" si="43"/>
        <v>0</v>
      </c>
      <c r="BD114" s="3264">
        <f t="shared" si="44"/>
        <v>0</v>
      </c>
      <c r="BE114" s="3264">
        <f t="shared" si="45"/>
        <v>0</v>
      </c>
      <c r="BF114" s="3264">
        <f t="shared" si="46"/>
        <v>0</v>
      </c>
      <c r="BG114" s="3264">
        <f t="shared" si="47"/>
        <v>0</v>
      </c>
      <c r="BH114" s="3264">
        <f t="shared" si="48"/>
        <v>0</v>
      </c>
      <c r="BI114" s="3264">
        <f t="shared" si="49"/>
        <v>0</v>
      </c>
      <c r="BJ114" s="3264">
        <f t="shared" si="50"/>
        <v>0</v>
      </c>
      <c r="BK114" s="3264">
        <f t="shared" si="51"/>
        <v>0</v>
      </c>
      <c r="BL114" s="3264">
        <f t="shared" si="52"/>
        <v>0</v>
      </c>
      <c r="BM114" s="3264">
        <f t="shared" si="53"/>
        <v>0</v>
      </c>
      <c r="BN114" s="3264">
        <f t="shared" si="54"/>
        <v>0</v>
      </c>
      <c r="BO114" s="3264">
        <f t="shared" si="55"/>
        <v>0</v>
      </c>
      <c r="BP114" s="3264">
        <f t="shared" si="56"/>
        <v>0</v>
      </c>
      <c r="BQ114" s="3264">
        <f t="shared" si="57"/>
        <v>0</v>
      </c>
      <c r="BR114" s="3264">
        <f t="shared" si="58"/>
        <v>0</v>
      </c>
      <c r="BS114" s="3264">
        <f t="shared" si="59"/>
        <v>0</v>
      </c>
      <c r="BT114" s="3317">
        <f t="shared" si="60"/>
        <v>0</v>
      </c>
    </row>
    <row r="115" spans="1:72">
      <c r="A115" s="3262"/>
      <c r="B115" s="3263"/>
      <c r="C115" s="3263"/>
      <c r="D115" s="3268"/>
      <c r="E115" s="3264">
        <f t="shared" si="61"/>
        <v>0</v>
      </c>
      <c r="F115" s="3265"/>
      <c r="G115" s="3266">
        <f t="shared" si="36"/>
        <v>0</v>
      </c>
      <c r="H115" s="3267">
        <f t="shared" si="37"/>
        <v>0</v>
      </c>
      <c r="I115" s="3275"/>
      <c r="J115" s="3275"/>
      <c r="K115" s="3275"/>
      <c r="L115" s="3275"/>
      <c r="M115" s="3275"/>
      <c r="N115" s="3275"/>
      <c r="O115" s="3275"/>
      <c r="P115" s="3275"/>
      <c r="Q115" s="3275"/>
      <c r="R115" s="3275"/>
      <c r="S115" s="3275"/>
      <c r="T115" s="3275"/>
      <c r="U115" s="3275"/>
      <c r="V115" s="3275"/>
      <c r="W115" s="3275"/>
      <c r="X115" s="3275"/>
      <c r="Y115" s="3275"/>
      <c r="Z115" s="3275"/>
      <c r="AA115" s="3275"/>
      <c r="AB115" s="3275"/>
      <c r="AC115" s="3264">
        <f t="shared" si="38"/>
        <v>0</v>
      </c>
      <c r="AD115" s="3285"/>
      <c r="AE115" s="3285"/>
      <c r="AF115" s="3285"/>
      <c r="AG115" s="3285"/>
      <c r="AH115" s="3285"/>
      <c r="AI115" s="3285"/>
      <c r="AJ115" s="3285"/>
      <c r="AK115" s="3285"/>
      <c r="AL115" s="3285"/>
      <c r="AM115" s="3285"/>
      <c r="AN115" s="3285"/>
      <c r="AO115" s="3285"/>
      <c r="AP115" s="3285"/>
      <c r="AQ115" s="3285"/>
      <c r="AR115" s="3285"/>
      <c r="AS115" s="3285"/>
      <c r="AT115" s="3295"/>
      <c r="AU115" s="3296"/>
      <c r="AV115" s="830">
        <f t="shared" si="62"/>
        <v>0</v>
      </c>
      <c r="AW115" s="830">
        <f t="shared" si="63"/>
        <v>0</v>
      </c>
      <c r="AX115" s="830">
        <f t="shared" si="64"/>
        <v>0</v>
      </c>
      <c r="AY115" s="3310">
        <f t="shared" si="39"/>
        <v>0</v>
      </c>
      <c r="AZ115" s="3264">
        <f t="shared" si="40"/>
        <v>0</v>
      </c>
      <c r="BA115" s="3264">
        <f t="shared" si="41"/>
        <v>0</v>
      </c>
      <c r="BB115" s="3264">
        <f t="shared" si="42"/>
        <v>0</v>
      </c>
      <c r="BC115" s="3264">
        <f t="shared" si="43"/>
        <v>0</v>
      </c>
      <c r="BD115" s="3264">
        <f t="shared" si="44"/>
        <v>0</v>
      </c>
      <c r="BE115" s="3264">
        <f t="shared" si="45"/>
        <v>0</v>
      </c>
      <c r="BF115" s="3264">
        <f t="shared" si="46"/>
        <v>0</v>
      </c>
      <c r="BG115" s="3264">
        <f t="shared" si="47"/>
        <v>0</v>
      </c>
      <c r="BH115" s="3264">
        <f t="shared" si="48"/>
        <v>0</v>
      </c>
      <c r="BI115" s="3264">
        <f t="shared" si="49"/>
        <v>0</v>
      </c>
      <c r="BJ115" s="3264">
        <f t="shared" si="50"/>
        <v>0</v>
      </c>
      <c r="BK115" s="3264">
        <f t="shared" si="51"/>
        <v>0</v>
      </c>
      <c r="BL115" s="3264">
        <f t="shared" si="52"/>
        <v>0</v>
      </c>
      <c r="BM115" s="3264">
        <f t="shared" si="53"/>
        <v>0</v>
      </c>
      <c r="BN115" s="3264">
        <f t="shared" si="54"/>
        <v>0</v>
      </c>
      <c r="BO115" s="3264">
        <f t="shared" si="55"/>
        <v>0</v>
      </c>
      <c r="BP115" s="3264">
        <f t="shared" si="56"/>
        <v>0</v>
      </c>
      <c r="BQ115" s="3264">
        <f t="shared" si="57"/>
        <v>0</v>
      </c>
      <c r="BR115" s="3264">
        <f t="shared" si="58"/>
        <v>0</v>
      </c>
      <c r="BS115" s="3264">
        <f t="shared" si="59"/>
        <v>0</v>
      </c>
      <c r="BT115" s="3317">
        <f t="shared" si="60"/>
        <v>0</v>
      </c>
    </row>
    <row r="116" spans="1:72">
      <c r="A116" s="3262"/>
      <c r="B116" s="3263"/>
      <c r="C116" s="3263"/>
      <c r="D116" s="3268"/>
      <c r="E116" s="3264">
        <f t="shared" si="61"/>
        <v>0</v>
      </c>
      <c r="F116" s="3265"/>
      <c r="G116" s="3266">
        <f t="shared" si="36"/>
        <v>0</v>
      </c>
      <c r="H116" s="3267">
        <f t="shared" si="37"/>
        <v>0</v>
      </c>
      <c r="I116" s="3275"/>
      <c r="J116" s="3275"/>
      <c r="K116" s="3275"/>
      <c r="L116" s="3275"/>
      <c r="M116" s="3275"/>
      <c r="N116" s="3275"/>
      <c r="O116" s="3275"/>
      <c r="P116" s="3275"/>
      <c r="Q116" s="3275"/>
      <c r="R116" s="3275"/>
      <c r="S116" s="3275"/>
      <c r="T116" s="3275"/>
      <c r="U116" s="3275"/>
      <c r="V116" s="3275"/>
      <c r="W116" s="3275"/>
      <c r="X116" s="3275"/>
      <c r="Y116" s="3275"/>
      <c r="Z116" s="3275"/>
      <c r="AA116" s="3275"/>
      <c r="AB116" s="3275"/>
      <c r="AC116" s="3264">
        <f t="shared" si="38"/>
        <v>0</v>
      </c>
      <c r="AD116" s="3285"/>
      <c r="AE116" s="3285"/>
      <c r="AF116" s="3285"/>
      <c r="AG116" s="3285"/>
      <c r="AH116" s="3285"/>
      <c r="AI116" s="3285"/>
      <c r="AJ116" s="3285"/>
      <c r="AK116" s="3285"/>
      <c r="AL116" s="3285"/>
      <c r="AM116" s="3285"/>
      <c r="AN116" s="3285"/>
      <c r="AO116" s="3285"/>
      <c r="AP116" s="3285"/>
      <c r="AQ116" s="3285"/>
      <c r="AR116" s="3285"/>
      <c r="AS116" s="3285"/>
      <c r="AT116" s="3295"/>
      <c r="AU116" s="3296"/>
      <c r="AV116" s="830">
        <f t="shared" si="62"/>
        <v>0</v>
      </c>
      <c r="AW116" s="830">
        <f t="shared" si="63"/>
        <v>0</v>
      </c>
      <c r="AX116" s="830">
        <f t="shared" si="64"/>
        <v>0</v>
      </c>
      <c r="AY116" s="3310">
        <f t="shared" si="39"/>
        <v>0</v>
      </c>
      <c r="AZ116" s="3264">
        <f t="shared" si="40"/>
        <v>0</v>
      </c>
      <c r="BA116" s="3264">
        <f t="shared" si="41"/>
        <v>0</v>
      </c>
      <c r="BB116" s="3264">
        <f t="shared" si="42"/>
        <v>0</v>
      </c>
      <c r="BC116" s="3264">
        <f t="shared" si="43"/>
        <v>0</v>
      </c>
      <c r="BD116" s="3264">
        <f t="shared" si="44"/>
        <v>0</v>
      </c>
      <c r="BE116" s="3264">
        <f t="shared" si="45"/>
        <v>0</v>
      </c>
      <c r="BF116" s="3264">
        <f t="shared" si="46"/>
        <v>0</v>
      </c>
      <c r="BG116" s="3264">
        <f t="shared" si="47"/>
        <v>0</v>
      </c>
      <c r="BH116" s="3264">
        <f t="shared" si="48"/>
        <v>0</v>
      </c>
      <c r="BI116" s="3264">
        <f t="shared" si="49"/>
        <v>0</v>
      </c>
      <c r="BJ116" s="3264">
        <f t="shared" si="50"/>
        <v>0</v>
      </c>
      <c r="BK116" s="3264">
        <f t="shared" si="51"/>
        <v>0</v>
      </c>
      <c r="BL116" s="3264">
        <f t="shared" si="52"/>
        <v>0</v>
      </c>
      <c r="BM116" s="3264">
        <f t="shared" si="53"/>
        <v>0</v>
      </c>
      <c r="BN116" s="3264">
        <f t="shared" si="54"/>
        <v>0</v>
      </c>
      <c r="BO116" s="3264">
        <f t="shared" si="55"/>
        <v>0</v>
      </c>
      <c r="BP116" s="3264">
        <f t="shared" si="56"/>
        <v>0</v>
      </c>
      <c r="BQ116" s="3264">
        <f t="shared" si="57"/>
        <v>0</v>
      </c>
      <c r="BR116" s="3264">
        <f t="shared" si="58"/>
        <v>0</v>
      </c>
      <c r="BS116" s="3264">
        <f t="shared" si="59"/>
        <v>0</v>
      </c>
      <c r="BT116" s="3317">
        <f t="shared" si="60"/>
        <v>0</v>
      </c>
    </row>
    <row r="117" spans="1:72">
      <c r="A117" s="3262"/>
      <c r="B117" s="3263"/>
      <c r="C117" s="3263"/>
      <c r="D117" s="3268"/>
      <c r="E117" s="3264">
        <f t="shared" si="61"/>
        <v>0</v>
      </c>
      <c r="F117" s="3265"/>
      <c r="G117" s="3266">
        <f t="shared" si="36"/>
        <v>0</v>
      </c>
      <c r="H117" s="3267">
        <f t="shared" si="37"/>
        <v>0</v>
      </c>
      <c r="I117" s="3275"/>
      <c r="J117" s="3275"/>
      <c r="K117" s="3275"/>
      <c r="L117" s="3275"/>
      <c r="M117" s="3275"/>
      <c r="N117" s="3275"/>
      <c r="O117" s="3275"/>
      <c r="P117" s="3275"/>
      <c r="Q117" s="3275"/>
      <c r="R117" s="3275"/>
      <c r="S117" s="3275"/>
      <c r="T117" s="3275"/>
      <c r="U117" s="3275"/>
      <c r="V117" s="3275"/>
      <c r="W117" s="3275"/>
      <c r="X117" s="3275"/>
      <c r="Y117" s="3275"/>
      <c r="Z117" s="3275"/>
      <c r="AA117" s="3275"/>
      <c r="AB117" s="3275"/>
      <c r="AC117" s="3264">
        <f t="shared" si="38"/>
        <v>0</v>
      </c>
      <c r="AD117" s="3285"/>
      <c r="AE117" s="3285"/>
      <c r="AF117" s="3285"/>
      <c r="AG117" s="3285"/>
      <c r="AH117" s="3285"/>
      <c r="AI117" s="3285"/>
      <c r="AJ117" s="3285"/>
      <c r="AK117" s="3285"/>
      <c r="AL117" s="3285"/>
      <c r="AM117" s="3285"/>
      <c r="AN117" s="3285"/>
      <c r="AO117" s="3285"/>
      <c r="AP117" s="3285"/>
      <c r="AQ117" s="3285"/>
      <c r="AR117" s="3285"/>
      <c r="AS117" s="3285"/>
      <c r="AT117" s="3295"/>
      <c r="AU117" s="3296"/>
      <c r="AV117" s="830">
        <f t="shared" si="62"/>
        <v>0</v>
      </c>
      <c r="AW117" s="830">
        <f t="shared" si="63"/>
        <v>0</v>
      </c>
      <c r="AX117" s="830">
        <f t="shared" si="64"/>
        <v>0</v>
      </c>
      <c r="AY117" s="3310">
        <f t="shared" si="39"/>
        <v>0</v>
      </c>
      <c r="AZ117" s="3264">
        <f t="shared" si="40"/>
        <v>0</v>
      </c>
      <c r="BA117" s="3264">
        <f t="shared" si="41"/>
        <v>0</v>
      </c>
      <c r="BB117" s="3264">
        <f t="shared" si="42"/>
        <v>0</v>
      </c>
      <c r="BC117" s="3264">
        <f t="shared" si="43"/>
        <v>0</v>
      </c>
      <c r="BD117" s="3264">
        <f t="shared" si="44"/>
        <v>0</v>
      </c>
      <c r="BE117" s="3264">
        <f t="shared" si="45"/>
        <v>0</v>
      </c>
      <c r="BF117" s="3264">
        <f t="shared" si="46"/>
        <v>0</v>
      </c>
      <c r="BG117" s="3264">
        <f t="shared" si="47"/>
        <v>0</v>
      </c>
      <c r="BH117" s="3264">
        <f t="shared" si="48"/>
        <v>0</v>
      </c>
      <c r="BI117" s="3264">
        <f t="shared" si="49"/>
        <v>0</v>
      </c>
      <c r="BJ117" s="3264">
        <f t="shared" si="50"/>
        <v>0</v>
      </c>
      <c r="BK117" s="3264">
        <f t="shared" si="51"/>
        <v>0</v>
      </c>
      <c r="BL117" s="3264">
        <f t="shared" si="52"/>
        <v>0</v>
      </c>
      <c r="BM117" s="3264">
        <f t="shared" si="53"/>
        <v>0</v>
      </c>
      <c r="BN117" s="3264">
        <f t="shared" si="54"/>
        <v>0</v>
      </c>
      <c r="BO117" s="3264">
        <f t="shared" si="55"/>
        <v>0</v>
      </c>
      <c r="BP117" s="3264">
        <f t="shared" si="56"/>
        <v>0</v>
      </c>
      <c r="BQ117" s="3264">
        <f t="shared" si="57"/>
        <v>0</v>
      </c>
      <c r="BR117" s="3264">
        <f t="shared" si="58"/>
        <v>0</v>
      </c>
      <c r="BS117" s="3264">
        <f t="shared" si="59"/>
        <v>0</v>
      </c>
      <c r="BT117" s="3317">
        <f t="shared" si="60"/>
        <v>0</v>
      </c>
    </row>
    <row r="118" spans="1:72">
      <c r="A118" s="3262"/>
      <c r="B118" s="3263"/>
      <c r="C118" s="3263"/>
      <c r="D118" s="3268"/>
      <c r="E118" s="3264">
        <f t="shared" si="61"/>
        <v>0</v>
      </c>
      <c r="F118" s="3265"/>
      <c r="G118" s="3266">
        <f t="shared" si="36"/>
        <v>0</v>
      </c>
      <c r="H118" s="3267">
        <f t="shared" si="37"/>
        <v>0</v>
      </c>
      <c r="I118" s="3275"/>
      <c r="J118" s="3275"/>
      <c r="K118" s="3275"/>
      <c r="L118" s="3275"/>
      <c r="M118" s="3275"/>
      <c r="N118" s="3275"/>
      <c r="O118" s="3275"/>
      <c r="P118" s="3275"/>
      <c r="Q118" s="3275"/>
      <c r="R118" s="3275"/>
      <c r="S118" s="3275"/>
      <c r="T118" s="3275"/>
      <c r="U118" s="3275"/>
      <c r="V118" s="3275"/>
      <c r="W118" s="3275"/>
      <c r="X118" s="3275"/>
      <c r="Y118" s="3275"/>
      <c r="Z118" s="3275"/>
      <c r="AA118" s="3275"/>
      <c r="AB118" s="3275"/>
      <c r="AC118" s="3264">
        <f t="shared" si="38"/>
        <v>0</v>
      </c>
      <c r="AD118" s="3285"/>
      <c r="AE118" s="3285"/>
      <c r="AF118" s="3285"/>
      <c r="AG118" s="3285"/>
      <c r="AH118" s="3285"/>
      <c r="AI118" s="3285"/>
      <c r="AJ118" s="3285"/>
      <c r="AK118" s="3285"/>
      <c r="AL118" s="3285"/>
      <c r="AM118" s="3285"/>
      <c r="AN118" s="3285"/>
      <c r="AO118" s="3285"/>
      <c r="AP118" s="3285"/>
      <c r="AQ118" s="3285"/>
      <c r="AR118" s="3285"/>
      <c r="AS118" s="3285"/>
      <c r="AT118" s="3295"/>
      <c r="AU118" s="3296"/>
      <c r="AV118" s="830">
        <f t="shared" si="62"/>
        <v>0</v>
      </c>
      <c r="AW118" s="830">
        <f t="shared" si="63"/>
        <v>0</v>
      </c>
      <c r="AX118" s="830">
        <f t="shared" si="64"/>
        <v>0</v>
      </c>
      <c r="AY118" s="3310">
        <f t="shared" si="39"/>
        <v>0</v>
      </c>
      <c r="AZ118" s="3264">
        <f t="shared" si="40"/>
        <v>0</v>
      </c>
      <c r="BA118" s="3264">
        <f t="shared" si="41"/>
        <v>0</v>
      </c>
      <c r="BB118" s="3264">
        <f t="shared" si="42"/>
        <v>0</v>
      </c>
      <c r="BC118" s="3264">
        <f t="shared" si="43"/>
        <v>0</v>
      </c>
      <c r="BD118" s="3264">
        <f t="shared" si="44"/>
        <v>0</v>
      </c>
      <c r="BE118" s="3264">
        <f t="shared" si="45"/>
        <v>0</v>
      </c>
      <c r="BF118" s="3264">
        <f t="shared" si="46"/>
        <v>0</v>
      </c>
      <c r="BG118" s="3264">
        <f t="shared" si="47"/>
        <v>0</v>
      </c>
      <c r="BH118" s="3264">
        <f t="shared" si="48"/>
        <v>0</v>
      </c>
      <c r="BI118" s="3264">
        <f t="shared" si="49"/>
        <v>0</v>
      </c>
      <c r="BJ118" s="3264">
        <f t="shared" si="50"/>
        <v>0</v>
      </c>
      <c r="BK118" s="3264">
        <f t="shared" si="51"/>
        <v>0</v>
      </c>
      <c r="BL118" s="3264">
        <f t="shared" si="52"/>
        <v>0</v>
      </c>
      <c r="BM118" s="3264">
        <f t="shared" si="53"/>
        <v>0</v>
      </c>
      <c r="BN118" s="3264">
        <f t="shared" si="54"/>
        <v>0</v>
      </c>
      <c r="BO118" s="3264">
        <f t="shared" si="55"/>
        <v>0</v>
      </c>
      <c r="BP118" s="3264">
        <f t="shared" si="56"/>
        <v>0</v>
      </c>
      <c r="BQ118" s="3264">
        <f t="shared" si="57"/>
        <v>0</v>
      </c>
      <c r="BR118" s="3264">
        <f t="shared" si="58"/>
        <v>0</v>
      </c>
      <c r="BS118" s="3264">
        <f t="shared" si="59"/>
        <v>0</v>
      </c>
      <c r="BT118" s="3317">
        <f t="shared" si="60"/>
        <v>0</v>
      </c>
    </row>
    <row r="119" spans="1:72">
      <c r="A119" s="3262"/>
      <c r="B119" s="3263"/>
      <c r="C119" s="3263"/>
      <c r="D119" s="3268"/>
      <c r="E119" s="3264">
        <f t="shared" si="61"/>
        <v>0</v>
      </c>
      <c r="F119" s="3265"/>
      <c r="G119" s="3266">
        <f t="shared" si="36"/>
        <v>0</v>
      </c>
      <c r="H119" s="3267">
        <f t="shared" si="37"/>
        <v>0</v>
      </c>
      <c r="I119" s="3275"/>
      <c r="J119" s="3275"/>
      <c r="K119" s="3275"/>
      <c r="L119" s="3275"/>
      <c r="M119" s="3275"/>
      <c r="N119" s="3275"/>
      <c r="O119" s="3275"/>
      <c r="P119" s="3275"/>
      <c r="Q119" s="3275"/>
      <c r="R119" s="3275"/>
      <c r="S119" s="3275"/>
      <c r="T119" s="3275"/>
      <c r="U119" s="3275"/>
      <c r="V119" s="3275"/>
      <c r="W119" s="3275"/>
      <c r="X119" s="3275"/>
      <c r="Y119" s="3275"/>
      <c r="Z119" s="3275"/>
      <c r="AA119" s="3275"/>
      <c r="AB119" s="3275"/>
      <c r="AC119" s="3264">
        <f t="shared" si="38"/>
        <v>0</v>
      </c>
      <c r="AD119" s="3285"/>
      <c r="AE119" s="3285"/>
      <c r="AF119" s="3285"/>
      <c r="AG119" s="3285"/>
      <c r="AH119" s="3285"/>
      <c r="AI119" s="3285"/>
      <c r="AJ119" s="3285"/>
      <c r="AK119" s="3285"/>
      <c r="AL119" s="3285"/>
      <c r="AM119" s="3285"/>
      <c r="AN119" s="3285"/>
      <c r="AO119" s="3285"/>
      <c r="AP119" s="3285"/>
      <c r="AQ119" s="3285"/>
      <c r="AR119" s="3285"/>
      <c r="AS119" s="3285"/>
      <c r="AT119" s="3295"/>
      <c r="AU119" s="3296"/>
      <c r="AV119" s="830">
        <f t="shared" si="62"/>
        <v>0</v>
      </c>
      <c r="AW119" s="830">
        <f t="shared" si="63"/>
        <v>0</v>
      </c>
      <c r="AX119" s="830">
        <f t="shared" si="64"/>
        <v>0</v>
      </c>
      <c r="AY119" s="3310">
        <f t="shared" si="39"/>
        <v>0</v>
      </c>
      <c r="AZ119" s="3264">
        <f t="shared" si="40"/>
        <v>0</v>
      </c>
      <c r="BA119" s="3264">
        <f t="shared" si="41"/>
        <v>0</v>
      </c>
      <c r="BB119" s="3264">
        <f t="shared" si="42"/>
        <v>0</v>
      </c>
      <c r="BC119" s="3264">
        <f t="shared" si="43"/>
        <v>0</v>
      </c>
      <c r="BD119" s="3264">
        <f t="shared" si="44"/>
        <v>0</v>
      </c>
      <c r="BE119" s="3264">
        <f t="shared" si="45"/>
        <v>0</v>
      </c>
      <c r="BF119" s="3264">
        <f t="shared" si="46"/>
        <v>0</v>
      </c>
      <c r="BG119" s="3264">
        <f t="shared" si="47"/>
        <v>0</v>
      </c>
      <c r="BH119" s="3264">
        <f t="shared" si="48"/>
        <v>0</v>
      </c>
      <c r="BI119" s="3264">
        <f t="shared" si="49"/>
        <v>0</v>
      </c>
      <c r="BJ119" s="3264">
        <f t="shared" si="50"/>
        <v>0</v>
      </c>
      <c r="BK119" s="3264">
        <f t="shared" si="51"/>
        <v>0</v>
      </c>
      <c r="BL119" s="3264">
        <f t="shared" si="52"/>
        <v>0</v>
      </c>
      <c r="BM119" s="3264">
        <f t="shared" si="53"/>
        <v>0</v>
      </c>
      <c r="BN119" s="3264">
        <f t="shared" si="54"/>
        <v>0</v>
      </c>
      <c r="BO119" s="3264">
        <f t="shared" si="55"/>
        <v>0</v>
      </c>
      <c r="BP119" s="3264">
        <f t="shared" si="56"/>
        <v>0</v>
      </c>
      <c r="BQ119" s="3264">
        <f t="shared" si="57"/>
        <v>0</v>
      </c>
      <c r="BR119" s="3264">
        <f t="shared" si="58"/>
        <v>0</v>
      </c>
      <c r="BS119" s="3264">
        <f t="shared" si="59"/>
        <v>0</v>
      </c>
      <c r="BT119" s="3317">
        <f t="shared" si="60"/>
        <v>0</v>
      </c>
    </row>
    <row r="120" spans="1:72">
      <c r="A120" s="3262"/>
      <c r="B120" s="3263"/>
      <c r="C120" s="3263"/>
      <c r="D120" s="3268"/>
      <c r="E120" s="3264">
        <f t="shared" si="61"/>
        <v>0</v>
      </c>
      <c r="F120" s="3265"/>
      <c r="G120" s="3266">
        <f t="shared" si="36"/>
        <v>0</v>
      </c>
      <c r="H120" s="3267">
        <f t="shared" si="37"/>
        <v>0</v>
      </c>
      <c r="I120" s="3275"/>
      <c r="J120" s="3275"/>
      <c r="K120" s="3275"/>
      <c r="L120" s="3275"/>
      <c r="M120" s="3275"/>
      <c r="N120" s="3275"/>
      <c r="O120" s="3275"/>
      <c r="P120" s="3275"/>
      <c r="Q120" s="3275"/>
      <c r="R120" s="3275"/>
      <c r="S120" s="3275"/>
      <c r="T120" s="3275"/>
      <c r="U120" s="3275"/>
      <c r="V120" s="3275"/>
      <c r="W120" s="3275"/>
      <c r="X120" s="3275"/>
      <c r="Y120" s="3275"/>
      <c r="Z120" s="3275"/>
      <c r="AA120" s="3275"/>
      <c r="AB120" s="3275"/>
      <c r="AC120" s="3264">
        <f t="shared" si="38"/>
        <v>0</v>
      </c>
      <c r="AD120" s="3285"/>
      <c r="AE120" s="3285"/>
      <c r="AF120" s="3285"/>
      <c r="AG120" s="3285"/>
      <c r="AH120" s="3285"/>
      <c r="AI120" s="3285"/>
      <c r="AJ120" s="3285"/>
      <c r="AK120" s="3285"/>
      <c r="AL120" s="3285"/>
      <c r="AM120" s="3285"/>
      <c r="AN120" s="3285"/>
      <c r="AO120" s="3285"/>
      <c r="AP120" s="3285"/>
      <c r="AQ120" s="3285"/>
      <c r="AR120" s="3285"/>
      <c r="AS120" s="3285"/>
      <c r="AT120" s="3295"/>
      <c r="AU120" s="3296"/>
      <c r="AV120" s="830">
        <f t="shared" si="62"/>
        <v>0</v>
      </c>
      <c r="AW120" s="830">
        <f t="shared" si="63"/>
        <v>0</v>
      </c>
      <c r="AX120" s="830">
        <f t="shared" si="64"/>
        <v>0</v>
      </c>
      <c r="AY120" s="3310">
        <f t="shared" si="39"/>
        <v>0</v>
      </c>
      <c r="AZ120" s="3264">
        <f t="shared" si="40"/>
        <v>0</v>
      </c>
      <c r="BA120" s="3264">
        <f t="shared" si="41"/>
        <v>0</v>
      </c>
      <c r="BB120" s="3264">
        <f t="shared" si="42"/>
        <v>0</v>
      </c>
      <c r="BC120" s="3264">
        <f t="shared" si="43"/>
        <v>0</v>
      </c>
      <c r="BD120" s="3264">
        <f t="shared" si="44"/>
        <v>0</v>
      </c>
      <c r="BE120" s="3264">
        <f t="shared" si="45"/>
        <v>0</v>
      </c>
      <c r="BF120" s="3264">
        <f t="shared" si="46"/>
        <v>0</v>
      </c>
      <c r="BG120" s="3264">
        <f t="shared" si="47"/>
        <v>0</v>
      </c>
      <c r="BH120" s="3264">
        <f t="shared" si="48"/>
        <v>0</v>
      </c>
      <c r="BI120" s="3264">
        <f t="shared" si="49"/>
        <v>0</v>
      </c>
      <c r="BJ120" s="3264">
        <f t="shared" si="50"/>
        <v>0</v>
      </c>
      <c r="BK120" s="3264">
        <f t="shared" si="51"/>
        <v>0</v>
      </c>
      <c r="BL120" s="3264">
        <f t="shared" si="52"/>
        <v>0</v>
      </c>
      <c r="BM120" s="3264">
        <f t="shared" si="53"/>
        <v>0</v>
      </c>
      <c r="BN120" s="3264">
        <f t="shared" si="54"/>
        <v>0</v>
      </c>
      <c r="BO120" s="3264">
        <f t="shared" si="55"/>
        <v>0</v>
      </c>
      <c r="BP120" s="3264">
        <f t="shared" si="56"/>
        <v>0</v>
      </c>
      <c r="BQ120" s="3264">
        <f t="shared" si="57"/>
        <v>0</v>
      </c>
      <c r="BR120" s="3264">
        <f t="shared" si="58"/>
        <v>0</v>
      </c>
      <c r="BS120" s="3264">
        <f t="shared" si="59"/>
        <v>0</v>
      </c>
      <c r="BT120" s="3317">
        <f t="shared" si="60"/>
        <v>0</v>
      </c>
    </row>
    <row r="121" spans="1:72">
      <c r="A121" s="3262"/>
      <c r="B121" s="3263"/>
      <c r="C121" s="3263"/>
      <c r="D121" s="3268"/>
      <c r="E121" s="3264">
        <f t="shared" si="61"/>
        <v>0</v>
      </c>
      <c r="F121" s="3265"/>
      <c r="G121" s="3266">
        <f t="shared" si="36"/>
        <v>0</v>
      </c>
      <c r="H121" s="3267">
        <f t="shared" si="37"/>
        <v>0</v>
      </c>
      <c r="I121" s="3275"/>
      <c r="J121" s="3275"/>
      <c r="K121" s="3275"/>
      <c r="L121" s="3275"/>
      <c r="M121" s="3275"/>
      <c r="N121" s="3275"/>
      <c r="O121" s="3275"/>
      <c r="P121" s="3275"/>
      <c r="Q121" s="3275"/>
      <c r="R121" s="3275"/>
      <c r="S121" s="3275"/>
      <c r="T121" s="3275"/>
      <c r="U121" s="3275"/>
      <c r="V121" s="3275"/>
      <c r="W121" s="3275"/>
      <c r="X121" s="3275"/>
      <c r="Y121" s="3275"/>
      <c r="Z121" s="3275"/>
      <c r="AA121" s="3275"/>
      <c r="AB121" s="3275"/>
      <c r="AC121" s="3264">
        <f t="shared" si="38"/>
        <v>0</v>
      </c>
      <c r="AD121" s="3285"/>
      <c r="AE121" s="3285"/>
      <c r="AF121" s="3285"/>
      <c r="AG121" s="3285"/>
      <c r="AH121" s="3285"/>
      <c r="AI121" s="3285"/>
      <c r="AJ121" s="3285"/>
      <c r="AK121" s="3285"/>
      <c r="AL121" s="3285"/>
      <c r="AM121" s="3285"/>
      <c r="AN121" s="3285"/>
      <c r="AO121" s="3285"/>
      <c r="AP121" s="3285"/>
      <c r="AQ121" s="3285"/>
      <c r="AR121" s="3285"/>
      <c r="AS121" s="3285"/>
      <c r="AT121" s="3295"/>
      <c r="AU121" s="3296"/>
      <c r="AV121" s="830">
        <f t="shared" si="62"/>
        <v>0</v>
      </c>
      <c r="AW121" s="830">
        <f t="shared" si="63"/>
        <v>0</v>
      </c>
      <c r="AX121" s="830">
        <f t="shared" si="64"/>
        <v>0</v>
      </c>
      <c r="AY121" s="3310">
        <f t="shared" si="39"/>
        <v>0</v>
      </c>
      <c r="AZ121" s="3264">
        <f t="shared" si="40"/>
        <v>0</v>
      </c>
      <c r="BA121" s="3264">
        <f t="shared" si="41"/>
        <v>0</v>
      </c>
      <c r="BB121" s="3264">
        <f t="shared" si="42"/>
        <v>0</v>
      </c>
      <c r="BC121" s="3264">
        <f t="shared" si="43"/>
        <v>0</v>
      </c>
      <c r="BD121" s="3264">
        <f t="shared" si="44"/>
        <v>0</v>
      </c>
      <c r="BE121" s="3264">
        <f t="shared" si="45"/>
        <v>0</v>
      </c>
      <c r="BF121" s="3264">
        <f t="shared" si="46"/>
        <v>0</v>
      </c>
      <c r="BG121" s="3264">
        <f t="shared" si="47"/>
        <v>0</v>
      </c>
      <c r="BH121" s="3264">
        <f t="shared" si="48"/>
        <v>0</v>
      </c>
      <c r="BI121" s="3264">
        <f t="shared" si="49"/>
        <v>0</v>
      </c>
      <c r="BJ121" s="3264">
        <f t="shared" si="50"/>
        <v>0</v>
      </c>
      <c r="BK121" s="3264">
        <f t="shared" si="51"/>
        <v>0</v>
      </c>
      <c r="BL121" s="3264">
        <f t="shared" si="52"/>
        <v>0</v>
      </c>
      <c r="BM121" s="3264">
        <f t="shared" si="53"/>
        <v>0</v>
      </c>
      <c r="BN121" s="3264">
        <f t="shared" si="54"/>
        <v>0</v>
      </c>
      <c r="BO121" s="3264">
        <f t="shared" si="55"/>
        <v>0</v>
      </c>
      <c r="BP121" s="3264">
        <f t="shared" si="56"/>
        <v>0</v>
      </c>
      <c r="BQ121" s="3264">
        <f t="shared" si="57"/>
        <v>0</v>
      </c>
      <c r="BR121" s="3264">
        <f t="shared" si="58"/>
        <v>0</v>
      </c>
      <c r="BS121" s="3264">
        <f t="shared" si="59"/>
        <v>0</v>
      </c>
      <c r="BT121" s="3317">
        <f t="shared" si="60"/>
        <v>0</v>
      </c>
    </row>
    <row r="122" spans="1:72">
      <c r="A122" s="3262"/>
      <c r="B122" s="3263"/>
      <c r="C122" s="3263"/>
      <c r="D122" s="3268"/>
      <c r="E122" s="3264">
        <f t="shared" si="61"/>
        <v>0</v>
      </c>
      <c r="F122" s="3265"/>
      <c r="G122" s="3266">
        <f t="shared" si="36"/>
        <v>0</v>
      </c>
      <c r="H122" s="3267">
        <f t="shared" si="37"/>
        <v>0</v>
      </c>
      <c r="I122" s="3275"/>
      <c r="J122" s="3275"/>
      <c r="K122" s="3275"/>
      <c r="L122" s="3275"/>
      <c r="M122" s="3275"/>
      <c r="N122" s="3275"/>
      <c r="O122" s="3275"/>
      <c r="P122" s="3275"/>
      <c r="Q122" s="3275"/>
      <c r="R122" s="3275"/>
      <c r="S122" s="3275"/>
      <c r="T122" s="3275"/>
      <c r="U122" s="3275"/>
      <c r="V122" s="3275"/>
      <c r="W122" s="3275"/>
      <c r="X122" s="3275"/>
      <c r="Y122" s="3275"/>
      <c r="Z122" s="3275"/>
      <c r="AA122" s="3275"/>
      <c r="AB122" s="3275"/>
      <c r="AC122" s="3264">
        <f t="shared" si="38"/>
        <v>0</v>
      </c>
      <c r="AD122" s="3285"/>
      <c r="AE122" s="3285"/>
      <c r="AF122" s="3285"/>
      <c r="AG122" s="3285"/>
      <c r="AH122" s="3285"/>
      <c r="AI122" s="3285"/>
      <c r="AJ122" s="3285"/>
      <c r="AK122" s="3285"/>
      <c r="AL122" s="3285"/>
      <c r="AM122" s="3285"/>
      <c r="AN122" s="3285"/>
      <c r="AO122" s="3285"/>
      <c r="AP122" s="3285"/>
      <c r="AQ122" s="3285"/>
      <c r="AR122" s="3285"/>
      <c r="AS122" s="3285"/>
      <c r="AT122" s="3295"/>
      <c r="AU122" s="3296"/>
      <c r="AV122" s="830">
        <f t="shared" si="62"/>
        <v>0</v>
      </c>
      <c r="AW122" s="830">
        <f t="shared" si="63"/>
        <v>0</v>
      </c>
      <c r="AX122" s="830">
        <f t="shared" si="64"/>
        <v>0</v>
      </c>
      <c r="AY122" s="3310">
        <f t="shared" si="39"/>
        <v>0</v>
      </c>
      <c r="AZ122" s="3264">
        <f t="shared" si="40"/>
        <v>0</v>
      </c>
      <c r="BA122" s="3264">
        <f t="shared" si="41"/>
        <v>0</v>
      </c>
      <c r="BB122" s="3264">
        <f t="shared" si="42"/>
        <v>0</v>
      </c>
      <c r="BC122" s="3264">
        <f t="shared" si="43"/>
        <v>0</v>
      </c>
      <c r="BD122" s="3264">
        <f t="shared" si="44"/>
        <v>0</v>
      </c>
      <c r="BE122" s="3264">
        <f t="shared" si="45"/>
        <v>0</v>
      </c>
      <c r="BF122" s="3264">
        <f t="shared" si="46"/>
        <v>0</v>
      </c>
      <c r="BG122" s="3264">
        <f t="shared" si="47"/>
        <v>0</v>
      </c>
      <c r="BH122" s="3264">
        <f t="shared" si="48"/>
        <v>0</v>
      </c>
      <c r="BI122" s="3264">
        <f t="shared" si="49"/>
        <v>0</v>
      </c>
      <c r="BJ122" s="3264">
        <f t="shared" si="50"/>
        <v>0</v>
      </c>
      <c r="BK122" s="3264">
        <f t="shared" si="51"/>
        <v>0</v>
      </c>
      <c r="BL122" s="3264">
        <f t="shared" si="52"/>
        <v>0</v>
      </c>
      <c r="BM122" s="3264">
        <f t="shared" si="53"/>
        <v>0</v>
      </c>
      <c r="BN122" s="3264">
        <f t="shared" si="54"/>
        <v>0</v>
      </c>
      <c r="BO122" s="3264">
        <f t="shared" si="55"/>
        <v>0</v>
      </c>
      <c r="BP122" s="3264">
        <f t="shared" si="56"/>
        <v>0</v>
      </c>
      <c r="BQ122" s="3264">
        <f t="shared" si="57"/>
        <v>0</v>
      </c>
      <c r="BR122" s="3264">
        <f t="shared" si="58"/>
        <v>0</v>
      </c>
      <c r="BS122" s="3264">
        <f t="shared" si="59"/>
        <v>0</v>
      </c>
      <c r="BT122" s="3317">
        <f t="shared" si="60"/>
        <v>0</v>
      </c>
    </row>
    <row r="123" spans="1:72">
      <c r="A123" s="3262"/>
      <c r="B123" s="3263"/>
      <c r="C123" s="3263"/>
      <c r="D123" s="3268"/>
      <c r="E123" s="3264">
        <f t="shared" si="61"/>
        <v>0</v>
      </c>
      <c r="F123" s="3265"/>
      <c r="G123" s="3266">
        <f t="shared" si="36"/>
        <v>0</v>
      </c>
      <c r="H123" s="3267">
        <f t="shared" si="37"/>
        <v>0</v>
      </c>
      <c r="I123" s="3275"/>
      <c r="J123" s="3275"/>
      <c r="K123" s="3275"/>
      <c r="L123" s="3275"/>
      <c r="M123" s="3275"/>
      <c r="N123" s="3275"/>
      <c r="O123" s="3275"/>
      <c r="P123" s="3275"/>
      <c r="Q123" s="3275"/>
      <c r="R123" s="3275"/>
      <c r="S123" s="3275"/>
      <c r="T123" s="3275"/>
      <c r="U123" s="3275"/>
      <c r="V123" s="3275"/>
      <c r="W123" s="3275"/>
      <c r="X123" s="3275"/>
      <c r="Y123" s="3275"/>
      <c r="Z123" s="3275"/>
      <c r="AA123" s="3275"/>
      <c r="AB123" s="3275"/>
      <c r="AC123" s="3264">
        <f t="shared" si="38"/>
        <v>0</v>
      </c>
      <c r="AD123" s="3285"/>
      <c r="AE123" s="3285"/>
      <c r="AF123" s="3285"/>
      <c r="AG123" s="3285"/>
      <c r="AH123" s="3285"/>
      <c r="AI123" s="3285"/>
      <c r="AJ123" s="3285"/>
      <c r="AK123" s="3285"/>
      <c r="AL123" s="3285"/>
      <c r="AM123" s="3285"/>
      <c r="AN123" s="3285"/>
      <c r="AO123" s="3285"/>
      <c r="AP123" s="3285"/>
      <c r="AQ123" s="3285"/>
      <c r="AR123" s="3285"/>
      <c r="AS123" s="3285"/>
      <c r="AT123" s="3295"/>
      <c r="AU123" s="3296"/>
      <c r="AV123" s="830">
        <f t="shared" si="62"/>
        <v>0</v>
      </c>
      <c r="AW123" s="830">
        <f t="shared" si="63"/>
        <v>0</v>
      </c>
      <c r="AX123" s="830">
        <f t="shared" si="64"/>
        <v>0</v>
      </c>
      <c r="AY123" s="3310">
        <f t="shared" si="39"/>
        <v>0</v>
      </c>
      <c r="AZ123" s="3264">
        <f t="shared" si="40"/>
        <v>0</v>
      </c>
      <c r="BA123" s="3264">
        <f t="shared" si="41"/>
        <v>0</v>
      </c>
      <c r="BB123" s="3264">
        <f t="shared" si="42"/>
        <v>0</v>
      </c>
      <c r="BC123" s="3264">
        <f t="shared" si="43"/>
        <v>0</v>
      </c>
      <c r="BD123" s="3264">
        <f t="shared" si="44"/>
        <v>0</v>
      </c>
      <c r="BE123" s="3264">
        <f t="shared" si="45"/>
        <v>0</v>
      </c>
      <c r="BF123" s="3264">
        <f t="shared" si="46"/>
        <v>0</v>
      </c>
      <c r="BG123" s="3264">
        <f t="shared" si="47"/>
        <v>0</v>
      </c>
      <c r="BH123" s="3264">
        <f t="shared" si="48"/>
        <v>0</v>
      </c>
      <c r="BI123" s="3264">
        <f t="shared" si="49"/>
        <v>0</v>
      </c>
      <c r="BJ123" s="3264">
        <f t="shared" si="50"/>
        <v>0</v>
      </c>
      <c r="BK123" s="3264">
        <f t="shared" si="51"/>
        <v>0</v>
      </c>
      <c r="BL123" s="3264">
        <f t="shared" si="52"/>
        <v>0</v>
      </c>
      <c r="BM123" s="3264">
        <f t="shared" si="53"/>
        <v>0</v>
      </c>
      <c r="BN123" s="3264">
        <f t="shared" si="54"/>
        <v>0</v>
      </c>
      <c r="BO123" s="3264">
        <f t="shared" si="55"/>
        <v>0</v>
      </c>
      <c r="BP123" s="3264">
        <f t="shared" si="56"/>
        <v>0</v>
      </c>
      <c r="BQ123" s="3264">
        <f t="shared" si="57"/>
        <v>0</v>
      </c>
      <c r="BR123" s="3264">
        <f t="shared" si="58"/>
        <v>0</v>
      </c>
      <c r="BS123" s="3264">
        <f t="shared" si="59"/>
        <v>0</v>
      </c>
      <c r="BT123" s="3317">
        <f t="shared" si="60"/>
        <v>0</v>
      </c>
    </row>
    <row r="124" spans="1:72">
      <c r="A124" s="3262"/>
      <c r="B124" s="3263"/>
      <c r="C124" s="3263"/>
      <c r="D124" s="3268"/>
      <c r="E124" s="3264">
        <f t="shared" si="61"/>
        <v>0</v>
      </c>
      <c r="F124" s="3265"/>
      <c r="G124" s="3266">
        <f t="shared" si="36"/>
        <v>0</v>
      </c>
      <c r="H124" s="3267">
        <f t="shared" si="37"/>
        <v>0</v>
      </c>
      <c r="I124" s="3275"/>
      <c r="J124" s="3275"/>
      <c r="K124" s="3275"/>
      <c r="L124" s="3275"/>
      <c r="M124" s="3275"/>
      <c r="N124" s="3275"/>
      <c r="O124" s="3275"/>
      <c r="P124" s="3275"/>
      <c r="Q124" s="3275"/>
      <c r="R124" s="3275"/>
      <c r="S124" s="3275"/>
      <c r="T124" s="3275"/>
      <c r="U124" s="3275"/>
      <c r="V124" s="3275"/>
      <c r="W124" s="3275"/>
      <c r="X124" s="3275"/>
      <c r="Y124" s="3275"/>
      <c r="Z124" s="3275"/>
      <c r="AA124" s="3275"/>
      <c r="AB124" s="3275"/>
      <c r="AC124" s="3264">
        <f t="shared" si="38"/>
        <v>0</v>
      </c>
      <c r="AD124" s="3285"/>
      <c r="AE124" s="3285"/>
      <c r="AF124" s="3285"/>
      <c r="AG124" s="3285"/>
      <c r="AH124" s="3285"/>
      <c r="AI124" s="3285"/>
      <c r="AJ124" s="3285"/>
      <c r="AK124" s="3285"/>
      <c r="AL124" s="3285"/>
      <c r="AM124" s="3285"/>
      <c r="AN124" s="3285"/>
      <c r="AO124" s="3285"/>
      <c r="AP124" s="3285"/>
      <c r="AQ124" s="3285"/>
      <c r="AR124" s="3285"/>
      <c r="AS124" s="3285"/>
      <c r="AT124" s="3295"/>
      <c r="AU124" s="3296"/>
      <c r="AV124" s="830">
        <f t="shared" si="62"/>
        <v>0</v>
      </c>
      <c r="AW124" s="830">
        <f t="shared" si="63"/>
        <v>0</v>
      </c>
      <c r="AX124" s="830">
        <f t="shared" si="64"/>
        <v>0</v>
      </c>
      <c r="AY124" s="3310">
        <f t="shared" si="39"/>
        <v>0</v>
      </c>
      <c r="AZ124" s="3264">
        <f t="shared" si="40"/>
        <v>0</v>
      </c>
      <c r="BA124" s="3264">
        <f t="shared" si="41"/>
        <v>0</v>
      </c>
      <c r="BB124" s="3264">
        <f t="shared" si="42"/>
        <v>0</v>
      </c>
      <c r="BC124" s="3264">
        <f t="shared" si="43"/>
        <v>0</v>
      </c>
      <c r="BD124" s="3264">
        <f t="shared" si="44"/>
        <v>0</v>
      </c>
      <c r="BE124" s="3264">
        <f t="shared" si="45"/>
        <v>0</v>
      </c>
      <c r="BF124" s="3264">
        <f t="shared" si="46"/>
        <v>0</v>
      </c>
      <c r="BG124" s="3264">
        <f t="shared" si="47"/>
        <v>0</v>
      </c>
      <c r="BH124" s="3264">
        <f t="shared" si="48"/>
        <v>0</v>
      </c>
      <c r="BI124" s="3264">
        <f t="shared" si="49"/>
        <v>0</v>
      </c>
      <c r="BJ124" s="3264">
        <f t="shared" si="50"/>
        <v>0</v>
      </c>
      <c r="BK124" s="3264">
        <f t="shared" si="51"/>
        <v>0</v>
      </c>
      <c r="BL124" s="3264">
        <f t="shared" si="52"/>
        <v>0</v>
      </c>
      <c r="BM124" s="3264">
        <f t="shared" si="53"/>
        <v>0</v>
      </c>
      <c r="BN124" s="3264">
        <f t="shared" si="54"/>
        <v>0</v>
      </c>
      <c r="BO124" s="3264">
        <f t="shared" si="55"/>
        <v>0</v>
      </c>
      <c r="BP124" s="3264">
        <f t="shared" si="56"/>
        <v>0</v>
      </c>
      <c r="BQ124" s="3264">
        <f t="shared" si="57"/>
        <v>0</v>
      </c>
      <c r="BR124" s="3264">
        <f t="shared" si="58"/>
        <v>0</v>
      </c>
      <c r="BS124" s="3264">
        <f t="shared" si="59"/>
        <v>0</v>
      </c>
      <c r="BT124" s="3317">
        <f t="shared" si="60"/>
        <v>0</v>
      </c>
    </row>
    <row r="125" spans="1:72">
      <c r="A125" s="3262"/>
      <c r="B125" s="3263"/>
      <c r="C125" s="3263"/>
      <c r="D125" s="3268"/>
      <c r="E125" s="3264">
        <f t="shared" si="61"/>
        <v>0</v>
      </c>
      <c r="F125" s="3265"/>
      <c r="G125" s="3266">
        <f t="shared" si="36"/>
        <v>0</v>
      </c>
      <c r="H125" s="3267">
        <f t="shared" si="37"/>
        <v>0</v>
      </c>
      <c r="I125" s="3275"/>
      <c r="J125" s="3275"/>
      <c r="K125" s="3275"/>
      <c r="L125" s="3275"/>
      <c r="M125" s="3275"/>
      <c r="N125" s="3275"/>
      <c r="O125" s="3275"/>
      <c r="P125" s="3275"/>
      <c r="Q125" s="3275"/>
      <c r="R125" s="3275"/>
      <c r="S125" s="3275"/>
      <c r="T125" s="3275"/>
      <c r="U125" s="3275"/>
      <c r="V125" s="3275"/>
      <c r="W125" s="3275"/>
      <c r="X125" s="3275"/>
      <c r="Y125" s="3275"/>
      <c r="Z125" s="3275"/>
      <c r="AA125" s="3275"/>
      <c r="AB125" s="3275"/>
      <c r="AC125" s="3264">
        <f t="shared" si="38"/>
        <v>0</v>
      </c>
      <c r="AD125" s="3285"/>
      <c r="AE125" s="3285"/>
      <c r="AF125" s="3285"/>
      <c r="AG125" s="3285"/>
      <c r="AH125" s="3285"/>
      <c r="AI125" s="3285"/>
      <c r="AJ125" s="3285"/>
      <c r="AK125" s="3285"/>
      <c r="AL125" s="3285"/>
      <c r="AM125" s="3285"/>
      <c r="AN125" s="3285"/>
      <c r="AO125" s="3285"/>
      <c r="AP125" s="3285"/>
      <c r="AQ125" s="3285"/>
      <c r="AR125" s="3285"/>
      <c r="AS125" s="3285"/>
      <c r="AT125" s="3295"/>
      <c r="AU125" s="3296"/>
      <c r="AV125" s="830">
        <f t="shared" si="62"/>
        <v>0</v>
      </c>
      <c r="AW125" s="830">
        <f t="shared" si="63"/>
        <v>0</v>
      </c>
      <c r="AX125" s="830">
        <f t="shared" si="64"/>
        <v>0</v>
      </c>
      <c r="AY125" s="3310">
        <f t="shared" si="39"/>
        <v>0</v>
      </c>
      <c r="AZ125" s="3264">
        <f t="shared" si="40"/>
        <v>0</v>
      </c>
      <c r="BA125" s="3264">
        <f t="shared" si="41"/>
        <v>0</v>
      </c>
      <c r="BB125" s="3264">
        <f t="shared" si="42"/>
        <v>0</v>
      </c>
      <c r="BC125" s="3264">
        <f t="shared" si="43"/>
        <v>0</v>
      </c>
      <c r="BD125" s="3264">
        <f t="shared" si="44"/>
        <v>0</v>
      </c>
      <c r="BE125" s="3264">
        <f t="shared" si="45"/>
        <v>0</v>
      </c>
      <c r="BF125" s="3264">
        <f t="shared" si="46"/>
        <v>0</v>
      </c>
      <c r="BG125" s="3264">
        <f t="shared" si="47"/>
        <v>0</v>
      </c>
      <c r="BH125" s="3264">
        <f t="shared" si="48"/>
        <v>0</v>
      </c>
      <c r="BI125" s="3264">
        <f t="shared" si="49"/>
        <v>0</v>
      </c>
      <c r="BJ125" s="3264">
        <f t="shared" si="50"/>
        <v>0</v>
      </c>
      <c r="BK125" s="3264">
        <f t="shared" si="51"/>
        <v>0</v>
      </c>
      <c r="BL125" s="3264">
        <f t="shared" si="52"/>
        <v>0</v>
      </c>
      <c r="BM125" s="3264">
        <f t="shared" si="53"/>
        <v>0</v>
      </c>
      <c r="BN125" s="3264">
        <f t="shared" si="54"/>
        <v>0</v>
      </c>
      <c r="BO125" s="3264">
        <f t="shared" si="55"/>
        <v>0</v>
      </c>
      <c r="BP125" s="3264">
        <f t="shared" si="56"/>
        <v>0</v>
      </c>
      <c r="BQ125" s="3264">
        <f t="shared" si="57"/>
        <v>0</v>
      </c>
      <c r="BR125" s="3264">
        <f t="shared" si="58"/>
        <v>0</v>
      </c>
      <c r="BS125" s="3264">
        <f t="shared" si="59"/>
        <v>0</v>
      </c>
      <c r="BT125" s="3317">
        <f t="shared" si="60"/>
        <v>0</v>
      </c>
    </row>
    <row r="126" spans="1:72">
      <c r="A126" s="3262"/>
      <c r="B126" s="3263"/>
      <c r="C126" s="3263"/>
      <c r="D126" s="3268"/>
      <c r="E126" s="3264">
        <f t="shared" si="61"/>
        <v>0</v>
      </c>
      <c r="F126" s="3265"/>
      <c r="G126" s="3266">
        <f t="shared" si="36"/>
        <v>0</v>
      </c>
      <c r="H126" s="3267">
        <f t="shared" si="37"/>
        <v>0</v>
      </c>
      <c r="I126" s="3275"/>
      <c r="J126" s="3275"/>
      <c r="K126" s="3275"/>
      <c r="L126" s="3275"/>
      <c r="M126" s="3275"/>
      <c r="N126" s="3275"/>
      <c r="O126" s="3275"/>
      <c r="P126" s="3275"/>
      <c r="Q126" s="3275"/>
      <c r="R126" s="3275"/>
      <c r="S126" s="3275"/>
      <c r="T126" s="3275"/>
      <c r="U126" s="3275"/>
      <c r="V126" s="3275"/>
      <c r="W126" s="3275"/>
      <c r="X126" s="3275"/>
      <c r="Y126" s="3275"/>
      <c r="Z126" s="3275"/>
      <c r="AA126" s="3275"/>
      <c r="AB126" s="3275"/>
      <c r="AC126" s="3264">
        <f t="shared" si="38"/>
        <v>0</v>
      </c>
      <c r="AD126" s="3285"/>
      <c r="AE126" s="3285"/>
      <c r="AF126" s="3285"/>
      <c r="AG126" s="3285"/>
      <c r="AH126" s="3285"/>
      <c r="AI126" s="3285"/>
      <c r="AJ126" s="3285"/>
      <c r="AK126" s="3285"/>
      <c r="AL126" s="3285"/>
      <c r="AM126" s="3285"/>
      <c r="AN126" s="3285"/>
      <c r="AO126" s="3285"/>
      <c r="AP126" s="3285"/>
      <c r="AQ126" s="3285"/>
      <c r="AR126" s="3285"/>
      <c r="AS126" s="3285"/>
      <c r="AT126" s="3295"/>
      <c r="AU126" s="3296"/>
      <c r="AV126" s="830">
        <f t="shared" si="62"/>
        <v>0</v>
      </c>
      <c r="AW126" s="830">
        <f t="shared" si="63"/>
        <v>0</v>
      </c>
      <c r="AX126" s="830">
        <f t="shared" si="64"/>
        <v>0</v>
      </c>
      <c r="AY126" s="3310">
        <f t="shared" si="39"/>
        <v>0</v>
      </c>
      <c r="AZ126" s="3264">
        <f t="shared" si="40"/>
        <v>0</v>
      </c>
      <c r="BA126" s="3264">
        <f t="shared" si="41"/>
        <v>0</v>
      </c>
      <c r="BB126" s="3264">
        <f t="shared" si="42"/>
        <v>0</v>
      </c>
      <c r="BC126" s="3264">
        <f t="shared" si="43"/>
        <v>0</v>
      </c>
      <c r="BD126" s="3264">
        <f t="shared" si="44"/>
        <v>0</v>
      </c>
      <c r="BE126" s="3264">
        <f t="shared" si="45"/>
        <v>0</v>
      </c>
      <c r="BF126" s="3264">
        <f t="shared" si="46"/>
        <v>0</v>
      </c>
      <c r="BG126" s="3264">
        <f t="shared" si="47"/>
        <v>0</v>
      </c>
      <c r="BH126" s="3264">
        <f t="shared" si="48"/>
        <v>0</v>
      </c>
      <c r="BI126" s="3264">
        <f t="shared" si="49"/>
        <v>0</v>
      </c>
      <c r="BJ126" s="3264">
        <f t="shared" si="50"/>
        <v>0</v>
      </c>
      <c r="BK126" s="3264">
        <f t="shared" si="51"/>
        <v>0</v>
      </c>
      <c r="BL126" s="3264">
        <f t="shared" si="52"/>
        <v>0</v>
      </c>
      <c r="BM126" s="3264">
        <f t="shared" si="53"/>
        <v>0</v>
      </c>
      <c r="BN126" s="3264">
        <f t="shared" si="54"/>
        <v>0</v>
      </c>
      <c r="BO126" s="3264">
        <f t="shared" si="55"/>
        <v>0</v>
      </c>
      <c r="BP126" s="3264">
        <f t="shared" si="56"/>
        <v>0</v>
      </c>
      <c r="BQ126" s="3264">
        <f t="shared" si="57"/>
        <v>0</v>
      </c>
      <c r="BR126" s="3264">
        <f t="shared" si="58"/>
        <v>0</v>
      </c>
      <c r="BS126" s="3264">
        <f t="shared" si="59"/>
        <v>0</v>
      </c>
      <c r="BT126" s="3317">
        <f t="shared" si="60"/>
        <v>0</v>
      </c>
    </row>
    <row r="127" spans="1:72">
      <c r="A127" s="3262"/>
      <c r="B127" s="3263"/>
      <c r="C127" s="3263"/>
      <c r="D127" s="3268"/>
      <c r="E127" s="3264">
        <f t="shared" si="61"/>
        <v>0</v>
      </c>
      <c r="F127" s="3265"/>
      <c r="G127" s="3266">
        <f t="shared" si="36"/>
        <v>0</v>
      </c>
      <c r="H127" s="3267">
        <f t="shared" si="37"/>
        <v>0</v>
      </c>
      <c r="I127" s="3275"/>
      <c r="J127" s="3275"/>
      <c r="K127" s="3275"/>
      <c r="L127" s="3275"/>
      <c r="M127" s="3275"/>
      <c r="N127" s="3275"/>
      <c r="O127" s="3275"/>
      <c r="P127" s="3275"/>
      <c r="Q127" s="3275"/>
      <c r="R127" s="3275"/>
      <c r="S127" s="3275"/>
      <c r="T127" s="3275"/>
      <c r="U127" s="3275"/>
      <c r="V127" s="3275"/>
      <c r="W127" s="3275"/>
      <c r="X127" s="3275"/>
      <c r="Y127" s="3275"/>
      <c r="Z127" s="3275"/>
      <c r="AA127" s="3275"/>
      <c r="AB127" s="3275"/>
      <c r="AC127" s="3264">
        <f t="shared" si="38"/>
        <v>0</v>
      </c>
      <c r="AD127" s="3285"/>
      <c r="AE127" s="3285"/>
      <c r="AF127" s="3285"/>
      <c r="AG127" s="3285"/>
      <c r="AH127" s="3285"/>
      <c r="AI127" s="3285"/>
      <c r="AJ127" s="3285"/>
      <c r="AK127" s="3285"/>
      <c r="AL127" s="3285"/>
      <c r="AM127" s="3285"/>
      <c r="AN127" s="3285"/>
      <c r="AO127" s="3285"/>
      <c r="AP127" s="3285"/>
      <c r="AQ127" s="3285"/>
      <c r="AR127" s="3285"/>
      <c r="AS127" s="3285"/>
      <c r="AT127" s="3295"/>
      <c r="AU127" s="3296"/>
      <c r="AV127" s="830">
        <f t="shared" si="62"/>
        <v>0</v>
      </c>
      <c r="AW127" s="830">
        <f t="shared" si="63"/>
        <v>0</v>
      </c>
      <c r="AX127" s="830">
        <f t="shared" si="64"/>
        <v>0</v>
      </c>
      <c r="AY127" s="3310">
        <f t="shared" si="39"/>
        <v>0</v>
      </c>
      <c r="AZ127" s="3264">
        <f t="shared" si="40"/>
        <v>0</v>
      </c>
      <c r="BA127" s="3264">
        <f t="shared" si="41"/>
        <v>0</v>
      </c>
      <c r="BB127" s="3264">
        <f t="shared" si="42"/>
        <v>0</v>
      </c>
      <c r="BC127" s="3264">
        <f t="shared" si="43"/>
        <v>0</v>
      </c>
      <c r="BD127" s="3264">
        <f t="shared" si="44"/>
        <v>0</v>
      </c>
      <c r="BE127" s="3264">
        <f t="shared" si="45"/>
        <v>0</v>
      </c>
      <c r="BF127" s="3264">
        <f t="shared" si="46"/>
        <v>0</v>
      </c>
      <c r="BG127" s="3264">
        <f t="shared" si="47"/>
        <v>0</v>
      </c>
      <c r="BH127" s="3264">
        <f t="shared" si="48"/>
        <v>0</v>
      </c>
      <c r="BI127" s="3264">
        <f t="shared" si="49"/>
        <v>0</v>
      </c>
      <c r="BJ127" s="3264">
        <f t="shared" si="50"/>
        <v>0</v>
      </c>
      <c r="BK127" s="3264">
        <f t="shared" si="51"/>
        <v>0</v>
      </c>
      <c r="BL127" s="3264">
        <f t="shared" si="52"/>
        <v>0</v>
      </c>
      <c r="BM127" s="3264">
        <f t="shared" si="53"/>
        <v>0</v>
      </c>
      <c r="BN127" s="3264">
        <f t="shared" si="54"/>
        <v>0</v>
      </c>
      <c r="BO127" s="3264">
        <f t="shared" si="55"/>
        <v>0</v>
      </c>
      <c r="BP127" s="3264">
        <f t="shared" si="56"/>
        <v>0</v>
      </c>
      <c r="BQ127" s="3264">
        <f t="shared" si="57"/>
        <v>0</v>
      </c>
      <c r="BR127" s="3264">
        <f t="shared" si="58"/>
        <v>0</v>
      </c>
      <c r="BS127" s="3264">
        <f t="shared" si="59"/>
        <v>0</v>
      </c>
      <c r="BT127" s="3317">
        <f t="shared" si="60"/>
        <v>0</v>
      </c>
    </row>
    <row r="128" spans="1:72">
      <c r="A128" s="3262"/>
      <c r="B128" s="3263"/>
      <c r="C128" s="3263"/>
      <c r="D128" s="3268"/>
      <c r="E128" s="3264">
        <f t="shared" si="61"/>
        <v>0</v>
      </c>
      <c r="F128" s="3265"/>
      <c r="G128" s="3266">
        <f t="shared" si="36"/>
        <v>0</v>
      </c>
      <c r="H128" s="3267">
        <f t="shared" si="37"/>
        <v>0</v>
      </c>
      <c r="I128" s="3275"/>
      <c r="J128" s="3275"/>
      <c r="K128" s="3275"/>
      <c r="L128" s="3275"/>
      <c r="M128" s="3275"/>
      <c r="N128" s="3275"/>
      <c r="O128" s="3275"/>
      <c r="P128" s="3275"/>
      <c r="Q128" s="3275"/>
      <c r="R128" s="3275"/>
      <c r="S128" s="3275"/>
      <c r="T128" s="3275"/>
      <c r="U128" s="3275"/>
      <c r="V128" s="3275"/>
      <c r="W128" s="3275"/>
      <c r="X128" s="3275"/>
      <c r="Y128" s="3275"/>
      <c r="Z128" s="3275"/>
      <c r="AA128" s="3275"/>
      <c r="AB128" s="3275"/>
      <c r="AC128" s="3264">
        <f t="shared" si="38"/>
        <v>0</v>
      </c>
      <c r="AD128" s="3285"/>
      <c r="AE128" s="3285"/>
      <c r="AF128" s="3285"/>
      <c r="AG128" s="3285"/>
      <c r="AH128" s="3285"/>
      <c r="AI128" s="3285"/>
      <c r="AJ128" s="3285"/>
      <c r="AK128" s="3285"/>
      <c r="AL128" s="3285"/>
      <c r="AM128" s="3285"/>
      <c r="AN128" s="3285"/>
      <c r="AO128" s="3285"/>
      <c r="AP128" s="3285"/>
      <c r="AQ128" s="3285"/>
      <c r="AR128" s="3285"/>
      <c r="AS128" s="3285"/>
      <c r="AT128" s="3295"/>
      <c r="AU128" s="3296"/>
      <c r="AV128" s="830">
        <f t="shared" si="62"/>
        <v>0</v>
      </c>
      <c r="AW128" s="830">
        <f t="shared" si="63"/>
        <v>0</v>
      </c>
      <c r="AX128" s="830">
        <f t="shared" si="64"/>
        <v>0</v>
      </c>
      <c r="AY128" s="3310">
        <f t="shared" si="39"/>
        <v>0</v>
      </c>
      <c r="AZ128" s="3264">
        <f t="shared" si="40"/>
        <v>0</v>
      </c>
      <c r="BA128" s="3264">
        <f t="shared" si="41"/>
        <v>0</v>
      </c>
      <c r="BB128" s="3264">
        <f t="shared" si="42"/>
        <v>0</v>
      </c>
      <c r="BC128" s="3264">
        <f t="shared" si="43"/>
        <v>0</v>
      </c>
      <c r="BD128" s="3264">
        <f t="shared" si="44"/>
        <v>0</v>
      </c>
      <c r="BE128" s="3264">
        <f t="shared" si="45"/>
        <v>0</v>
      </c>
      <c r="BF128" s="3264">
        <f t="shared" si="46"/>
        <v>0</v>
      </c>
      <c r="BG128" s="3264">
        <f t="shared" si="47"/>
        <v>0</v>
      </c>
      <c r="BH128" s="3264">
        <f t="shared" si="48"/>
        <v>0</v>
      </c>
      <c r="BI128" s="3264">
        <f t="shared" si="49"/>
        <v>0</v>
      </c>
      <c r="BJ128" s="3264">
        <f t="shared" si="50"/>
        <v>0</v>
      </c>
      <c r="BK128" s="3264">
        <f t="shared" si="51"/>
        <v>0</v>
      </c>
      <c r="BL128" s="3264">
        <f t="shared" si="52"/>
        <v>0</v>
      </c>
      <c r="BM128" s="3264">
        <f t="shared" si="53"/>
        <v>0</v>
      </c>
      <c r="BN128" s="3264">
        <f t="shared" si="54"/>
        <v>0</v>
      </c>
      <c r="BO128" s="3264">
        <f t="shared" si="55"/>
        <v>0</v>
      </c>
      <c r="BP128" s="3264">
        <f t="shared" si="56"/>
        <v>0</v>
      </c>
      <c r="BQ128" s="3264">
        <f t="shared" si="57"/>
        <v>0</v>
      </c>
      <c r="BR128" s="3264">
        <f t="shared" si="58"/>
        <v>0</v>
      </c>
      <c r="BS128" s="3264">
        <f t="shared" si="59"/>
        <v>0</v>
      </c>
      <c r="BT128" s="3317">
        <f t="shared" si="60"/>
        <v>0</v>
      </c>
    </row>
    <row r="129" spans="1:72">
      <c r="A129" s="3262"/>
      <c r="B129" s="3263"/>
      <c r="C129" s="3263"/>
      <c r="D129" s="3268"/>
      <c r="E129" s="3264">
        <f t="shared" si="61"/>
        <v>0</v>
      </c>
      <c r="F129" s="3265"/>
      <c r="G129" s="3266">
        <f t="shared" si="36"/>
        <v>0</v>
      </c>
      <c r="H129" s="3267">
        <f t="shared" si="37"/>
        <v>0</v>
      </c>
      <c r="I129" s="3275"/>
      <c r="J129" s="3275"/>
      <c r="K129" s="3275"/>
      <c r="L129" s="3275"/>
      <c r="M129" s="3275"/>
      <c r="N129" s="3275"/>
      <c r="O129" s="3275"/>
      <c r="P129" s="3275"/>
      <c r="Q129" s="3275"/>
      <c r="R129" s="3275"/>
      <c r="S129" s="3275"/>
      <c r="T129" s="3275"/>
      <c r="U129" s="3275"/>
      <c r="V129" s="3275"/>
      <c r="W129" s="3275"/>
      <c r="X129" s="3275"/>
      <c r="Y129" s="3275"/>
      <c r="Z129" s="3275"/>
      <c r="AA129" s="3275"/>
      <c r="AB129" s="3275"/>
      <c r="AC129" s="3264">
        <f t="shared" si="38"/>
        <v>0</v>
      </c>
      <c r="AD129" s="3285"/>
      <c r="AE129" s="3285"/>
      <c r="AF129" s="3285"/>
      <c r="AG129" s="3285"/>
      <c r="AH129" s="3285"/>
      <c r="AI129" s="3285"/>
      <c r="AJ129" s="3285"/>
      <c r="AK129" s="3285"/>
      <c r="AL129" s="3285"/>
      <c r="AM129" s="3285"/>
      <c r="AN129" s="3285"/>
      <c r="AO129" s="3285"/>
      <c r="AP129" s="3285"/>
      <c r="AQ129" s="3285"/>
      <c r="AR129" s="3285"/>
      <c r="AS129" s="3285"/>
      <c r="AT129" s="3295"/>
      <c r="AU129" s="3296"/>
      <c r="AV129" s="830">
        <f t="shared" si="62"/>
        <v>0</v>
      </c>
      <c r="AW129" s="830">
        <f t="shared" si="63"/>
        <v>0</v>
      </c>
      <c r="AX129" s="830">
        <f t="shared" si="64"/>
        <v>0</v>
      </c>
      <c r="AY129" s="3310">
        <f t="shared" si="39"/>
        <v>0</v>
      </c>
      <c r="AZ129" s="3264">
        <f t="shared" si="40"/>
        <v>0</v>
      </c>
      <c r="BA129" s="3264">
        <f t="shared" si="41"/>
        <v>0</v>
      </c>
      <c r="BB129" s="3264">
        <f t="shared" si="42"/>
        <v>0</v>
      </c>
      <c r="BC129" s="3264">
        <f t="shared" si="43"/>
        <v>0</v>
      </c>
      <c r="BD129" s="3264">
        <f t="shared" si="44"/>
        <v>0</v>
      </c>
      <c r="BE129" s="3264">
        <f t="shared" si="45"/>
        <v>0</v>
      </c>
      <c r="BF129" s="3264">
        <f t="shared" si="46"/>
        <v>0</v>
      </c>
      <c r="BG129" s="3264">
        <f t="shared" si="47"/>
        <v>0</v>
      </c>
      <c r="BH129" s="3264">
        <f t="shared" si="48"/>
        <v>0</v>
      </c>
      <c r="BI129" s="3264">
        <f t="shared" si="49"/>
        <v>0</v>
      </c>
      <c r="BJ129" s="3264">
        <f t="shared" si="50"/>
        <v>0</v>
      </c>
      <c r="BK129" s="3264">
        <f t="shared" si="51"/>
        <v>0</v>
      </c>
      <c r="BL129" s="3264">
        <f t="shared" si="52"/>
        <v>0</v>
      </c>
      <c r="BM129" s="3264">
        <f t="shared" si="53"/>
        <v>0</v>
      </c>
      <c r="BN129" s="3264">
        <f t="shared" si="54"/>
        <v>0</v>
      </c>
      <c r="BO129" s="3264">
        <f t="shared" si="55"/>
        <v>0</v>
      </c>
      <c r="BP129" s="3264">
        <f t="shared" si="56"/>
        <v>0</v>
      </c>
      <c r="BQ129" s="3264">
        <f t="shared" si="57"/>
        <v>0</v>
      </c>
      <c r="BR129" s="3264">
        <f t="shared" si="58"/>
        <v>0</v>
      </c>
      <c r="BS129" s="3264">
        <f t="shared" si="59"/>
        <v>0</v>
      </c>
      <c r="BT129" s="3317">
        <f t="shared" si="60"/>
        <v>0</v>
      </c>
    </row>
    <row r="130" spans="1:72">
      <c r="A130" s="3262"/>
      <c r="B130" s="3263"/>
      <c r="C130" s="3263"/>
      <c r="D130" s="3268"/>
      <c r="E130" s="3264">
        <f t="shared" si="61"/>
        <v>0</v>
      </c>
      <c r="F130" s="3265"/>
      <c r="G130" s="3266">
        <f t="shared" si="36"/>
        <v>0</v>
      </c>
      <c r="H130" s="3267">
        <f t="shared" si="37"/>
        <v>0</v>
      </c>
      <c r="I130" s="3275"/>
      <c r="J130" s="3275"/>
      <c r="K130" s="3275"/>
      <c r="L130" s="3275"/>
      <c r="M130" s="3275"/>
      <c r="N130" s="3275"/>
      <c r="O130" s="3275"/>
      <c r="P130" s="3275"/>
      <c r="Q130" s="3275"/>
      <c r="R130" s="3275"/>
      <c r="S130" s="3275"/>
      <c r="T130" s="3275"/>
      <c r="U130" s="3275"/>
      <c r="V130" s="3275"/>
      <c r="W130" s="3275"/>
      <c r="X130" s="3275"/>
      <c r="Y130" s="3275"/>
      <c r="Z130" s="3275"/>
      <c r="AA130" s="3275"/>
      <c r="AB130" s="3275"/>
      <c r="AC130" s="3264">
        <f t="shared" si="38"/>
        <v>0</v>
      </c>
      <c r="AD130" s="3285"/>
      <c r="AE130" s="3285"/>
      <c r="AF130" s="3285"/>
      <c r="AG130" s="3285"/>
      <c r="AH130" s="3285"/>
      <c r="AI130" s="3285"/>
      <c r="AJ130" s="3285"/>
      <c r="AK130" s="3285"/>
      <c r="AL130" s="3285"/>
      <c r="AM130" s="3285"/>
      <c r="AN130" s="3285"/>
      <c r="AO130" s="3285"/>
      <c r="AP130" s="3285"/>
      <c r="AQ130" s="3285"/>
      <c r="AR130" s="3285"/>
      <c r="AS130" s="3285"/>
      <c r="AT130" s="3295"/>
      <c r="AU130" s="3296"/>
      <c r="AV130" s="830">
        <f t="shared" si="62"/>
        <v>0</v>
      </c>
      <c r="AW130" s="830">
        <f t="shared" si="63"/>
        <v>0</v>
      </c>
      <c r="AX130" s="830">
        <f t="shared" si="64"/>
        <v>0</v>
      </c>
      <c r="AY130" s="3310">
        <f t="shared" si="39"/>
        <v>0</v>
      </c>
      <c r="AZ130" s="3264">
        <f t="shared" si="40"/>
        <v>0</v>
      </c>
      <c r="BA130" s="3264">
        <f t="shared" si="41"/>
        <v>0</v>
      </c>
      <c r="BB130" s="3264">
        <f t="shared" si="42"/>
        <v>0</v>
      </c>
      <c r="BC130" s="3264">
        <f t="shared" si="43"/>
        <v>0</v>
      </c>
      <c r="BD130" s="3264">
        <f t="shared" si="44"/>
        <v>0</v>
      </c>
      <c r="BE130" s="3264">
        <f t="shared" si="45"/>
        <v>0</v>
      </c>
      <c r="BF130" s="3264">
        <f t="shared" si="46"/>
        <v>0</v>
      </c>
      <c r="BG130" s="3264">
        <f t="shared" si="47"/>
        <v>0</v>
      </c>
      <c r="BH130" s="3264">
        <f t="shared" si="48"/>
        <v>0</v>
      </c>
      <c r="BI130" s="3264">
        <f t="shared" si="49"/>
        <v>0</v>
      </c>
      <c r="BJ130" s="3264">
        <f t="shared" si="50"/>
        <v>0</v>
      </c>
      <c r="BK130" s="3264">
        <f t="shared" si="51"/>
        <v>0</v>
      </c>
      <c r="BL130" s="3264">
        <f t="shared" si="52"/>
        <v>0</v>
      </c>
      <c r="BM130" s="3264">
        <f t="shared" si="53"/>
        <v>0</v>
      </c>
      <c r="BN130" s="3264">
        <f t="shared" si="54"/>
        <v>0</v>
      </c>
      <c r="BO130" s="3264">
        <f t="shared" si="55"/>
        <v>0</v>
      </c>
      <c r="BP130" s="3264">
        <f t="shared" si="56"/>
        <v>0</v>
      </c>
      <c r="BQ130" s="3264">
        <f t="shared" si="57"/>
        <v>0</v>
      </c>
      <c r="BR130" s="3264">
        <f t="shared" si="58"/>
        <v>0</v>
      </c>
      <c r="BS130" s="3264">
        <f t="shared" si="59"/>
        <v>0</v>
      </c>
      <c r="BT130" s="3317">
        <f t="shared" si="60"/>
        <v>0</v>
      </c>
    </row>
    <row r="131" spans="1:72">
      <c r="A131" s="3262"/>
      <c r="B131" s="3263"/>
      <c r="C131" s="3263"/>
      <c r="D131" s="3268"/>
      <c r="E131" s="3264">
        <f t="shared" si="61"/>
        <v>0</v>
      </c>
      <c r="F131" s="3265"/>
      <c r="G131" s="3266">
        <f t="shared" si="36"/>
        <v>0</v>
      </c>
      <c r="H131" s="3267">
        <f t="shared" si="37"/>
        <v>0</v>
      </c>
      <c r="I131" s="3275"/>
      <c r="J131" s="3275"/>
      <c r="K131" s="3275"/>
      <c r="L131" s="3275"/>
      <c r="M131" s="3275"/>
      <c r="N131" s="3275"/>
      <c r="O131" s="3275"/>
      <c r="P131" s="3275"/>
      <c r="Q131" s="3275"/>
      <c r="R131" s="3275"/>
      <c r="S131" s="3275"/>
      <c r="T131" s="3275"/>
      <c r="U131" s="3275"/>
      <c r="V131" s="3275"/>
      <c r="W131" s="3275"/>
      <c r="X131" s="3275"/>
      <c r="Y131" s="3275"/>
      <c r="Z131" s="3275"/>
      <c r="AA131" s="3275"/>
      <c r="AB131" s="3275"/>
      <c r="AC131" s="3264">
        <f t="shared" si="38"/>
        <v>0</v>
      </c>
      <c r="AD131" s="3285"/>
      <c r="AE131" s="3285"/>
      <c r="AF131" s="3285"/>
      <c r="AG131" s="3285"/>
      <c r="AH131" s="3285"/>
      <c r="AI131" s="3285"/>
      <c r="AJ131" s="3285"/>
      <c r="AK131" s="3285"/>
      <c r="AL131" s="3285"/>
      <c r="AM131" s="3285"/>
      <c r="AN131" s="3285"/>
      <c r="AO131" s="3285"/>
      <c r="AP131" s="3285"/>
      <c r="AQ131" s="3285"/>
      <c r="AR131" s="3285"/>
      <c r="AS131" s="3285"/>
      <c r="AT131" s="3295"/>
      <c r="AU131" s="3296"/>
      <c r="AV131" s="830">
        <f t="shared" si="62"/>
        <v>0</v>
      </c>
      <c r="AW131" s="830">
        <f t="shared" si="63"/>
        <v>0</v>
      </c>
      <c r="AX131" s="830">
        <f t="shared" si="64"/>
        <v>0</v>
      </c>
      <c r="AY131" s="3310">
        <f t="shared" si="39"/>
        <v>0</v>
      </c>
      <c r="AZ131" s="3264">
        <f t="shared" si="40"/>
        <v>0</v>
      </c>
      <c r="BA131" s="3264">
        <f t="shared" si="41"/>
        <v>0</v>
      </c>
      <c r="BB131" s="3264">
        <f t="shared" si="42"/>
        <v>0</v>
      </c>
      <c r="BC131" s="3264">
        <f t="shared" si="43"/>
        <v>0</v>
      </c>
      <c r="BD131" s="3264">
        <f t="shared" si="44"/>
        <v>0</v>
      </c>
      <c r="BE131" s="3264">
        <f t="shared" si="45"/>
        <v>0</v>
      </c>
      <c r="BF131" s="3264">
        <f t="shared" si="46"/>
        <v>0</v>
      </c>
      <c r="BG131" s="3264">
        <f t="shared" si="47"/>
        <v>0</v>
      </c>
      <c r="BH131" s="3264">
        <f t="shared" si="48"/>
        <v>0</v>
      </c>
      <c r="BI131" s="3264">
        <f t="shared" si="49"/>
        <v>0</v>
      </c>
      <c r="BJ131" s="3264">
        <f t="shared" si="50"/>
        <v>0</v>
      </c>
      <c r="BK131" s="3264">
        <f t="shared" si="51"/>
        <v>0</v>
      </c>
      <c r="BL131" s="3264">
        <f t="shared" si="52"/>
        <v>0</v>
      </c>
      <c r="BM131" s="3264">
        <f t="shared" si="53"/>
        <v>0</v>
      </c>
      <c r="BN131" s="3264">
        <f t="shared" si="54"/>
        <v>0</v>
      </c>
      <c r="BO131" s="3264">
        <f t="shared" si="55"/>
        <v>0</v>
      </c>
      <c r="BP131" s="3264">
        <f t="shared" si="56"/>
        <v>0</v>
      </c>
      <c r="BQ131" s="3264">
        <f t="shared" si="57"/>
        <v>0</v>
      </c>
      <c r="BR131" s="3264">
        <f t="shared" si="58"/>
        <v>0</v>
      </c>
      <c r="BS131" s="3264">
        <f t="shared" si="59"/>
        <v>0</v>
      </c>
      <c r="BT131" s="3317">
        <f t="shared" si="60"/>
        <v>0</v>
      </c>
    </row>
    <row r="132" spans="1:72">
      <c r="A132" s="3262"/>
      <c r="B132" s="3263"/>
      <c r="C132" s="3263"/>
      <c r="D132" s="3268"/>
      <c r="E132" s="3264">
        <f t="shared" si="61"/>
        <v>0</v>
      </c>
      <c r="F132" s="3265"/>
      <c r="G132" s="3266">
        <f t="shared" si="36"/>
        <v>0</v>
      </c>
      <c r="H132" s="3267">
        <f t="shared" si="37"/>
        <v>0</v>
      </c>
      <c r="I132" s="3275"/>
      <c r="J132" s="3275"/>
      <c r="K132" s="3275"/>
      <c r="L132" s="3275"/>
      <c r="M132" s="3275"/>
      <c r="N132" s="3275"/>
      <c r="O132" s="3275"/>
      <c r="P132" s="3275"/>
      <c r="Q132" s="3275"/>
      <c r="R132" s="3275"/>
      <c r="S132" s="3275"/>
      <c r="T132" s="3275"/>
      <c r="U132" s="3275"/>
      <c r="V132" s="3275"/>
      <c r="W132" s="3275"/>
      <c r="X132" s="3275"/>
      <c r="Y132" s="3275"/>
      <c r="Z132" s="3275"/>
      <c r="AA132" s="3275"/>
      <c r="AB132" s="3275"/>
      <c r="AC132" s="3264">
        <f t="shared" si="38"/>
        <v>0</v>
      </c>
      <c r="AD132" s="3285"/>
      <c r="AE132" s="3285"/>
      <c r="AF132" s="3285"/>
      <c r="AG132" s="3285"/>
      <c r="AH132" s="3285"/>
      <c r="AI132" s="3285"/>
      <c r="AJ132" s="3285"/>
      <c r="AK132" s="3285"/>
      <c r="AL132" s="3285"/>
      <c r="AM132" s="3285"/>
      <c r="AN132" s="3285"/>
      <c r="AO132" s="3285"/>
      <c r="AP132" s="3285"/>
      <c r="AQ132" s="3285"/>
      <c r="AR132" s="3285"/>
      <c r="AS132" s="3285"/>
      <c r="AT132" s="3295"/>
      <c r="AU132" s="3296"/>
      <c r="AV132" s="830">
        <f t="shared" si="62"/>
        <v>0</v>
      </c>
      <c r="AW132" s="830">
        <f t="shared" si="63"/>
        <v>0</v>
      </c>
      <c r="AX132" s="830">
        <f t="shared" si="64"/>
        <v>0</v>
      </c>
      <c r="AY132" s="3310">
        <f t="shared" si="39"/>
        <v>0</v>
      </c>
      <c r="AZ132" s="3264">
        <f t="shared" si="40"/>
        <v>0</v>
      </c>
      <c r="BA132" s="3264">
        <f t="shared" si="41"/>
        <v>0</v>
      </c>
      <c r="BB132" s="3264">
        <f t="shared" si="42"/>
        <v>0</v>
      </c>
      <c r="BC132" s="3264">
        <f t="shared" si="43"/>
        <v>0</v>
      </c>
      <c r="BD132" s="3264">
        <f t="shared" si="44"/>
        <v>0</v>
      </c>
      <c r="BE132" s="3264">
        <f t="shared" si="45"/>
        <v>0</v>
      </c>
      <c r="BF132" s="3264">
        <f t="shared" si="46"/>
        <v>0</v>
      </c>
      <c r="BG132" s="3264">
        <f t="shared" si="47"/>
        <v>0</v>
      </c>
      <c r="BH132" s="3264">
        <f t="shared" si="48"/>
        <v>0</v>
      </c>
      <c r="BI132" s="3264">
        <f t="shared" si="49"/>
        <v>0</v>
      </c>
      <c r="BJ132" s="3264">
        <f t="shared" si="50"/>
        <v>0</v>
      </c>
      <c r="BK132" s="3264">
        <f t="shared" si="51"/>
        <v>0</v>
      </c>
      <c r="BL132" s="3264">
        <f t="shared" si="52"/>
        <v>0</v>
      </c>
      <c r="BM132" s="3264">
        <f t="shared" si="53"/>
        <v>0</v>
      </c>
      <c r="BN132" s="3264">
        <f t="shared" si="54"/>
        <v>0</v>
      </c>
      <c r="BO132" s="3264">
        <f t="shared" si="55"/>
        <v>0</v>
      </c>
      <c r="BP132" s="3264">
        <f t="shared" si="56"/>
        <v>0</v>
      </c>
      <c r="BQ132" s="3264">
        <f t="shared" si="57"/>
        <v>0</v>
      </c>
      <c r="BR132" s="3264">
        <f t="shared" si="58"/>
        <v>0</v>
      </c>
      <c r="BS132" s="3264">
        <f t="shared" si="59"/>
        <v>0</v>
      </c>
      <c r="BT132" s="3317">
        <f t="shared" si="60"/>
        <v>0</v>
      </c>
    </row>
    <row r="133" spans="1:72">
      <c r="A133" s="3262"/>
      <c r="B133" s="3263"/>
      <c r="C133" s="3263"/>
      <c r="D133" s="3268"/>
      <c r="E133" s="3264">
        <f t="shared" si="61"/>
        <v>0</v>
      </c>
      <c r="F133" s="3265"/>
      <c r="G133" s="3266">
        <f t="shared" si="36"/>
        <v>0</v>
      </c>
      <c r="H133" s="3267">
        <f t="shared" si="37"/>
        <v>0</v>
      </c>
      <c r="I133" s="3275"/>
      <c r="J133" s="3275"/>
      <c r="K133" s="3275"/>
      <c r="L133" s="3275"/>
      <c r="M133" s="3275"/>
      <c r="N133" s="3275"/>
      <c r="O133" s="3275"/>
      <c r="P133" s="3275"/>
      <c r="Q133" s="3275"/>
      <c r="R133" s="3275"/>
      <c r="S133" s="3275"/>
      <c r="T133" s="3275"/>
      <c r="U133" s="3275"/>
      <c r="V133" s="3275"/>
      <c r="W133" s="3275"/>
      <c r="X133" s="3275"/>
      <c r="Y133" s="3275"/>
      <c r="Z133" s="3275"/>
      <c r="AA133" s="3275"/>
      <c r="AB133" s="3275"/>
      <c r="AC133" s="3264">
        <f t="shared" si="38"/>
        <v>0</v>
      </c>
      <c r="AD133" s="3285"/>
      <c r="AE133" s="3285"/>
      <c r="AF133" s="3285"/>
      <c r="AG133" s="3285"/>
      <c r="AH133" s="3285"/>
      <c r="AI133" s="3285"/>
      <c r="AJ133" s="3285"/>
      <c r="AK133" s="3285"/>
      <c r="AL133" s="3285"/>
      <c r="AM133" s="3285"/>
      <c r="AN133" s="3285"/>
      <c r="AO133" s="3285"/>
      <c r="AP133" s="3285"/>
      <c r="AQ133" s="3285"/>
      <c r="AR133" s="3285"/>
      <c r="AS133" s="3285"/>
      <c r="AT133" s="3295"/>
      <c r="AU133" s="3296"/>
      <c r="AV133" s="830">
        <f t="shared" si="62"/>
        <v>0</v>
      </c>
      <c r="AW133" s="830">
        <f t="shared" si="63"/>
        <v>0</v>
      </c>
      <c r="AX133" s="830">
        <f t="shared" si="64"/>
        <v>0</v>
      </c>
      <c r="AY133" s="3310">
        <f t="shared" si="39"/>
        <v>0</v>
      </c>
      <c r="AZ133" s="3264">
        <f t="shared" si="40"/>
        <v>0</v>
      </c>
      <c r="BA133" s="3264">
        <f t="shared" si="41"/>
        <v>0</v>
      </c>
      <c r="BB133" s="3264">
        <f t="shared" si="42"/>
        <v>0</v>
      </c>
      <c r="BC133" s="3264">
        <f t="shared" si="43"/>
        <v>0</v>
      </c>
      <c r="BD133" s="3264">
        <f t="shared" si="44"/>
        <v>0</v>
      </c>
      <c r="BE133" s="3264">
        <f t="shared" si="45"/>
        <v>0</v>
      </c>
      <c r="BF133" s="3264">
        <f t="shared" si="46"/>
        <v>0</v>
      </c>
      <c r="BG133" s="3264">
        <f t="shared" si="47"/>
        <v>0</v>
      </c>
      <c r="BH133" s="3264">
        <f t="shared" si="48"/>
        <v>0</v>
      </c>
      <c r="BI133" s="3264">
        <f t="shared" si="49"/>
        <v>0</v>
      </c>
      <c r="BJ133" s="3264">
        <f t="shared" si="50"/>
        <v>0</v>
      </c>
      <c r="BK133" s="3264">
        <f t="shared" si="51"/>
        <v>0</v>
      </c>
      <c r="BL133" s="3264">
        <f t="shared" si="52"/>
        <v>0</v>
      </c>
      <c r="BM133" s="3264">
        <f t="shared" si="53"/>
        <v>0</v>
      </c>
      <c r="BN133" s="3264">
        <f t="shared" si="54"/>
        <v>0</v>
      </c>
      <c r="BO133" s="3264">
        <f t="shared" si="55"/>
        <v>0</v>
      </c>
      <c r="BP133" s="3264">
        <f t="shared" si="56"/>
        <v>0</v>
      </c>
      <c r="BQ133" s="3264">
        <f t="shared" si="57"/>
        <v>0</v>
      </c>
      <c r="BR133" s="3264">
        <f t="shared" si="58"/>
        <v>0</v>
      </c>
      <c r="BS133" s="3264">
        <f t="shared" si="59"/>
        <v>0</v>
      </c>
      <c r="BT133" s="3317">
        <f t="shared" si="60"/>
        <v>0</v>
      </c>
    </row>
    <row r="134" spans="1:72">
      <c r="A134" s="3262"/>
      <c r="B134" s="3263"/>
      <c r="C134" s="3263"/>
      <c r="D134" s="3268"/>
      <c r="E134" s="3264">
        <f t="shared" si="61"/>
        <v>0</v>
      </c>
      <c r="F134" s="3265"/>
      <c r="G134" s="3266">
        <f t="shared" si="36"/>
        <v>0</v>
      </c>
      <c r="H134" s="3267">
        <f t="shared" si="37"/>
        <v>0</v>
      </c>
      <c r="I134" s="3275"/>
      <c r="J134" s="3275"/>
      <c r="K134" s="3275"/>
      <c r="L134" s="3275"/>
      <c r="M134" s="3275"/>
      <c r="N134" s="3275"/>
      <c r="O134" s="3275"/>
      <c r="P134" s="3275"/>
      <c r="Q134" s="3275"/>
      <c r="R134" s="3275"/>
      <c r="S134" s="3275"/>
      <c r="T134" s="3275"/>
      <c r="U134" s="3275"/>
      <c r="V134" s="3275"/>
      <c r="W134" s="3275"/>
      <c r="X134" s="3275"/>
      <c r="Y134" s="3275"/>
      <c r="Z134" s="3275"/>
      <c r="AA134" s="3275"/>
      <c r="AB134" s="3275"/>
      <c r="AC134" s="3264">
        <f t="shared" si="38"/>
        <v>0</v>
      </c>
      <c r="AD134" s="3285"/>
      <c r="AE134" s="3285"/>
      <c r="AF134" s="3285"/>
      <c r="AG134" s="3285"/>
      <c r="AH134" s="3285"/>
      <c r="AI134" s="3285"/>
      <c r="AJ134" s="3285"/>
      <c r="AK134" s="3285"/>
      <c r="AL134" s="3285"/>
      <c r="AM134" s="3285"/>
      <c r="AN134" s="3285"/>
      <c r="AO134" s="3285"/>
      <c r="AP134" s="3285"/>
      <c r="AQ134" s="3285"/>
      <c r="AR134" s="3285"/>
      <c r="AS134" s="3285"/>
      <c r="AT134" s="3295"/>
      <c r="AU134" s="3296"/>
      <c r="AV134" s="830">
        <f t="shared" si="62"/>
        <v>0</v>
      </c>
      <c r="AW134" s="830">
        <f t="shared" si="63"/>
        <v>0</v>
      </c>
      <c r="AX134" s="830">
        <f t="shared" si="64"/>
        <v>0</v>
      </c>
      <c r="AY134" s="3310">
        <f t="shared" si="39"/>
        <v>0</v>
      </c>
      <c r="AZ134" s="3264">
        <f t="shared" si="40"/>
        <v>0</v>
      </c>
      <c r="BA134" s="3264">
        <f t="shared" si="41"/>
        <v>0</v>
      </c>
      <c r="BB134" s="3264">
        <f t="shared" si="42"/>
        <v>0</v>
      </c>
      <c r="BC134" s="3264">
        <f t="shared" si="43"/>
        <v>0</v>
      </c>
      <c r="BD134" s="3264">
        <f t="shared" si="44"/>
        <v>0</v>
      </c>
      <c r="BE134" s="3264">
        <f t="shared" si="45"/>
        <v>0</v>
      </c>
      <c r="BF134" s="3264">
        <f t="shared" si="46"/>
        <v>0</v>
      </c>
      <c r="BG134" s="3264">
        <f t="shared" si="47"/>
        <v>0</v>
      </c>
      <c r="BH134" s="3264">
        <f t="shared" si="48"/>
        <v>0</v>
      </c>
      <c r="BI134" s="3264">
        <f t="shared" si="49"/>
        <v>0</v>
      </c>
      <c r="BJ134" s="3264">
        <f t="shared" si="50"/>
        <v>0</v>
      </c>
      <c r="BK134" s="3264">
        <f t="shared" si="51"/>
        <v>0</v>
      </c>
      <c r="BL134" s="3264">
        <f t="shared" si="52"/>
        <v>0</v>
      </c>
      <c r="BM134" s="3264">
        <f t="shared" si="53"/>
        <v>0</v>
      </c>
      <c r="BN134" s="3264">
        <f t="shared" si="54"/>
        <v>0</v>
      </c>
      <c r="BO134" s="3264">
        <f t="shared" si="55"/>
        <v>0</v>
      </c>
      <c r="BP134" s="3264">
        <f t="shared" si="56"/>
        <v>0</v>
      </c>
      <c r="BQ134" s="3264">
        <f t="shared" si="57"/>
        <v>0</v>
      </c>
      <c r="BR134" s="3264">
        <f t="shared" si="58"/>
        <v>0</v>
      </c>
      <c r="BS134" s="3264">
        <f t="shared" si="59"/>
        <v>0</v>
      </c>
      <c r="BT134" s="3317">
        <f t="shared" si="60"/>
        <v>0</v>
      </c>
    </row>
    <row r="135" spans="1:72">
      <c r="A135" s="3262"/>
      <c r="B135" s="3263"/>
      <c r="C135" s="3263"/>
      <c r="D135" s="3268"/>
      <c r="E135" s="3264">
        <f t="shared" si="61"/>
        <v>0</v>
      </c>
      <c r="F135" s="3265"/>
      <c r="G135" s="3266">
        <f t="shared" si="36"/>
        <v>0</v>
      </c>
      <c r="H135" s="3267">
        <f t="shared" si="37"/>
        <v>0</v>
      </c>
      <c r="I135" s="3275"/>
      <c r="J135" s="3275"/>
      <c r="K135" s="3275"/>
      <c r="L135" s="3275"/>
      <c r="M135" s="3275"/>
      <c r="N135" s="3275"/>
      <c r="O135" s="3275"/>
      <c r="P135" s="3275"/>
      <c r="Q135" s="3275"/>
      <c r="R135" s="3275"/>
      <c r="S135" s="3275"/>
      <c r="T135" s="3275"/>
      <c r="U135" s="3275"/>
      <c r="V135" s="3275"/>
      <c r="W135" s="3275"/>
      <c r="X135" s="3275"/>
      <c r="Y135" s="3275"/>
      <c r="Z135" s="3275"/>
      <c r="AA135" s="3275"/>
      <c r="AB135" s="3275"/>
      <c r="AC135" s="3264">
        <f t="shared" si="38"/>
        <v>0</v>
      </c>
      <c r="AD135" s="3285"/>
      <c r="AE135" s="3285"/>
      <c r="AF135" s="3285"/>
      <c r="AG135" s="3285"/>
      <c r="AH135" s="3285"/>
      <c r="AI135" s="3285"/>
      <c r="AJ135" s="3285"/>
      <c r="AK135" s="3285"/>
      <c r="AL135" s="3285"/>
      <c r="AM135" s="3285"/>
      <c r="AN135" s="3285"/>
      <c r="AO135" s="3285"/>
      <c r="AP135" s="3285"/>
      <c r="AQ135" s="3285"/>
      <c r="AR135" s="3285"/>
      <c r="AS135" s="3285"/>
      <c r="AT135" s="3295"/>
      <c r="AU135" s="3296"/>
      <c r="AV135" s="830">
        <f t="shared" si="62"/>
        <v>0</v>
      </c>
      <c r="AW135" s="830">
        <f t="shared" si="63"/>
        <v>0</v>
      </c>
      <c r="AX135" s="830">
        <f t="shared" si="64"/>
        <v>0</v>
      </c>
      <c r="AY135" s="3310">
        <f t="shared" si="39"/>
        <v>0</v>
      </c>
      <c r="AZ135" s="3264">
        <f t="shared" si="40"/>
        <v>0</v>
      </c>
      <c r="BA135" s="3264">
        <f t="shared" si="41"/>
        <v>0</v>
      </c>
      <c r="BB135" s="3264">
        <f t="shared" si="42"/>
        <v>0</v>
      </c>
      <c r="BC135" s="3264">
        <f t="shared" si="43"/>
        <v>0</v>
      </c>
      <c r="BD135" s="3264">
        <f t="shared" si="44"/>
        <v>0</v>
      </c>
      <c r="BE135" s="3264">
        <f t="shared" si="45"/>
        <v>0</v>
      </c>
      <c r="BF135" s="3264">
        <f t="shared" si="46"/>
        <v>0</v>
      </c>
      <c r="BG135" s="3264">
        <f t="shared" si="47"/>
        <v>0</v>
      </c>
      <c r="BH135" s="3264">
        <f t="shared" si="48"/>
        <v>0</v>
      </c>
      <c r="BI135" s="3264">
        <f t="shared" si="49"/>
        <v>0</v>
      </c>
      <c r="BJ135" s="3264">
        <f t="shared" si="50"/>
        <v>0</v>
      </c>
      <c r="BK135" s="3264">
        <f t="shared" si="51"/>
        <v>0</v>
      </c>
      <c r="BL135" s="3264">
        <f t="shared" si="52"/>
        <v>0</v>
      </c>
      <c r="BM135" s="3264">
        <f t="shared" si="53"/>
        <v>0</v>
      </c>
      <c r="BN135" s="3264">
        <f t="shared" si="54"/>
        <v>0</v>
      </c>
      <c r="BO135" s="3264">
        <f t="shared" si="55"/>
        <v>0</v>
      </c>
      <c r="BP135" s="3264">
        <f t="shared" si="56"/>
        <v>0</v>
      </c>
      <c r="BQ135" s="3264">
        <f t="shared" si="57"/>
        <v>0</v>
      </c>
      <c r="BR135" s="3264">
        <f t="shared" si="58"/>
        <v>0</v>
      </c>
      <c r="BS135" s="3264">
        <f t="shared" si="59"/>
        <v>0</v>
      </c>
      <c r="BT135" s="3317">
        <f t="shared" si="60"/>
        <v>0</v>
      </c>
    </row>
    <row r="136" spans="1:72">
      <c r="A136" s="3262"/>
      <c r="B136" s="3263"/>
      <c r="C136" s="3263"/>
      <c r="D136" s="3268"/>
      <c r="E136" s="3264">
        <f t="shared" si="61"/>
        <v>0</v>
      </c>
      <c r="F136" s="3265"/>
      <c r="G136" s="3266">
        <f t="shared" si="36"/>
        <v>0</v>
      </c>
      <c r="H136" s="3267">
        <f t="shared" si="37"/>
        <v>0</v>
      </c>
      <c r="I136" s="3275"/>
      <c r="J136" s="3275"/>
      <c r="K136" s="3275"/>
      <c r="L136" s="3275"/>
      <c r="M136" s="3275"/>
      <c r="N136" s="3275"/>
      <c r="O136" s="3275"/>
      <c r="P136" s="3275"/>
      <c r="Q136" s="3275"/>
      <c r="R136" s="3275"/>
      <c r="S136" s="3275"/>
      <c r="T136" s="3275"/>
      <c r="U136" s="3275"/>
      <c r="V136" s="3275"/>
      <c r="W136" s="3275"/>
      <c r="X136" s="3275"/>
      <c r="Y136" s="3275"/>
      <c r="Z136" s="3275"/>
      <c r="AA136" s="3275"/>
      <c r="AB136" s="3275"/>
      <c r="AC136" s="3264">
        <f t="shared" si="38"/>
        <v>0</v>
      </c>
      <c r="AD136" s="3285"/>
      <c r="AE136" s="3285"/>
      <c r="AF136" s="3285"/>
      <c r="AG136" s="3285"/>
      <c r="AH136" s="3285"/>
      <c r="AI136" s="3285"/>
      <c r="AJ136" s="3285"/>
      <c r="AK136" s="3285"/>
      <c r="AL136" s="3285"/>
      <c r="AM136" s="3285"/>
      <c r="AN136" s="3285"/>
      <c r="AO136" s="3285"/>
      <c r="AP136" s="3285"/>
      <c r="AQ136" s="3285"/>
      <c r="AR136" s="3285"/>
      <c r="AS136" s="3285"/>
      <c r="AT136" s="3295"/>
      <c r="AU136" s="3296"/>
      <c r="AV136" s="830">
        <f t="shared" si="62"/>
        <v>0</v>
      </c>
      <c r="AW136" s="830">
        <f t="shared" si="63"/>
        <v>0</v>
      </c>
      <c r="AX136" s="830">
        <f t="shared" si="64"/>
        <v>0</v>
      </c>
      <c r="AY136" s="3310">
        <f t="shared" si="39"/>
        <v>0</v>
      </c>
      <c r="AZ136" s="3264">
        <f t="shared" si="40"/>
        <v>0</v>
      </c>
      <c r="BA136" s="3264">
        <f t="shared" si="41"/>
        <v>0</v>
      </c>
      <c r="BB136" s="3264">
        <f t="shared" si="42"/>
        <v>0</v>
      </c>
      <c r="BC136" s="3264">
        <f t="shared" si="43"/>
        <v>0</v>
      </c>
      <c r="BD136" s="3264">
        <f t="shared" si="44"/>
        <v>0</v>
      </c>
      <c r="BE136" s="3264">
        <f t="shared" si="45"/>
        <v>0</v>
      </c>
      <c r="BF136" s="3264">
        <f t="shared" si="46"/>
        <v>0</v>
      </c>
      <c r="BG136" s="3264">
        <f t="shared" si="47"/>
        <v>0</v>
      </c>
      <c r="BH136" s="3264">
        <f t="shared" si="48"/>
        <v>0</v>
      </c>
      <c r="BI136" s="3264">
        <f t="shared" si="49"/>
        <v>0</v>
      </c>
      <c r="BJ136" s="3264">
        <f t="shared" si="50"/>
        <v>0</v>
      </c>
      <c r="BK136" s="3264">
        <f t="shared" si="51"/>
        <v>0</v>
      </c>
      <c r="BL136" s="3264">
        <f t="shared" si="52"/>
        <v>0</v>
      </c>
      <c r="BM136" s="3264">
        <f t="shared" si="53"/>
        <v>0</v>
      </c>
      <c r="BN136" s="3264">
        <f t="shared" si="54"/>
        <v>0</v>
      </c>
      <c r="BO136" s="3264">
        <f t="shared" si="55"/>
        <v>0</v>
      </c>
      <c r="BP136" s="3264">
        <f t="shared" si="56"/>
        <v>0</v>
      </c>
      <c r="BQ136" s="3264">
        <f t="shared" si="57"/>
        <v>0</v>
      </c>
      <c r="BR136" s="3264">
        <f t="shared" si="58"/>
        <v>0</v>
      </c>
      <c r="BS136" s="3264">
        <f t="shared" si="59"/>
        <v>0</v>
      </c>
      <c r="BT136" s="3317">
        <f t="shared" si="60"/>
        <v>0</v>
      </c>
    </row>
    <row r="137" spans="1:72">
      <c r="A137" s="3262"/>
      <c r="B137" s="3263"/>
      <c r="C137" s="3263"/>
      <c r="D137" s="3268"/>
      <c r="E137" s="3264">
        <f t="shared" si="61"/>
        <v>0</v>
      </c>
      <c r="F137" s="3265"/>
      <c r="G137" s="3266">
        <f t="shared" si="36"/>
        <v>0</v>
      </c>
      <c r="H137" s="3267">
        <f t="shared" si="37"/>
        <v>0</v>
      </c>
      <c r="I137" s="3275"/>
      <c r="J137" s="3275"/>
      <c r="K137" s="3275"/>
      <c r="L137" s="3275"/>
      <c r="M137" s="3275"/>
      <c r="N137" s="3275"/>
      <c r="O137" s="3275"/>
      <c r="P137" s="3275"/>
      <c r="Q137" s="3275"/>
      <c r="R137" s="3275"/>
      <c r="S137" s="3275"/>
      <c r="T137" s="3275"/>
      <c r="U137" s="3275"/>
      <c r="V137" s="3275"/>
      <c r="W137" s="3275"/>
      <c r="X137" s="3275"/>
      <c r="Y137" s="3275"/>
      <c r="Z137" s="3275"/>
      <c r="AA137" s="3275"/>
      <c r="AB137" s="3275"/>
      <c r="AC137" s="3264">
        <f t="shared" si="38"/>
        <v>0</v>
      </c>
      <c r="AD137" s="3285"/>
      <c r="AE137" s="3285"/>
      <c r="AF137" s="3285"/>
      <c r="AG137" s="3285"/>
      <c r="AH137" s="3285"/>
      <c r="AI137" s="3285"/>
      <c r="AJ137" s="3285"/>
      <c r="AK137" s="3285"/>
      <c r="AL137" s="3285"/>
      <c r="AM137" s="3285"/>
      <c r="AN137" s="3285"/>
      <c r="AO137" s="3285"/>
      <c r="AP137" s="3285"/>
      <c r="AQ137" s="3285"/>
      <c r="AR137" s="3285"/>
      <c r="AS137" s="3285"/>
      <c r="AT137" s="3295"/>
      <c r="AU137" s="3296"/>
      <c r="AV137" s="830">
        <f t="shared" si="62"/>
        <v>0</v>
      </c>
      <c r="AW137" s="830">
        <f t="shared" si="63"/>
        <v>0</v>
      </c>
      <c r="AX137" s="830">
        <f t="shared" si="64"/>
        <v>0</v>
      </c>
      <c r="AY137" s="3310">
        <f t="shared" si="39"/>
        <v>0</v>
      </c>
      <c r="AZ137" s="3264">
        <f t="shared" si="40"/>
        <v>0</v>
      </c>
      <c r="BA137" s="3264">
        <f t="shared" si="41"/>
        <v>0</v>
      </c>
      <c r="BB137" s="3264">
        <f t="shared" si="42"/>
        <v>0</v>
      </c>
      <c r="BC137" s="3264">
        <f t="shared" si="43"/>
        <v>0</v>
      </c>
      <c r="BD137" s="3264">
        <f t="shared" si="44"/>
        <v>0</v>
      </c>
      <c r="BE137" s="3264">
        <f t="shared" si="45"/>
        <v>0</v>
      </c>
      <c r="BF137" s="3264">
        <f t="shared" si="46"/>
        <v>0</v>
      </c>
      <c r="BG137" s="3264">
        <f t="shared" si="47"/>
        <v>0</v>
      </c>
      <c r="BH137" s="3264">
        <f t="shared" si="48"/>
        <v>0</v>
      </c>
      <c r="BI137" s="3264">
        <f t="shared" si="49"/>
        <v>0</v>
      </c>
      <c r="BJ137" s="3264">
        <f t="shared" si="50"/>
        <v>0</v>
      </c>
      <c r="BK137" s="3264">
        <f t="shared" si="51"/>
        <v>0</v>
      </c>
      <c r="BL137" s="3264">
        <f t="shared" si="52"/>
        <v>0</v>
      </c>
      <c r="BM137" s="3264">
        <f t="shared" si="53"/>
        <v>0</v>
      </c>
      <c r="BN137" s="3264">
        <f t="shared" si="54"/>
        <v>0</v>
      </c>
      <c r="BO137" s="3264">
        <f t="shared" si="55"/>
        <v>0</v>
      </c>
      <c r="BP137" s="3264">
        <f t="shared" si="56"/>
        <v>0</v>
      </c>
      <c r="BQ137" s="3264">
        <f t="shared" si="57"/>
        <v>0</v>
      </c>
      <c r="BR137" s="3264">
        <f t="shared" si="58"/>
        <v>0</v>
      </c>
      <c r="BS137" s="3264">
        <f t="shared" si="59"/>
        <v>0</v>
      </c>
      <c r="BT137" s="3317">
        <f t="shared" si="60"/>
        <v>0</v>
      </c>
    </row>
    <row r="138" spans="1:72">
      <c r="A138" s="3262"/>
      <c r="B138" s="3263"/>
      <c r="C138" s="3263"/>
      <c r="D138" s="3268"/>
      <c r="E138" s="3264">
        <f t="shared" si="61"/>
        <v>0</v>
      </c>
      <c r="F138" s="3265"/>
      <c r="G138" s="3266">
        <f t="shared" si="36"/>
        <v>0</v>
      </c>
      <c r="H138" s="3267">
        <f t="shared" si="37"/>
        <v>0</v>
      </c>
      <c r="I138" s="3275"/>
      <c r="J138" s="3275"/>
      <c r="K138" s="3275"/>
      <c r="L138" s="3275"/>
      <c r="M138" s="3275"/>
      <c r="N138" s="3275"/>
      <c r="O138" s="3275"/>
      <c r="P138" s="3275"/>
      <c r="Q138" s="3275"/>
      <c r="R138" s="3275"/>
      <c r="S138" s="3275"/>
      <c r="T138" s="3275"/>
      <c r="U138" s="3275"/>
      <c r="V138" s="3275"/>
      <c r="W138" s="3275"/>
      <c r="X138" s="3275"/>
      <c r="Y138" s="3275"/>
      <c r="Z138" s="3275"/>
      <c r="AA138" s="3275"/>
      <c r="AB138" s="3275"/>
      <c r="AC138" s="3264">
        <f t="shared" si="38"/>
        <v>0</v>
      </c>
      <c r="AD138" s="3285"/>
      <c r="AE138" s="3285"/>
      <c r="AF138" s="3285"/>
      <c r="AG138" s="3285"/>
      <c r="AH138" s="3285"/>
      <c r="AI138" s="3285"/>
      <c r="AJ138" s="3285"/>
      <c r="AK138" s="3285"/>
      <c r="AL138" s="3285"/>
      <c r="AM138" s="3285"/>
      <c r="AN138" s="3285"/>
      <c r="AO138" s="3285"/>
      <c r="AP138" s="3285"/>
      <c r="AQ138" s="3285"/>
      <c r="AR138" s="3285"/>
      <c r="AS138" s="3285"/>
      <c r="AT138" s="3295"/>
      <c r="AU138" s="3296"/>
      <c r="AV138" s="830">
        <f t="shared" si="62"/>
        <v>0</v>
      </c>
      <c r="AW138" s="830">
        <f t="shared" si="63"/>
        <v>0</v>
      </c>
      <c r="AX138" s="830">
        <f t="shared" si="64"/>
        <v>0</v>
      </c>
      <c r="AY138" s="3310">
        <f t="shared" si="39"/>
        <v>0</v>
      </c>
      <c r="AZ138" s="3264">
        <f t="shared" si="40"/>
        <v>0</v>
      </c>
      <c r="BA138" s="3264">
        <f t="shared" si="41"/>
        <v>0</v>
      </c>
      <c r="BB138" s="3264">
        <f t="shared" si="42"/>
        <v>0</v>
      </c>
      <c r="BC138" s="3264">
        <f t="shared" si="43"/>
        <v>0</v>
      </c>
      <c r="BD138" s="3264">
        <f t="shared" si="44"/>
        <v>0</v>
      </c>
      <c r="BE138" s="3264">
        <f t="shared" si="45"/>
        <v>0</v>
      </c>
      <c r="BF138" s="3264">
        <f t="shared" si="46"/>
        <v>0</v>
      </c>
      <c r="BG138" s="3264">
        <f t="shared" si="47"/>
        <v>0</v>
      </c>
      <c r="BH138" s="3264">
        <f t="shared" si="48"/>
        <v>0</v>
      </c>
      <c r="BI138" s="3264">
        <f t="shared" si="49"/>
        <v>0</v>
      </c>
      <c r="BJ138" s="3264">
        <f t="shared" si="50"/>
        <v>0</v>
      </c>
      <c r="BK138" s="3264">
        <f t="shared" si="51"/>
        <v>0</v>
      </c>
      <c r="BL138" s="3264">
        <f t="shared" si="52"/>
        <v>0</v>
      </c>
      <c r="BM138" s="3264">
        <f t="shared" si="53"/>
        <v>0</v>
      </c>
      <c r="BN138" s="3264">
        <f t="shared" si="54"/>
        <v>0</v>
      </c>
      <c r="BO138" s="3264">
        <f t="shared" si="55"/>
        <v>0</v>
      </c>
      <c r="BP138" s="3264">
        <f t="shared" si="56"/>
        <v>0</v>
      </c>
      <c r="BQ138" s="3264">
        <f t="shared" si="57"/>
        <v>0</v>
      </c>
      <c r="BR138" s="3264">
        <f t="shared" si="58"/>
        <v>0</v>
      </c>
      <c r="BS138" s="3264">
        <f t="shared" si="59"/>
        <v>0</v>
      </c>
      <c r="BT138" s="3317">
        <f t="shared" si="60"/>
        <v>0</v>
      </c>
    </row>
    <row r="139" spans="1:72">
      <c r="A139" s="3262"/>
      <c r="B139" s="3263"/>
      <c r="C139" s="3263"/>
      <c r="D139" s="3268"/>
      <c r="E139" s="3264">
        <f t="shared" si="61"/>
        <v>0</v>
      </c>
      <c r="F139" s="3265"/>
      <c r="G139" s="3266">
        <f t="shared" si="36"/>
        <v>0</v>
      </c>
      <c r="H139" s="3267">
        <f t="shared" si="37"/>
        <v>0</v>
      </c>
      <c r="I139" s="3275"/>
      <c r="J139" s="3275"/>
      <c r="K139" s="3275"/>
      <c r="L139" s="3275"/>
      <c r="M139" s="3275"/>
      <c r="N139" s="3275"/>
      <c r="O139" s="3275"/>
      <c r="P139" s="3275"/>
      <c r="Q139" s="3275"/>
      <c r="R139" s="3275"/>
      <c r="S139" s="3275"/>
      <c r="T139" s="3275"/>
      <c r="U139" s="3275"/>
      <c r="V139" s="3275"/>
      <c r="W139" s="3275"/>
      <c r="X139" s="3275"/>
      <c r="Y139" s="3275"/>
      <c r="Z139" s="3275"/>
      <c r="AA139" s="3275"/>
      <c r="AB139" s="3275"/>
      <c r="AC139" s="3264">
        <f t="shared" si="38"/>
        <v>0</v>
      </c>
      <c r="AD139" s="3285"/>
      <c r="AE139" s="3285"/>
      <c r="AF139" s="3285"/>
      <c r="AG139" s="3285"/>
      <c r="AH139" s="3285"/>
      <c r="AI139" s="3285"/>
      <c r="AJ139" s="3285"/>
      <c r="AK139" s="3285"/>
      <c r="AL139" s="3285"/>
      <c r="AM139" s="3285"/>
      <c r="AN139" s="3285"/>
      <c r="AO139" s="3285"/>
      <c r="AP139" s="3285"/>
      <c r="AQ139" s="3285"/>
      <c r="AR139" s="3285"/>
      <c r="AS139" s="3285"/>
      <c r="AT139" s="3295"/>
      <c r="AU139" s="3296"/>
      <c r="AV139" s="830">
        <f t="shared" si="62"/>
        <v>0</v>
      </c>
      <c r="AW139" s="830">
        <f t="shared" si="63"/>
        <v>0</v>
      </c>
      <c r="AX139" s="830">
        <f t="shared" si="64"/>
        <v>0</v>
      </c>
      <c r="AY139" s="3310">
        <f t="shared" si="39"/>
        <v>0</v>
      </c>
      <c r="AZ139" s="3264">
        <f t="shared" si="40"/>
        <v>0</v>
      </c>
      <c r="BA139" s="3264">
        <f t="shared" si="41"/>
        <v>0</v>
      </c>
      <c r="BB139" s="3264">
        <f t="shared" si="42"/>
        <v>0</v>
      </c>
      <c r="BC139" s="3264">
        <f t="shared" si="43"/>
        <v>0</v>
      </c>
      <c r="BD139" s="3264">
        <f t="shared" si="44"/>
        <v>0</v>
      </c>
      <c r="BE139" s="3264">
        <f t="shared" si="45"/>
        <v>0</v>
      </c>
      <c r="BF139" s="3264">
        <f t="shared" si="46"/>
        <v>0</v>
      </c>
      <c r="BG139" s="3264">
        <f t="shared" si="47"/>
        <v>0</v>
      </c>
      <c r="BH139" s="3264">
        <f t="shared" si="48"/>
        <v>0</v>
      </c>
      <c r="BI139" s="3264">
        <f t="shared" si="49"/>
        <v>0</v>
      </c>
      <c r="BJ139" s="3264">
        <f t="shared" si="50"/>
        <v>0</v>
      </c>
      <c r="BK139" s="3264">
        <f t="shared" si="51"/>
        <v>0</v>
      </c>
      <c r="BL139" s="3264">
        <f t="shared" si="52"/>
        <v>0</v>
      </c>
      <c r="BM139" s="3264">
        <f t="shared" si="53"/>
        <v>0</v>
      </c>
      <c r="BN139" s="3264">
        <f t="shared" si="54"/>
        <v>0</v>
      </c>
      <c r="BO139" s="3264">
        <f t="shared" si="55"/>
        <v>0</v>
      </c>
      <c r="BP139" s="3264">
        <f t="shared" si="56"/>
        <v>0</v>
      </c>
      <c r="BQ139" s="3264">
        <f t="shared" si="57"/>
        <v>0</v>
      </c>
      <c r="BR139" s="3264">
        <f t="shared" si="58"/>
        <v>0</v>
      </c>
      <c r="BS139" s="3264">
        <f t="shared" si="59"/>
        <v>0</v>
      </c>
      <c r="BT139" s="3317">
        <f t="shared" si="60"/>
        <v>0</v>
      </c>
    </row>
    <row r="140" spans="1:72">
      <c r="A140" s="3262"/>
      <c r="B140" s="3263"/>
      <c r="C140" s="3263"/>
      <c r="D140" s="3268"/>
      <c r="E140" s="3264">
        <f t="shared" si="61"/>
        <v>0</v>
      </c>
      <c r="F140" s="3265"/>
      <c r="G140" s="3266">
        <f t="shared" si="36"/>
        <v>0</v>
      </c>
      <c r="H140" s="3267">
        <f t="shared" si="37"/>
        <v>0</v>
      </c>
      <c r="I140" s="3275"/>
      <c r="J140" s="3275"/>
      <c r="K140" s="3275"/>
      <c r="L140" s="3275"/>
      <c r="M140" s="3275"/>
      <c r="N140" s="3275"/>
      <c r="O140" s="3275"/>
      <c r="P140" s="3275"/>
      <c r="Q140" s="3275"/>
      <c r="R140" s="3275"/>
      <c r="S140" s="3275"/>
      <c r="T140" s="3275"/>
      <c r="U140" s="3275"/>
      <c r="V140" s="3275"/>
      <c r="W140" s="3275"/>
      <c r="X140" s="3275"/>
      <c r="Y140" s="3275"/>
      <c r="Z140" s="3275"/>
      <c r="AA140" s="3275"/>
      <c r="AB140" s="3275"/>
      <c r="AC140" s="3264">
        <f t="shared" si="38"/>
        <v>0</v>
      </c>
      <c r="AD140" s="3285"/>
      <c r="AE140" s="3285"/>
      <c r="AF140" s="3285"/>
      <c r="AG140" s="3285"/>
      <c r="AH140" s="3285"/>
      <c r="AI140" s="3285"/>
      <c r="AJ140" s="3285"/>
      <c r="AK140" s="3285"/>
      <c r="AL140" s="3285"/>
      <c r="AM140" s="3285"/>
      <c r="AN140" s="3285"/>
      <c r="AO140" s="3285"/>
      <c r="AP140" s="3285"/>
      <c r="AQ140" s="3285"/>
      <c r="AR140" s="3285"/>
      <c r="AS140" s="3285"/>
      <c r="AT140" s="3295"/>
      <c r="AU140" s="3296"/>
      <c r="AV140" s="830">
        <f t="shared" si="62"/>
        <v>0</v>
      </c>
      <c r="AW140" s="830">
        <f t="shared" si="63"/>
        <v>0</v>
      </c>
      <c r="AX140" s="830">
        <f t="shared" si="64"/>
        <v>0</v>
      </c>
      <c r="AY140" s="3310">
        <f t="shared" si="39"/>
        <v>0</v>
      </c>
      <c r="AZ140" s="3264">
        <f t="shared" si="40"/>
        <v>0</v>
      </c>
      <c r="BA140" s="3264">
        <f t="shared" si="41"/>
        <v>0</v>
      </c>
      <c r="BB140" s="3264">
        <f t="shared" si="42"/>
        <v>0</v>
      </c>
      <c r="BC140" s="3264">
        <f t="shared" si="43"/>
        <v>0</v>
      </c>
      <c r="BD140" s="3264">
        <f t="shared" si="44"/>
        <v>0</v>
      </c>
      <c r="BE140" s="3264">
        <f t="shared" si="45"/>
        <v>0</v>
      </c>
      <c r="BF140" s="3264">
        <f t="shared" si="46"/>
        <v>0</v>
      </c>
      <c r="BG140" s="3264">
        <f t="shared" si="47"/>
        <v>0</v>
      </c>
      <c r="BH140" s="3264">
        <f t="shared" si="48"/>
        <v>0</v>
      </c>
      <c r="BI140" s="3264">
        <f t="shared" si="49"/>
        <v>0</v>
      </c>
      <c r="BJ140" s="3264">
        <f t="shared" si="50"/>
        <v>0</v>
      </c>
      <c r="BK140" s="3264">
        <f t="shared" si="51"/>
        <v>0</v>
      </c>
      <c r="BL140" s="3264">
        <f t="shared" si="52"/>
        <v>0</v>
      </c>
      <c r="BM140" s="3264">
        <f t="shared" si="53"/>
        <v>0</v>
      </c>
      <c r="BN140" s="3264">
        <f t="shared" si="54"/>
        <v>0</v>
      </c>
      <c r="BO140" s="3264">
        <f t="shared" si="55"/>
        <v>0</v>
      </c>
      <c r="BP140" s="3264">
        <f t="shared" si="56"/>
        <v>0</v>
      </c>
      <c r="BQ140" s="3264">
        <f t="shared" si="57"/>
        <v>0</v>
      </c>
      <c r="BR140" s="3264">
        <f t="shared" si="58"/>
        <v>0</v>
      </c>
      <c r="BS140" s="3264">
        <f t="shared" si="59"/>
        <v>0</v>
      </c>
      <c r="BT140" s="3317">
        <f t="shared" si="60"/>
        <v>0</v>
      </c>
    </row>
    <row r="141" spans="1:72">
      <c r="A141" s="3262"/>
      <c r="B141" s="3263"/>
      <c r="C141" s="3263"/>
      <c r="D141" s="3268"/>
      <c r="E141" s="3264">
        <f t="shared" si="61"/>
        <v>0</v>
      </c>
      <c r="F141" s="3265"/>
      <c r="G141" s="3266">
        <f t="shared" si="36"/>
        <v>0</v>
      </c>
      <c r="H141" s="3267">
        <f t="shared" si="37"/>
        <v>0</v>
      </c>
      <c r="I141" s="3275"/>
      <c r="J141" s="3275"/>
      <c r="K141" s="3275"/>
      <c r="L141" s="3275"/>
      <c r="M141" s="3275"/>
      <c r="N141" s="3275"/>
      <c r="O141" s="3275"/>
      <c r="P141" s="3275"/>
      <c r="Q141" s="3275"/>
      <c r="R141" s="3275"/>
      <c r="S141" s="3275"/>
      <c r="T141" s="3275"/>
      <c r="U141" s="3275"/>
      <c r="V141" s="3275"/>
      <c r="W141" s="3275"/>
      <c r="X141" s="3275"/>
      <c r="Y141" s="3275"/>
      <c r="Z141" s="3275"/>
      <c r="AA141" s="3275"/>
      <c r="AB141" s="3275"/>
      <c r="AC141" s="3264">
        <f t="shared" si="38"/>
        <v>0</v>
      </c>
      <c r="AD141" s="3285"/>
      <c r="AE141" s="3285"/>
      <c r="AF141" s="3285"/>
      <c r="AG141" s="3285"/>
      <c r="AH141" s="3285"/>
      <c r="AI141" s="3285"/>
      <c r="AJ141" s="3285"/>
      <c r="AK141" s="3285"/>
      <c r="AL141" s="3285"/>
      <c r="AM141" s="3285"/>
      <c r="AN141" s="3285"/>
      <c r="AO141" s="3285"/>
      <c r="AP141" s="3285"/>
      <c r="AQ141" s="3285"/>
      <c r="AR141" s="3285"/>
      <c r="AS141" s="3285"/>
      <c r="AT141" s="3295"/>
      <c r="AU141" s="3296"/>
      <c r="AV141" s="830">
        <f t="shared" si="62"/>
        <v>0</v>
      </c>
      <c r="AW141" s="830">
        <f t="shared" si="63"/>
        <v>0</v>
      </c>
      <c r="AX141" s="830">
        <f t="shared" si="64"/>
        <v>0</v>
      </c>
      <c r="AY141" s="3310">
        <f t="shared" si="39"/>
        <v>0</v>
      </c>
      <c r="AZ141" s="3264">
        <f t="shared" si="40"/>
        <v>0</v>
      </c>
      <c r="BA141" s="3264">
        <f t="shared" si="41"/>
        <v>0</v>
      </c>
      <c r="BB141" s="3264">
        <f t="shared" si="42"/>
        <v>0</v>
      </c>
      <c r="BC141" s="3264">
        <f t="shared" si="43"/>
        <v>0</v>
      </c>
      <c r="BD141" s="3264">
        <f t="shared" si="44"/>
        <v>0</v>
      </c>
      <c r="BE141" s="3264">
        <f t="shared" si="45"/>
        <v>0</v>
      </c>
      <c r="BF141" s="3264">
        <f t="shared" si="46"/>
        <v>0</v>
      </c>
      <c r="BG141" s="3264">
        <f t="shared" si="47"/>
        <v>0</v>
      </c>
      <c r="BH141" s="3264">
        <f t="shared" si="48"/>
        <v>0</v>
      </c>
      <c r="BI141" s="3264">
        <f t="shared" si="49"/>
        <v>0</v>
      </c>
      <c r="BJ141" s="3264">
        <f t="shared" si="50"/>
        <v>0</v>
      </c>
      <c r="BK141" s="3264">
        <f t="shared" si="51"/>
        <v>0</v>
      </c>
      <c r="BL141" s="3264">
        <f t="shared" si="52"/>
        <v>0</v>
      </c>
      <c r="BM141" s="3264">
        <f t="shared" si="53"/>
        <v>0</v>
      </c>
      <c r="BN141" s="3264">
        <f t="shared" si="54"/>
        <v>0</v>
      </c>
      <c r="BO141" s="3264">
        <f t="shared" si="55"/>
        <v>0</v>
      </c>
      <c r="BP141" s="3264">
        <f t="shared" si="56"/>
        <v>0</v>
      </c>
      <c r="BQ141" s="3264">
        <f t="shared" si="57"/>
        <v>0</v>
      </c>
      <c r="BR141" s="3264">
        <f t="shared" si="58"/>
        <v>0</v>
      </c>
      <c r="BS141" s="3264">
        <f t="shared" si="59"/>
        <v>0</v>
      </c>
      <c r="BT141" s="3317">
        <f t="shared" si="60"/>
        <v>0</v>
      </c>
    </row>
    <row r="142" spans="1:72">
      <c r="A142" s="3262"/>
      <c r="B142" s="3263"/>
      <c r="C142" s="3263"/>
      <c r="D142" s="3268"/>
      <c r="E142" s="3264">
        <f t="shared" si="61"/>
        <v>0</v>
      </c>
      <c r="F142" s="3265"/>
      <c r="G142" s="3266">
        <f t="shared" ref="G142:G173" si="65">H142+AC142+AT142</f>
        <v>0</v>
      </c>
      <c r="H142" s="3267">
        <f t="shared" ref="H142:H173" si="66">SUMIF(I$12:AB$12,"总值",I142:AB142)</f>
        <v>0</v>
      </c>
      <c r="I142" s="3275"/>
      <c r="J142" s="3275"/>
      <c r="K142" s="3275"/>
      <c r="L142" s="3275"/>
      <c r="M142" s="3275"/>
      <c r="N142" s="3275"/>
      <c r="O142" s="3275"/>
      <c r="P142" s="3275"/>
      <c r="Q142" s="3275"/>
      <c r="R142" s="3275"/>
      <c r="S142" s="3275"/>
      <c r="T142" s="3275"/>
      <c r="U142" s="3275"/>
      <c r="V142" s="3275"/>
      <c r="W142" s="3275"/>
      <c r="X142" s="3275"/>
      <c r="Y142" s="3275"/>
      <c r="Z142" s="3275"/>
      <c r="AA142" s="3275"/>
      <c r="AB142" s="3275"/>
      <c r="AC142" s="3264">
        <f t="shared" ref="AC142:AC173" si="67">SUMIF(AD$12:AS$12,"总值",AD142:AS142)</f>
        <v>0</v>
      </c>
      <c r="AD142" s="3285"/>
      <c r="AE142" s="3285"/>
      <c r="AF142" s="3285"/>
      <c r="AG142" s="3285"/>
      <c r="AH142" s="3285"/>
      <c r="AI142" s="3285"/>
      <c r="AJ142" s="3285"/>
      <c r="AK142" s="3285"/>
      <c r="AL142" s="3285"/>
      <c r="AM142" s="3285"/>
      <c r="AN142" s="3285"/>
      <c r="AO142" s="3285"/>
      <c r="AP142" s="3285"/>
      <c r="AQ142" s="3285"/>
      <c r="AR142" s="3285"/>
      <c r="AS142" s="3285"/>
      <c r="AT142" s="3295"/>
      <c r="AU142" s="3296"/>
      <c r="AV142" s="830">
        <f t="shared" si="62"/>
        <v>0</v>
      </c>
      <c r="AW142" s="830">
        <f t="shared" si="63"/>
        <v>0</v>
      </c>
      <c r="AX142" s="830">
        <f t="shared" si="64"/>
        <v>0</v>
      </c>
      <c r="AY142" s="3310">
        <f t="shared" ref="AY142:AY173" si="68">ROUND($AY$6*AZ142/$AZ$5,2)</f>
        <v>0</v>
      </c>
      <c r="AZ142" s="3264">
        <f t="shared" ref="AZ142:AZ173" si="69">BA142+BL142</f>
        <v>0</v>
      </c>
      <c r="BA142" s="3264">
        <f t="shared" ref="BA142:BA173" si="70">SUM(BB142:BK142)</f>
        <v>0</v>
      </c>
      <c r="BB142" s="3264">
        <f t="shared" ref="BB142:BB173" si="71">IF($D142="是",I142-J142,0)</f>
        <v>0</v>
      </c>
      <c r="BC142" s="3264">
        <f t="shared" ref="BC142:BC173" si="72">IF($D142="是",K142-L142,0)</f>
        <v>0</v>
      </c>
      <c r="BD142" s="3264">
        <f t="shared" ref="BD142:BD173" si="73">IF($D142="是",M142-N142,0)</f>
        <v>0</v>
      </c>
      <c r="BE142" s="3264">
        <f t="shared" ref="BE142:BE173" si="74">IF($D142="是",O142-P142,0)</f>
        <v>0</v>
      </c>
      <c r="BF142" s="3264">
        <f t="shared" ref="BF142:BF173" si="75">IF($D142="是",Q142-R142,0)</f>
        <v>0</v>
      </c>
      <c r="BG142" s="3264">
        <f t="shared" ref="BG142:BG173" si="76">IF($D142="是",S142-T142,0)</f>
        <v>0</v>
      </c>
      <c r="BH142" s="3264">
        <f t="shared" ref="BH142:BH173" si="77">IF($D142="是",U142-V142,0)</f>
        <v>0</v>
      </c>
      <c r="BI142" s="3264">
        <f t="shared" ref="BI142:BI173" si="78">IF($D142="是",W142-X142,0)</f>
        <v>0</v>
      </c>
      <c r="BJ142" s="3264">
        <f t="shared" ref="BJ142:BJ173" si="79">IF($D142="是",Y142-Z142,0)</f>
        <v>0</v>
      </c>
      <c r="BK142" s="3264">
        <f t="shared" ref="BK142:BK173" si="80">IF($D142="是",AA142-AB142,0)</f>
        <v>0</v>
      </c>
      <c r="BL142" s="3264">
        <f t="shared" ref="BL142:BL173" si="81">SUM(BM142:BT142)</f>
        <v>0</v>
      </c>
      <c r="BM142" s="3264">
        <f t="shared" ref="BM142:BM173" si="82">IF($D142="是",AD142-AE142,0)</f>
        <v>0</v>
      </c>
      <c r="BN142" s="3264">
        <f t="shared" ref="BN142:BN173" si="83">IF($D142="是",AF142-AG142,0)</f>
        <v>0</v>
      </c>
      <c r="BO142" s="3264">
        <f t="shared" ref="BO142:BO173" si="84">IF($D142="是",AH142-AI142,0)</f>
        <v>0</v>
      </c>
      <c r="BP142" s="3264">
        <f t="shared" ref="BP142:BP173" si="85">IF($D142="是",AJ142-AK142,0)</f>
        <v>0</v>
      </c>
      <c r="BQ142" s="3264">
        <f t="shared" ref="BQ142:BQ173" si="86">IF($D142="是",AL142-AM142,0)</f>
        <v>0</v>
      </c>
      <c r="BR142" s="3264">
        <f t="shared" ref="BR142:BR173" si="87">IF($D142="是",AN142-AO142,0)</f>
        <v>0</v>
      </c>
      <c r="BS142" s="3264">
        <f t="shared" ref="BS142:BS173" si="88">IF($D142="是",AP142-AQ142,0)</f>
        <v>0</v>
      </c>
      <c r="BT142" s="3317">
        <f t="shared" ref="BT142:BT173" si="89">IF($D142="是",AR142-AS142,0)</f>
        <v>0</v>
      </c>
    </row>
    <row r="143" spans="1:72">
      <c r="A143" s="3262"/>
      <c r="B143" s="3263"/>
      <c r="C143" s="3263"/>
      <c r="D143" s="3268"/>
      <c r="E143" s="3264">
        <f t="shared" si="61"/>
        <v>0</v>
      </c>
      <c r="F143" s="3265"/>
      <c r="G143" s="3266">
        <f t="shared" si="65"/>
        <v>0</v>
      </c>
      <c r="H143" s="3267">
        <f t="shared" si="66"/>
        <v>0</v>
      </c>
      <c r="I143" s="3275"/>
      <c r="J143" s="3275"/>
      <c r="K143" s="3275"/>
      <c r="L143" s="3275"/>
      <c r="M143" s="3275"/>
      <c r="N143" s="3275"/>
      <c r="O143" s="3275"/>
      <c r="P143" s="3275"/>
      <c r="Q143" s="3275"/>
      <c r="R143" s="3275"/>
      <c r="S143" s="3275"/>
      <c r="T143" s="3275"/>
      <c r="U143" s="3275"/>
      <c r="V143" s="3275"/>
      <c r="W143" s="3275"/>
      <c r="X143" s="3275"/>
      <c r="Y143" s="3275"/>
      <c r="Z143" s="3275"/>
      <c r="AA143" s="3275"/>
      <c r="AB143" s="3275"/>
      <c r="AC143" s="3264">
        <f t="shared" si="67"/>
        <v>0</v>
      </c>
      <c r="AD143" s="3285"/>
      <c r="AE143" s="3285"/>
      <c r="AF143" s="3285"/>
      <c r="AG143" s="3285"/>
      <c r="AH143" s="3285"/>
      <c r="AI143" s="3285"/>
      <c r="AJ143" s="3285"/>
      <c r="AK143" s="3285"/>
      <c r="AL143" s="3285"/>
      <c r="AM143" s="3285"/>
      <c r="AN143" s="3285"/>
      <c r="AO143" s="3285"/>
      <c r="AP143" s="3285"/>
      <c r="AQ143" s="3285"/>
      <c r="AR143" s="3285"/>
      <c r="AS143" s="3285"/>
      <c r="AT143" s="3295"/>
      <c r="AU143" s="3296"/>
      <c r="AV143" s="830">
        <f t="shared" si="62"/>
        <v>0</v>
      </c>
      <c r="AW143" s="830">
        <f t="shared" si="63"/>
        <v>0</v>
      </c>
      <c r="AX143" s="830">
        <f t="shared" si="64"/>
        <v>0</v>
      </c>
      <c r="AY143" s="3310">
        <f t="shared" si="68"/>
        <v>0</v>
      </c>
      <c r="AZ143" s="3264">
        <f t="shared" si="69"/>
        <v>0</v>
      </c>
      <c r="BA143" s="3264">
        <f t="shared" si="70"/>
        <v>0</v>
      </c>
      <c r="BB143" s="3264">
        <f t="shared" si="71"/>
        <v>0</v>
      </c>
      <c r="BC143" s="3264">
        <f t="shared" si="72"/>
        <v>0</v>
      </c>
      <c r="BD143" s="3264">
        <f t="shared" si="73"/>
        <v>0</v>
      </c>
      <c r="BE143" s="3264">
        <f t="shared" si="74"/>
        <v>0</v>
      </c>
      <c r="BF143" s="3264">
        <f t="shared" si="75"/>
        <v>0</v>
      </c>
      <c r="BG143" s="3264">
        <f t="shared" si="76"/>
        <v>0</v>
      </c>
      <c r="BH143" s="3264">
        <f t="shared" si="77"/>
        <v>0</v>
      </c>
      <c r="BI143" s="3264">
        <f t="shared" si="78"/>
        <v>0</v>
      </c>
      <c r="BJ143" s="3264">
        <f t="shared" si="79"/>
        <v>0</v>
      </c>
      <c r="BK143" s="3264">
        <f t="shared" si="80"/>
        <v>0</v>
      </c>
      <c r="BL143" s="3264">
        <f t="shared" si="81"/>
        <v>0</v>
      </c>
      <c r="BM143" s="3264">
        <f t="shared" si="82"/>
        <v>0</v>
      </c>
      <c r="BN143" s="3264">
        <f t="shared" si="83"/>
        <v>0</v>
      </c>
      <c r="BO143" s="3264">
        <f t="shared" si="84"/>
        <v>0</v>
      </c>
      <c r="BP143" s="3264">
        <f t="shared" si="85"/>
        <v>0</v>
      </c>
      <c r="BQ143" s="3264">
        <f t="shared" si="86"/>
        <v>0</v>
      </c>
      <c r="BR143" s="3264">
        <f t="shared" si="87"/>
        <v>0</v>
      </c>
      <c r="BS143" s="3264">
        <f t="shared" si="88"/>
        <v>0</v>
      </c>
      <c r="BT143" s="3317">
        <f t="shared" si="89"/>
        <v>0</v>
      </c>
    </row>
    <row r="144" spans="1:72">
      <c r="A144" s="3262"/>
      <c r="B144" s="3263"/>
      <c r="C144" s="3263"/>
      <c r="D144" s="3268"/>
      <c r="E144" s="3264">
        <f t="shared" si="61"/>
        <v>0</v>
      </c>
      <c r="F144" s="3265"/>
      <c r="G144" s="3266">
        <f t="shared" si="65"/>
        <v>0</v>
      </c>
      <c r="H144" s="3267">
        <f t="shared" si="66"/>
        <v>0</v>
      </c>
      <c r="I144" s="3275"/>
      <c r="J144" s="3275"/>
      <c r="K144" s="3275"/>
      <c r="L144" s="3275"/>
      <c r="M144" s="3275"/>
      <c r="N144" s="3275"/>
      <c r="O144" s="3275"/>
      <c r="P144" s="3275"/>
      <c r="Q144" s="3275"/>
      <c r="R144" s="3275"/>
      <c r="S144" s="3275"/>
      <c r="T144" s="3275"/>
      <c r="U144" s="3275"/>
      <c r="V144" s="3275"/>
      <c r="W144" s="3275"/>
      <c r="X144" s="3275"/>
      <c r="Y144" s="3275"/>
      <c r="Z144" s="3275"/>
      <c r="AA144" s="3275"/>
      <c r="AB144" s="3275"/>
      <c r="AC144" s="3264">
        <f t="shared" si="67"/>
        <v>0</v>
      </c>
      <c r="AD144" s="3285"/>
      <c r="AE144" s="3285"/>
      <c r="AF144" s="3285"/>
      <c r="AG144" s="3285"/>
      <c r="AH144" s="3285"/>
      <c r="AI144" s="3285"/>
      <c r="AJ144" s="3285"/>
      <c r="AK144" s="3285"/>
      <c r="AL144" s="3285"/>
      <c r="AM144" s="3285"/>
      <c r="AN144" s="3285"/>
      <c r="AO144" s="3285"/>
      <c r="AP144" s="3285"/>
      <c r="AQ144" s="3285"/>
      <c r="AR144" s="3285"/>
      <c r="AS144" s="3285"/>
      <c r="AT144" s="3295"/>
      <c r="AU144" s="3296"/>
      <c r="AV144" s="830">
        <f t="shared" si="62"/>
        <v>0</v>
      </c>
      <c r="AW144" s="830">
        <f t="shared" si="63"/>
        <v>0</v>
      </c>
      <c r="AX144" s="830">
        <f t="shared" si="64"/>
        <v>0</v>
      </c>
      <c r="AY144" s="3310">
        <f t="shared" si="68"/>
        <v>0</v>
      </c>
      <c r="AZ144" s="3264">
        <f t="shared" si="69"/>
        <v>0</v>
      </c>
      <c r="BA144" s="3264">
        <f t="shared" si="70"/>
        <v>0</v>
      </c>
      <c r="BB144" s="3264">
        <f t="shared" si="71"/>
        <v>0</v>
      </c>
      <c r="BC144" s="3264">
        <f t="shared" si="72"/>
        <v>0</v>
      </c>
      <c r="BD144" s="3264">
        <f t="shared" si="73"/>
        <v>0</v>
      </c>
      <c r="BE144" s="3264">
        <f t="shared" si="74"/>
        <v>0</v>
      </c>
      <c r="BF144" s="3264">
        <f t="shared" si="75"/>
        <v>0</v>
      </c>
      <c r="BG144" s="3264">
        <f t="shared" si="76"/>
        <v>0</v>
      </c>
      <c r="BH144" s="3264">
        <f t="shared" si="77"/>
        <v>0</v>
      </c>
      <c r="BI144" s="3264">
        <f t="shared" si="78"/>
        <v>0</v>
      </c>
      <c r="BJ144" s="3264">
        <f t="shared" si="79"/>
        <v>0</v>
      </c>
      <c r="BK144" s="3264">
        <f t="shared" si="80"/>
        <v>0</v>
      </c>
      <c r="BL144" s="3264">
        <f t="shared" si="81"/>
        <v>0</v>
      </c>
      <c r="BM144" s="3264">
        <f t="shared" si="82"/>
        <v>0</v>
      </c>
      <c r="BN144" s="3264">
        <f t="shared" si="83"/>
        <v>0</v>
      </c>
      <c r="BO144" s="3264">
        <f t="shared" si="84"/>
        <v>0</v>
      </c>
      <c r="BP144" s="3264">
        <f t="shared" si="85"/>
        <v>0</v>
      </c>
      <c r="BQ144" s="3264">
        <f t="shared" si="86"/>
        <v>0</v>
      </c>
      <c r="BR144" s="3264">
        <f t="shared" si="87"/>
        <v>0</v>
      </c>
      <c r="BS144" s="3264">
        <f t="shared" si="88"/>
        <v>0</v>
      </c>
      <c r="BT144" s="3317">
        <f t="shared" si="89"/>
        <v>0</v>
      </c>
    </row>
    <row r="145" spans="1:72">
      <c r="A145" s="3262"/>
      <c r="B145" s="3263"/>
      <c r="C145" s="3263"/>
      <c r="D145" s="3268"/>
      <c r="E145" s="3264">
        <f t="shared" ref="E145:E176" si="90">IF($C$3="是",ROUND($A$3*G145/$B$3,2),ROUND($A$3*(G145-AT145)/$B$3,2))</f>
        <v>0</v>
      </c>
      <c r="F145" s="3265"/>
      <c r="G145" s="3266">
        <f t="shared" si="65"/>
        <v>0</v>
      </c>
      <c r="H145" s="3267">
        <f t="shared" si="66"/>
        <v>0</v>
      </c>
      <c r="I145" s="3275"/>
      <c r="J145" s="3275"/>
      <c r="K145" s="3275"/>
      <c r="L145" s="3275"/>
      <c r="M145" s="3275"/>
      <c r="N145" s="3275"/>
      <c r="O145" s="3275"/>
      <c r="P145" s="3275"/>
      <c r="Q145" s="3275"/>
      <c r="R145" s="3275"/>
      <c r="S145" s="3275"/>
      <c r="T145" s="3275"/>
      <c r="U145" s="3275"/>
      <c r="V145" s="3275"/>
      <c r="W145" s="3275"/>
      <c r="X145" s="3275"/>
      <c r="Y145" s="3275"/>
      <c r="Z145" s="3275"/>
      <c r="AA145" s="3275"/>
      <c r="AB145" s="3275"/>
      <c r="AC145" s="3264">
        <f t="shared" si="67"/>
        <v>0</v>
      </c>
      <c r="AD145" s="3285"/>
      <c r="AE145" s="3285"/>
      <c r="AF145" s="3285"/>
      <c r="AG145" s="3285"/>
      <c r="AH145" s="3285"/>
      <c r="AI145" s="3285"/>
      <c r="AJ145" s="3285"/>
      <c r="AK145" s="3285"/>
      <c r="AL145" s="3285"/>
      <c r="AM145" s="3285"/>
      <c r="AN145" s="3285"/>
      <c r="AO145" s="3285"/>
      <c r="AP145" s="3285"/>
      <c r="AQ145" s="3285"/>
      <c r="AR145" s="3285"/>
      <c r="AS145" s="3285"/>
      <c r="AT145" s="3295"/>
      <c r="AU145" s="3296"/>
      <c r="AV145" s="830">
        <f t="shared" ref="AV145:AV176" si="91">A145</f>
        <v>0</v>
      </c>
      <c r="AW145" s="830">
        <f t="shared" ref="AW145:AW176" si="92">B145</f>
        <v>0</v>
      </c>
      <c r="AX145" s="830">
        <f t="shared" ref="AX145:AX176" si="93">C145</f>
        <v>0</v>
      </c>
      <c r="AY145" s="3310">
        <f t="shared" si="68"/>
        <v>0</v>
      </c>
      <c r="AZ145" s="3264">
        <f t="shared" si="69"/>
        <v>0</v>
      </c>
      <c r="BA145" s="3264">
        <f t="shared" si="70"/>
        <v>0</v>
      </c>
      <c r="BB145" s="3264">
        <f t="shared" si="71"/>
        <v>0</v>
      </c>
      <c r="BC145" s="3264">
        <f t="shared" si="72"/>
        <v>0</v>
      </c>
      <c r="BD145" s="3264">
        <f t="shared" si="73"/>
        <v>0</v>
      </c>
      <c r="BE145" s="3264">
        <f t="shared" si="74"/>
        <v>0</v>
      </c>
      <c r="BF145" s="3264">
        <f t="shared" si="75"/>
        <v>0</v>
      </c>
      <c r="BG145" s="3264">
        <f t="shared" si="76"/>
        <v>0</v>
      </c>
      <c r="BH145" s="3264">
        <f t="shared" si="77"/>
        <v>0</v>
      </c>
      <c r="BI145" s="3264">
        <f t="shared" si="78"/>
        <v>0</v>
      </c>
      <c r="BJ145" s="3264">
        <f t="shared" si="79"/>
        <v>0</v>
      </c>
      <c r="BK145" s="3264">
        <f t="shared" si="80"/>
        <v>0</v>
      </c>
      <c r="BL145" s="3264">
        <f t="shared" si="81"/>
        <v>0</v>
      </c>
      <c r="BM145" s="3264">
        <f t="shared" si="82"/>
        <v>0</v>
      </c>
      <c r="BN145" s="3264">
        <f t="shared" si="83"/>
        <v>0</v>
      </c>
      <c r="BO145" s="3264">
        <f t="shared" si="84"/>
        <v>0</v>
      </c>
      <c r="BP145" s="3264">
        <f t="shared" si="85"/>
        <v>0</v>
      </c>
      <c r="BQ145" s="3264">
        <f t="shared" si="86"/>
        <v>0</v>
      </c>
      <c r="BR145" s="3264">
        <f t="shared" si="87"/>
        <v>0</v>
      </c>
      <c r="BS145" s="3264">
        <f t="shared" si="88"/>
        <v>0</v>
      </c>
      <c r="BT145" s="3317">
        <f t="shared" si="89"/>
        <v>0</v>
      </c>
    </row>
    <row r="146" spans="1:72">
      <c r="A146" s="3262"/>
      <c r="B146" s="3263"/>
      <c r="C146" s="3263"/>
      <c r="D146" s="3268"/>
      <c r="E146" s="3264">
        <f t="shared" si="90"/>
        <v>0</v>
      </c>
      <c r="F146" s="3265"/>
      <c r="G146" s="3266">
        <f t="shared" si="65"/>
        <v>0</v>
      </c>
      <c r="H146" s="3267">
        <f t="shared" si="66"/>
        <v>0</v>
      </c>
      <c r="I146" s="3275"/>
      <c r="J146" s="3275"/>
      <c r="K146" s="3275"/>
      <c r="L146" s="3275"/>
      <c r="M146" s="3275"/>
      <c r="N146" s="3275"/>
      <c r="O146" s="3275"/>
      <c r="P146" s="3275"/>
      <c r="Q146" s="3275"/>
      <c r="R146" s="3275"/>
      <c r="S146" s="3275"/>
      <c r="T146" s="3275"/>
      <c r="U146" s="3275"/>
      <c r="V146" s="3275"/>
      <c r="W146" s="3275"/>
      <c r="X146" s="3275"/>
      <c r="Y146" s="3275"/>
      <c r="Z146" s="3275"/>
      <c r="AA146" s="3275"/>
      <c r="AB146" s="3275"/>
      <c r="AC146" s="3264">
        <f t="shared" si="67"/>
        <v>0</v>
      </c>
      <c r="AD146" s="3285"/>
      <c r="AE146" s="3285"/>
      <c r="AF146" s="3285"/>
      <c r="AG146" s="3285"/>
      <c r="AH146" s="3285"/>
      <c r="AI146" s="3285"/>
      <c r="AJ146" s="3285"/>
      <c r="AK146" s="3285"/>
      <c r="AL146" s="3285"/>
      <c r="AM146" s="3285"/>
      <c r="AN146" s="3285"/>
      <c r="AO146" s="3285"/>
      <c r="AP146" s="3285"/>
      <c r="AQ146" s="3285"/>
      <c r="AR146" s="3285"/>
      <c r="AS146" s="3285"/>
      <c r="AT146" s="3295"/>
      <c r="AU146" s="3296"/>
      <c r="AV146" s="830">
        <f t="shared" si="91"/>
        <v>0</v>
      </c>
      <c r="AW146" s="830">
        <f t="shared" si="92"/>
        <v>0</v>
      </c>
      <c r="AX146" s="830">
        <f t="shared" si="93"/>
        <v>0</v>
      </c>
      <c r="AY146" s="3310">
        <f t="shared" si="68"/>
        <v>0</v>
      </c>
      <c r="AZ146" s="3264">
        <f t="shared" si="69"/>
        <v>0</v>
      </c>
      <c r="BA146" s="3264">
        <f t="shared" si="70"/>
        <v>0</v>
      </c>
      <c r="BB146" s="3264">
        <f t="shared" si="71"/>
        <v>0</v>
      </c>
      <c r="BC146" s="3264">
        <f t="shared" si="72"/>
        <v>0</v>
      </c>
      <c r="BD146" s="3264">
        <f t="shared" si="73"/>
        <v>0</v>
      </c>
      <c r="BE146" s="3264">
        <f t="shared" si="74"/>
        <v>0</v>
      </c>
      <c r="BF146" s="3264">
        <f t="shared" si="75"/>
        <v>0</v>
      </c>
      <c r="BG146" s="3264">
        <f t="shared" si="76"/>
        <v>0</v>
      </c>
      <c r="BH146" s="3264">
        <f t="shared" si="77"/>
        <v>0</v>
      </c>
      <c r="BI146" s="3264">
        <f t="shared" si="78"/>
        <v>0</v>
      </c>
      <c r="BJ146" s="3264">
        <f t="shared" si="79"/>
        <v>0</v>
      </c>
      <c r="BK146" s="3264">
        <f t="shared" si="80"/>
        <v>0</v>
      </c>
      <c r="BL146" s="3264">
        <f t="shared" si="81"/>
        <v>0</v>
      </c>
      <c r="BM146" s="3264">
        <f t="shared" si="82"/>
        <v>0</v>
      </c>
      <c r="BN146" s="3264">
        <f t="shared" si="83"/>
        <v>0</v>
      </c>
      <c r="BO146" s="3264">
        <f t="shared" si="84"/>
        <v>0</v>
      </c>
      <c r="BP146" s="3264">
        <f t="shared" si="85"/>
        <v>0</v>
      </c>
      <c r="BQ146" s="3264">
        <f t="shared" si="86"/>
        <v>0</v>
      </c>
      <c r="BR146" s="3264">
        <f t="shared" si="87"/>
        <v>0</v>
      </c>
      <c r="BS146" s="3264">
        <f t="shared" si="88"/>
        <v>0</v>
      </c>
      <c r="BT146" s="3317">
        <f t="shared" si="89"/>
        <v>0</v>
      </c>
    </row>
    <row r="147" spans="1:72">
      <c r="A147" s="3262"/>
      <c r="B147" s="3263"/>
      <c r="C147" s="3263"/>
      <c r="D147" s="3268"/>
      <c r="E147" s="3264">
        <f t="shared" si="90"/>
        <v>0</v>
      </c>
      <c r="F147" s="3265"/>
      <c r="G147" s="3266">
        <f t="shared" si="65"/>
        <v>0</v>
      </c>
      <c r="H147" s="3267">
        <f t="shared" si="66"/>
        <v>0</v>
      </c>
      <c r="I147" s="3275"/>
      <c r="J147" s="3275"/>
      <c r="K147" s="3275"/>
      <c r="L147" s="3275"/>
      <c r="M147" s="3275"/>
      <c r="N147" s="3275"/>
      <c r="O147" s="3275"/>
      <c r="P147" s="3275"/>
      <c r="Q147" s="3275"/>
      <c r="R147" s="3275"/>
      <c r="S147" s="3275"/>
      <c r="T147" s="3275"/>
      <c r="U147" s="3275"/>
      <c r="V147" s="3275"/>
      <c r="W147" s="3275"/>
      <c r="X147" s="3275"/>
      <c r="Y147" s="3275"/>
      <c r="Z147" s="3275"/>
      <c r="AA147" s="3275"/>
      <c r="AB147" s="3275"/>
      <c r="AC147" s="3264">
        <f t="shared" si="67"/>
        <v>0</v>
      </c>
      <c r="AD147" s="3285"/>
      <c r="AE147" s="3285"/>
      <c r="AF147" s="3285"/>
      <c r="AG147" s="3285"/>
      <c r="AH147" s="3285"/>
      <c r="AI147" s="3285"/>
      <c r="AJ147" s="3285"/>
      <c r="AK147" s="3285"/>
      <c r="AL147" s="3285"/>
      <c r="AM147" s="3285"/>
      <c r="AN147" s="3285"/>
      <c r="AO147" s="3285"/>
      <c r="AP147" s="3285"/>
      <c r="AQ147" s="3285"/>
      <c r="AR147" s="3285"/>
      <c r="AS147" s="3285"/>
      <c r="AT147" s="3295"/>
      <c r="AU147" s="3296"/>
      <c r="AV147" s="830">
        <f t="shared" si="91"/>
        <v>0</v>
      </c>
      <c r="AW147" s="830">
        <f t="shared" si="92"/>
        <v>0</v>
      </c>
      <c r="AX147" s="830">
        <f t="shared" si="93"/>
        <v>0</v>
      </c>
      <c r="AY147" s="3310">
        <f t="shared" si="68"/>
        <v>0</v>
      </c>
      <c r="AZ147" s="3264">
        <f t="shared" si="69"/>
        <v>0</v>
      </c>
      <c r="BA147" s="3264">
        <f t="shared" si="70"/>
        <v>0</v>
      </c>
      <c r="BB147" s="3264">
        <f t="shared" si="71"/>
        <v>0</v>
      </c>
      <c r="BC147" s="3264">
        <f t="shared" si="72"/>
        <v>0</v>
      </c>
      <c r="BD147" s="3264">
        <f t="shared" si="73"/>
        <v>0</v>
      </c>
      <c r="BE147" s="3264">
        <f t="shared" si="74"/>
        <v>0</v>
      </c>
      <c r="BF147" s="3264">
        <f t="shared" si="75"/>
        <v>0</v>
      </c>
      <c r="BG147" s="3264">
        <f t="shared" si="76"/>
        <v>0</v>
      </c>
      <c r="BH147" s="3264">
        <f t="shared" si="77"/>
        <v>0</v>
      </c>
      <c r="BI147" s="3264">
        <f t="shared" si="78"/>
        <v>0</v>
      </c>
      <c r="BJ147" s="3264">
        <f t="shared" si="79"/>
        <v>0</v>
      </c>
      <c r="BK147" s="3264">
        <f t="shared" si="80"/>
        <v>0</v>
      </c>
      <c r="BL147" s="3264">
        <f t="shared" si="81"/>
        <v>0</v>
      </c>
      <c r="BM147" s="3264">
        <f t="shared" si="82"/>
        <v>0</v>
      </c>
      <c r="BN147" s="3264">
        <f t="shared" si="83"/>
        <v>0</v>
      </c>
      <c r="BO147" s="3264">
        <f t="shared" si="84"/>
        <v>0</v>
      </c>
      <c r="BP147" s="3264">
        <f t="shared" si="85"/>
        <v>0</v>
      </c>
      <c r="BQ147" s="3264">
        <f t="shared" si="86"/>
        <v>0</v>
      </c>
      <c r="BR147" s="3264">
        <f t="shared" si="87"/>
        <v>0</v>
      </c>
      <c r="BS147" s="3264">
        <f t="shared" si="88"/>
        <v>0</v>
      </c>
      <c r="BT147" s="3317">
        <f t="shared" si="89"/>
        <v>0</v>
      </c>
    </row>
    <row r="148" spans="1:72">
      <c r="A148" s="3262"/>
      <c r="B148" s="3263"/>
      <c r="C148" s="3263"/>
      <c r="D148" s="3268"/>
      <c r="E148" s="3264">
        <f t="shared" si="90"/>
        <v>0</v>
      </c>
      <c r="F148" s="3265"/>
      <c r="G148" s="3266">
        <f t="shared" si="65"/>
        <v>0</v>
      </c>
      <c r="H148" s="3267">
        <f t="shared" si="66"/>
        <v>0</v>
      </c>
      <c r="I148" s="3275"/>
      <c r="J148" s="3275"/>
      <c r="K148" s="3275"/>
      <c r="L148" s="3275"/>
      <c r="M148" s="3275"/>
      <c r="N148" s="3275"/>
      <c r="O148" s="3275"/>
      <c r="P148" s="3275"/>
      <c r="Q148" s="3275"/>
      <c r="R148" s="3275"/>
      <c r="S148" s="3275"/>
      <c r="T148" s="3275"/>
      <c r="U148" s="3275"/>
      <c r="V148" s="3275"/>
      <c r="W148" s="3275"/>
      <c r="X148" s="3275"/>
      <c r="Y148" s="3275"/>
      <c r="Z148" s="3275"/>
      <c r="AA148" s="3275"/>
      <c r="AB148" s="3275"/>
      <c r="AC148" s="3264">
        <f t="shared" si="67"/>
        <v>0</v>
      </c>
      <c r="AD148" s="3285"/>
      <c r="AE148" s="3285"/>
      <c r="AF148" s="3285"/>
      <c r="AG148" s="3285"/>
      <c r="AH148" s="3285"/>
      <c r="AI148" s="3285"/>
      <c r="AJ148" s="3285"/>
      <c r="AK148" s="3285"/>
      <c r="AL148" s="3285"/>
      <c r="AM148" s="3285"/>
      <c r="AN148" s="3285"/>
      <c r="AO148" s="3285"/>
      <c r="AP148" s="3285"/>
      <c r="AQ148" s="3285"/>
      <c r="AR148" s="3285"/>
      <c r="AS148" s="3285"/>
      <c r="AT148" s="3295"/>
      <c r="AU148" s="3296"/>
      <c r="AV148" s="830">
        <f t="shared" si="91"/>
        <v>0</v>
      </c>
      <c r="AW148" s="830">
        <f t="shared" si="92"/>
        <v>0</v>
      </c>
      <c r="AX148" s="830">
        <f t="shared" si="93"/>
        <v>0</v>
      </c>
      <c r="AY148" s="3310">
        <f t="shared" si="68"/>
        <v>0</v>
      </c>
      <c r="AZ148" s="3264">
        <f t="shared" si="69"/>
        <v>0</v>
      </c>
      <c r="BA148" s="3264">
        <f t="shared" si="70"/>
        <v>0</v>
      </c>
      <c r="BB148" s="3264">
        <f t="shared" si="71"/>
        <v>0</v>
      </c>
      <c r="BC148" s="3264">
        <f t="shared" si="72"/>
        <v>0</v>
      </c>
      <c r="BD148" s="3264">
        <f t="shared" si="73"/>
        <v>0</v>
      </c>
      <c r="BE148" s="3264">
        <f t="shared" si="74"/>
        <v>0</v>
      </c>
      <c r="BF148" s="3264">
        <f t="shared" si="75"/>
        <v>0</v>
      </c>
      <c r="BG148" s="3264">
        <f t="shared" si="76"/>
        <v>0</v>
      </c>
      <c r="BH148" s="3264">
        <f t="shared" si="77"/>
        <v>0</v>
      </c>
      <c r="BI148" s="3264">
        <f t="shared" si="78"/>
        <v>0</v>
      </c>
      <c r="BJ148" s="3264">
        <f t="shared" si="79"/>
        <v>0</v>
      </c>
      <c r="BK148" s="3264">
        <f t="shared" si="80"/>
        <v>0</v>
      </c>
      <c r="BL148" s="3264">
        <f t="shared" si="81"/>
        <v>0</v>
      </c>
      <c r="BM148" s="3264">
        <f t="shared" si="82"/>
        <v>0</v>
      </c>
      <c r="BN148" s="3264">
        <f t="shared" si="83"/>
        <v>0</v>
      </c>
      <c r="BO148" s="3264">
        <f t="shared" si="84"/>
        <v>0</v>
      </c>
      <c r="BP148" s="3264">
        <f t="shared" si="85"/>
        <v>0</v>
      </c>
      <c r="BQ148" s="3264">
        <f t="shared" si="86"/>
        <v>0</v>
      </c>
      <c r="BR148" s="3264">
        <f t="shared" si="87"/>
        <v>0</v>
      </c>
      <c r="BS148" s="3264">
        <f t="shared" si="88"/>
        <v>0</v>
      </c>
      <c r="BT148" s="3317">
        <f t="shared" si="89"/>
        <v>0</v>
      </c>
    </row>
    <row r="149" spans="1:72">
      <c r="A149" s="3262"/>
      <c r="B149" s="3263"/>
      <c r="C149" s="3263"/>
      <c r="D149" s="3268"/>
      <c r="E149" s="3264">
        <f t="shared" si="90"/>
        <v>0</v>
      </c>
      <c r="F149" s="3265"/>
      <c r="G149" s="3266">
        <f t="shared" si="65"/>
        <v>0</v>
      </c>
      <c r="H149" s="3267">
        <f t="shared" si="66"/>
        <v>0</v>
      </c>
      <c r="I149" s="3275"/>
      <c r="J149" s="3275"/>
      <c r="K149" s="3275"/>
      <c r="L149" s="3275"/>
      <c r="M149" s="3275"/>
      <c r="N149" s="3275"/>
      <c r="O149" s="3275"/>
      <c r="P149" s="3275"/>
      <c r="Q149" s="3275"/>
      <c r="R149" s="3275"/>
      <c r="S149" s="3275"/>
      <c r="T149" s="3275"/>
      <c r="U149" s="3275"/>
      <c r="V149" s="3275"/>
      <c r="W149" s="3275"/>
      <c r="X149" s="3275"/>
      <c r="Y149" s="3275"/>
      <c r="Z149" s="3275"/>
      <c r="AA149" s="3275"/>
      <c r="AB149" s="3275"/>
      <c r="AC149" s="3264">
        <f t="shared" si="67"/>
        <v>0</v>
      </c>
      <c r="AD149" s="3285"/>
      <c r="AE149" s="3285"/>
      <c r="AF149" s="3285"/>
      <c r="AG149" s="3285"/>
      <c r="AH149" s="3285"/>
      <c r="AI149" s="3285"/>
      <c r="AJ149" s="3285"/>
      <c r="AK149" s="3285"/>
      <c r="AL149" s="3285"/>
      <c r="AM149" s="3285"/>
      <c r="AN149" s="3285"/>
      <c r="AO149" s="3285"/>
      <c r="AP149" s="3285"/>
      <c r="AQ149" s="3285"/>
      <c r="AR149" s="3285"/>
      <c r="AS149" s="3285"/>
      <c r="AT149" s="3295"/>
      <c r="AU149" s="3296"/>
      <c r="AV149" s="830">
        <f t="shared" si="91"/>
        <v>0</v>
      </c>
      <c r="AW149" s="830">
        <f t="shared" si="92"/>
        <v>0</v>
      </c>
      <c r="AX149" s="830">
        <f t="shared" si="93"/>
        <v>0</v>
      </c>
      <c r="AY149" s="3310">
        <f t="shared" si="68"/>
        <v>0</v>
      </c>
      <c r="AZ149" s="3264">
        <f t="shared" si="69"/>
        <v>0</v>
      </c>
      <c r="BA149" s="3264">
        <f t="shared" si="70"/>
        <v>0</v>
      </c>
      <c r="BB149" s="3264">
        <f t="shared" si="71"/>
        <v>0</v>
      </c>
      <c r="BC149" s="3264">
        <f t="shared" si="72"/>
        <v>0</v>
      </c>
      <c r="BD149" s="3264">
        <f t="shared" si="73"/>
        <v>0</v>
      </c>
      <c r="BE149" s="3264">
        <f t="shared" si="74"/>
        <v>0</v>
      </c>
      <c r="BF149" s="3264">
        <f t="shared" si="75"/>
        <v>0</v>
      </c>
      <c r="BG149" s="3264">
        <f t="shared" si="76"/>
        <v>0</v>
      </c>
      <c r="BH149" s="3264">
        <f t="shared" si="77"/>
        <v>0</v>
      </c>
      <c r="BI149" s="3264">
        <f t="shared" si="78"/>
        <v>0</v>
      </c>
      <c r="BJ149" s="3264">
        <f t="shared" si="79"/>
        <v>0</v>
      </c>
      <c r="BK149" s="3264">
        <f t="shared" si="80"/>
        <v>0</v>
      </c>
      <c r="BL149" s="3264">
        <f t="shared" si="81"/>
        <v>0</v>
      </c>
      <c r="BM149" s="3264">
        <f t="shared" si="82"/>
        <v>0</v>
      </c>
      <c r="BN149" s="3264">
        <f t="shared" si="83"/>
        <v>0</v>
      </c>
      <c r="BO149" s="3264">
        <f t="shared" si="84"/>
        <v>0</v>
      </c>
      <c r="BP149" s="3264">
        <f t="shared" si="85"/>
        <v>0</v>
      </c>
      <c r="BQ149" s="3264">
        <f t="shared" si="86"/>
        <v>0</v>
      </c>
      <c r="BR149" s="3264">
        <f t="shared" si="87"/>
        <v>0</v>
      </c>
      <c r="BS149" s="3264">
        <f t="shared" si="88"/>
        <v>0</v>
      </c>
      <c r="BT149" s="3317">
        <f t="shared" si="89"/>
        <v>0</v>
      </c>
    </row>
    <row r="150" spans="1:72">
      <c r="A150" s="3262"/>
      <c r="B150" s="3263"/>
      <c r="C150" s="3263"/>
      <c r="D150" s="3268"/>
      <c r="E150" s="3264">
        <f t="shared" si="90"/>
        <v>0</v>
      </c>
      <c r="F150" s="3265"/>
      <c r="G150" s="3266">
        <f t="shared" si="65"/>
        <v>0</v>
      </c>
      <c r="H150" s="3267">
        <f t="shared" si="66"/>
        <v>0</v>
      </c>
      <c r="I150" s="3275"/>
      <c r="J150" s="3275"/>
      <c r="K150" s="3275"/>
      <c r="L150" s="3275"/>
      <c r="M150" s="3275"/>
      <c r="N150" s="3275"/>
      <c r="O150" s="3275"/>
      <c r="P150" s="3275"/>
      <c r="Q150" s="3275"/>
      <c r="R150" s="3275"/>
      <c r="S150" s="3275"/>
      <c r="T150" s="3275"/>
      <c r="U150" s="3275"/>
      <c r="V150" s="3275"/>
      <c r="W150" s="3275"/>
      <c r="X150" s="3275"/>
      <c r="Y150" s="3275"/>
      <c r="Z150" s="3275"/>
      <c r="AA150" s="3275"/>
      <c r="AB150" s="3275"/>
      <c r="AC150" s="3264">
        <f t="shared" si="67"/>
        <v>0</v>
      </c>
      <c r="AD150" s="3285"/>
      <c r="AE150" s="3285"/>
      <c r="AF150" s="3285"/>
      <c r="AG150" s="3285"/>
      <c r="AH150" s="3285"/>
      <c r="AI150" s="3285"/>
      <c r="AJ150" s="3285"/>
      <c r="AK150" s="3285"/>
      <c r="AL150" s="3285"/>
      <c r="AM150" s="3285"/>
      <c r="AN150" s="3285"/>
      <c r="AO150" s="3285"/>
      <c r="AP150" s="3285"/>
      <c r="AQ150" s="3285"/>
      <c r="AR150" s="3285"/>
      <c r="AS150" s="3285"/>
      <c r="AT150" s="3295"/>
      <c r="AU150" s="3296"/>
      <c r="AV150" s="830">
        <f t="shared" si="91"/>
        <v>0</v>
      </c>
      <c r="AW150" s="830">
        <f t="shared" si="92"/>
        <v>0</v>
      </c>
      <c r="AX150" s="830">
        <f t="shared" si="93"/>
        <v>0</v>
      </c>
      <c r="AY150" s="3310">
        <f t="shared" si="68"/>
        <v>0</v>
      </c>
      <c r="AZ150" s="3264">
        <f t="shared" si="69"/>
        <v>0</v>
      </c>
      <c r="BA150" s="3264">
        <f t="shared" si="70"/>
        <v>0</v>
      </c>
      <c r="BB150" s="3264">
        <f t="shared" si="71"/>
        <v>0</v>
      </c>
      <c r="BC150" s="3264">
        <f t="shared" si="72"/>
        <v>0</v>
      </c>
      <c r="BD150" s="3264">
        <f t="shared" si="73"/>
        <v>0</v>
      </c>
      <c r="BE150" s="3264">
        <f t="shared" si="74"/>
        <v>0</v>
      </c>
      <c r="BF150" s="3264">
        <f t="shared" si="75"/>
        <v>0</v>
      </c>
      <c r="BG150" s="3264">
        <f t="shared" si="76"/>
        <v>0</v>
      </c>
      <c r="BH150" s="3264">
        <f t="shared" si="77"/>
        <v>0</v>
      </c>
      <c r="BI150" s="3264">
        <f t="shared" si="78"/>
        <v>0</v>
      </c>
      <c r="BJ150" s="3264">
        <f t="shared" si="79"/>
        <v>0</v>
      </c>
      <c r="BK150" s="3264">
        <f t="shared" si="80"/>
        <v>0</v>
      </c>
      <c r="BL150" s="3264">
        <f t="shared" si="81"/>
        <v>0</v>
      </c>
      <c r="BM150" s="3264">
        <f t="shared" si="82"/>
        <v>0</v>
      </c>
      <c r="BN150" s="3264">
        <f t="shared" si="83"/>
        <v>0</v>
      </c>
      <c r="BO150" s="3264">
        <f t="shared" si="84"/>
        <v>0</v>
      </c>
      <c r="BP150" s="3264">
        <f t="shared" si="85"/>
        <v>0</v>
      </c>
      <c r="BQ150" s="3264">
        <f t="shared" si="86"/>
        <v>0</v>
      </c>
      <c r="BR150" s="3264">
        <f t="shared" si="87"/>
        <v>0</v>
      </c>
      <c r="BS150" s="3264">
        <f t="shared" si="88"/>
        <v>0</v>
      </c>
      <c r="BT150" s="3317">
        <f t="shared" si="89"/>
        <v>0</v>
      </c>
    </row>
    <row r="151" spans="1:72">
      <c r="A151" s="3262"/>
      <c r="B151" s="3263"/>
      <c r="C151" s="3263"/>
      <c r="D151" s="3268"/>
      <c r="E151" s="3264">
        <f t="shared" si="90"/>
        <v>0</v>
      </c>
      <c r="F151" s="3265"/>
      <c r="G151" s="3266">
        <f t="shared" si="65"/>
        <v>0</v>
      </c>
      <c r="H151" s="3267">
        <f t="shared" si="66"/>
        <v>0</v>
      </c>
      <c r="I151" s="3275"/>
      <c r="J151" s="3275"/>
      <c r="K151" s="3275"/>
      <c r="L151" s="3275"/>
      <c r="M151" s="3275"/>
      <c r="N151" s="3275"/>
      <c r="O151" s="3275"/>
      <c r="P151" s="3275"/>
      <c r="Q151" s="3275"/>
      <c r="R151" s="3275"/>
      <c r="S151" s="3275"/>
      <c r="T151" s="3275"/>
      <c r="U151" s="3275"/>
      <c r="V151" s="3275"/>
      <c r="W151" s="3275"/>
      <c r="X151" s="3275"/>
      <c r="Y151" s="3275"/>
      <c r="Z151" s="3275"/>
      <c r="AA151" s="3275"/>
      <c r="AB151" s="3275"/>
      <c r="AC151" s="3264">
        <f t="shared" si="67"/>
        <v>0</v>
      </c>
      <c r="AD151" s="3285"/>
      <c r="AE151" s="3285"/>
      <c r="AF151" s="3285"/>
      <c r="AG151" s="3285"/>
      <c r="AH151" s="3285"/>
      <c r="AI151" s="3285"/>
      <c r="AJ151" s="3285"/>
      <c r="AK151" s="3285"/>
      <c r="AL151" s="3285"/>
      <c r="AM151" s="3285"/>
      <c r="AN151" s="3285"/>
      <c r="AO151" s="3285"/>
      <c r="AP151" s="3285"/>
      <c r="AQ151" s="3285"/>
      <c r="AR151" s="3285"/>
      <c r="AS151" s="3285"/>
      <c r="AT151" s="3295"/>
      <c r="AU151" s="3296"/>
      <c r="AV151" s="830">
        <f t="shared" si="91"/>
        <v>0</v>
      </c>
      <c r="AW151" s="830">
        <f t="shared" si="92"/>
        <v>0</v>
      </c>
      <c r="AX151" s="830">
        <f t="shared" si="93"/>
        <v>0</v>
      </c>
      <c r="AY151" s="3310">
        <f t="shared" si="68"/>
        <v>0</v>
      </c>
      <c r="AZ151" s="3264">
        <f t="shared" si="69"/>
        <v>0</v>
      </c>
      <c r="BA151" s="3264">
        <f t="shared" si="70"/>
        <v>0</v>
      </c>
      <c r="BB151" s="3264">
        <f t="shared" si="71"/>
        <v>0</v>
      </c>
      <c r="BC151" s="3264">
        <f t="shared" si="72"/>
        <v>0</v>
      </c>
      <c r="BD151" s="3264">
        <f t="shared" si="73"/>
        <v>0</v>
      </c>
      <c r="BE151" s="3264">
        <f t="shared" si="74"/>
        <v>0</v>
      </c>
      <c r="BF151" s="3264">
        <f t="shared" si="75"/>
        <v>0</v>
      </c>
      <c r="BG151" s="3264">
        <f t="shared" si="76"/>
        <v>0</v>
      </c>
      <c r="BH151" s="3264">
        <f t="shared" si="77"/>
        <v>0</v>
      </c>
      <c r="BI151" s="3264">
        <f t="shared" si="78"/>
        <v>0</v>
      </c>
      <c r="BJ151" s="3264">
        <f t="shared" si="79"/>
        <v>0</v>
      </c>
      <c r="BK151" s="3264">
        <f t="shared" si="80"/>
        <v>0</v>
      </c>
      <c r="BL151" s="3264">
        <f t="shared" si="81"/>
        <v>0</v>
      </c>
      <c r="BM151" s="3264">
        <f t="shared" si="82"/>
        <v>0</v>
      </c>
      <c r="BN151" s="3264">
        <f t="shared" si="83"/>
        <v>0</v>
      </c>
      <c r="BO151" s="3264">
        <f t="shared" si="84"/>
        <v>0</v>
      </c>
      <c r="BP151" s="3264">
        <f t="shared" si="85"/>
        <v>0</v>
      </c>
      <c r="BQ151" s="3264">
        <f t="shared" si="86"/>
        <v>0</v>
      </c>
      <c r="BR151" s="3264">
        <f t="shared" si="87"/>
        <v>0</v>
      </c>
      <c r="BS151" s="3264">
        <f t="shared" si="88"/>
        <v>0</v>
      </c>
      <c r="BT151" s="3317">
        <f t="shared" si="89"/>
        <v>0</v>
      </c>
    </row>
    <row r="152" spans="1:72">
      <c r="A152" s="3262"/>
      <c r="B152" s="3263"/>
      <c r="C152" s="3263"/>
      <c r="D152" s="3268"/>
      <c r="E152" s="3264">
        <f t="shared" si="90"/>
        <v>0</v>
      </c>
      <c r="F152" s="3265"/>
      <c r="G152" s="3266">
        <f t="shared" si="65"/>
        <v>0</v>
      </c>
      <c r="H152" s="3267">
        <f t="shared" si="66"/>
        <v>0</v>
      </c>
      <c r="I152" s="3275"/>
      <c r="J152" s="3275"/>
      <c r="K152" s="3275"/>
      <c r="L152" s="3275"/>
      <c r="M152" s="3275"/>
      <c r="N152" s="3275"/>
      <c r="O152" s="3275"/>
      <c r="P152" s="3275"/>
      <c r="Q152" s="3275"/>
      <c r="R152" s="3275"/>
      <c r="S152" s="3275"/>
      <c r="T152" s="3275"/>
      <c r="U152" s="3275"/>
      <c r="V152" s="3275"/>
      <c r="W152" s="3275"/>
      <c r="X152" s="3275"/>
      <c r="Y152" s="3275"/>
      <c r="Z152" s="3275"/>
      <c r="AA152" s="3275"/>
      <c r="AB152" s="3275"/>
      <c r="AC152" s="3264">
        <f t="shared" si="67"/>
        <v>0</v>
      </c>
      <c r="AD152" s="3285"/>
      <c r="AE152" s="3285"/>
      <c r="AF152" s="3285"/>
      <c r="AG152" s="3285"/>
      <c r="AH152" s="3285"/>
      <c r="AI152" s="3285"/>
      <c r="AJ152" s="3285"/>
      <c r="AK152" s="3285"/>
      <c r="AL152" s="3285"/>
      <c r="AM152" s="3285"/>
      <c r="AN152" s="3285"/>
      <c r="AO152" s="3285"/>
      <c r="AP152" s="3285"/>
      <c r="AQ152" s="3285"/>
      <c r="AR152" s="3285"/>
      <c r="AS152" s="3285"/>
      <c r="AT152" s="3295"/>
      <c r="AU152" s="3296"/>
      <c r="AV152" s="830">
        <f t="shared" si="91"/>
        <v>0</v>
      </c>
      <c r="AW152" s="830">
        <f t="shared" si="92"/>
        <v>0</v>
      </c>
      <c r="AX152" s="830">
        <f t="shared" si="93"/>
        <v>0</v>
      </c>
      <c r="AY152" s="3310">
        <f t="shared" si="68"/>
        <v>0</v>
      </c>
      <c r="AZ152" s="3264">
        <f t="shared" si="69"/>
        <v>0</v>
      </c>
      <c r="BA152" s="3264">
        <f t="shared" si="70"/>
        <v>0</v>
      </c>
      <c r="BB152" s="3264">
        <f t="shared" si="71"/>
        <v>0</v>
      </c>
      <c r="BC152" s="3264">
        <f t="shared" si="72"/>
        <v>0</v>
      </c>
      <c r="BD152" s="3264">
        <f t="shared" si="73"/>
        <v>0</v>
      </c>
      <c r="BE152" s="3264">
        <f t="shared" si="74"/>
        <v>0</v>
      </c>
      <c r="BF152" s="3264">
        <f t="shared" si="75"/>
        <v>0</v>
      </c>
      <c r="BG152" s="3264">
        <f t="shared" si="76"/>
        <v>0</v>
      </c>
      <c r="BH152" s="3264">
        <f t="shared" si="77"/>
        <v>0</v>
      </c>
      <c r="BI152" s="3264">
        <f t="shared" si="78"/>
        <v>0</v>
      </c>
      <c r="BJ152" s="3264">
        <f t="shared" si="79"/>
        <v>0</v>
      </c>
      <c r="BK152" s="3264">
        <f t="shared" si="80"/>
        <v>0</v>
      </c>
      <c r="BL152" s="3264">
        <f t="shared" si="81"/>
        <v>0</v>
      </c>
      <c r="BM152" s="3264">
        <f t="shared" si="82"/>
        <v>0</v>
      </c>
      <c r="BN152" s="3264">
        <f t="shared" si="83"/>
        <v>0</v>
      </c>
      <c r="BO152" s="3264">
        <f t="shared" si="84"/>
        <v>0</v>
      </c>
      <c r="BP152" s="3264">
        <f t="shared" si="85"/>
        <v>0</v>
      </c>
      <c r="BQ152" s="3264">
        <f t="shared" si="86"/>
        <v>0</v>
      </c>
      <c r="BR152" s="3264">
        <f t="shared" si="87"/>
        <v>0</v>
      </c>
      <c r="BS152" s="3264">
        <f t="shared" si="88"/>
        <v>0</v>
      </c>
      <c r="BT152" s="3317">
        <f t="shared" si="89"/>
        <v>0</v>
      </c>
    </row>
    <row r="153" spans="1:72">
      <c r="A153" s="3262"/>
      <c r="B153" s="3263"/>
      <c r="C153" s="3263"/>
      <c r="D153" s="3268"/>
      <c r="E153" s="3264">
        <f t="shared" si="90"/>
        <v>0</v>
      </c>
      <c r="F153" s="3265"/>
      <c r="G153" s="3266">
        <f t="shared" si="65"/>
        <v>0</v>
      </c>
      <c r="H153" s="3267">
        <f t="shared" si="66"/>
        <v>0</v>
      </c>
      <c r="I153" s="3275"/>
      <c r="J153" s="3275"/>
      <c r="K153" s="3275"/>
      <c r="L153" s="3275"/>
      <c r="M153" s="3275"/>
      <c r="N153" s="3275"/>
      <c r="O153" s="3275"/>
      <c r="P153" s="3275"/>
      <c r="Q153" s="3275"/>
      <c r="R153" s="3275"/>
      <c r="S153" s="3275"/>
      <c r="T153" s="3275"/>
      <c r="U153" s="3275"/>
      <c r="V153" s="3275"/>
      <c r="W153" s="3275"/>
      <c r="X153" s="3275"/>
      <c r="Y153" s="3275"/>
      <c r="Z153" s="3275"/>
      <c r="AA153" s="3275"/>
      <c r="AB153" s="3275"/>
      <c r="AC153" s="3264">
        <f t="shared" si="67"/>
        <v>0</v>
      </c>
      <c r="AD153" s="3285"/>
      <c r="AE153" s="3285"/>
      <c r="AF153" s="3285"/>
      <c r="AG153" s="3285"/>
      <c r="AH153" s="3285"/>
      <c r="AI153" s="3285"/>
      <c r="AJ153" s="3285"/>
      <c r="AK153" s="3285"/>
      <c r="AL153" s="3285"/>
      <c r="AM153" s="3285"/>
      <c r="AN153" s="3285"/>
      <c r="AO153" s="3285"/>
      <c r="AP153" s="3285"/>
      <c r="AQ153" s="3285"/>
      <c r="AR153" s="3285"/>
      <c r="AS153" s="3285"/>
      <c r="AT153" s="3295"/>
      <c r="AU153" s="3296"/>
      <c r="AV153" s="830">
        <f t="shared" si="91"/>
        <v>0</v>
      </c>
      <c r="AW153" s="830">
        <f t="shared" si="92"/>
        <v>0</v>
      </c>
      <c r="AX153" s="830">
        <f t="shared" si="93"/>
        <v>0</v>
      </c>
      <c r="AY153" s="3310">
        <f t="shared" si="68"/>
        <v>0</v>
      </c>
      <c r="AZ153" s="3264">
        <f t="shared" si="69"/>
        <v>0</v>
      </c>
      <c r="BA153" s="3264">
        <f t="shared" si="70"/>
        <v>0</v>
      </c>
      <c r="BB153" s="3264">
        <f t="shared" si="71"/>
        <v>0</v>
      </c>
      <c r="BC153" s="3264">
        <f t="shared" si="72"/>
        <v>0</v>
      </c>
      <c r="BD153" s="3264">
        <f t="shared" si="73"/>
        <v>0</v>
      </c>
      <c r="BE153" s="3264">
        <f t="shared" si="74"/>
        <v>0</v>
      </c>
      <c r="BF153" s="3264">
        <f t="shared" si="75"/>
        <v>0</v>
      </c>
      <c r="BG153" s="3264">
        <f t="shared" si="76"/>
        <v>0</v>
      </c>
      <c r="BH153" s="3264">
        <f t="shared" si="77"/>
        <v>0</v>
      </c>
      <c r="BI153" s="3264">
        <f t="shared" si="78"/>
        <v>0</v>
      </c>
      <c r="BJ153" s="3264">
        <f t="shared" si="79"/>
        <v>0</v>
      </c>
      <c r="BK153" s="3264">
        <f t="shared" si="80"/>
        <v>0</v>
      </c>
      <c r="BL153" s="3264">
        <f t="shared" si="81"/>
        <v>0</v>
      </c>
      <c r="BM153" s="3264">
        <f t="shared" si="82"/>
        <v>0</v>
      </c>
      <c r="BN153" s="3264">
        <f t="shared" si="83"/>
        <v>0</v>
      </c>
      <c r="BO153" s="3264">
        <f t="shared" si="84"/>
        <v>0</v>
      </c>
      <c r="BP153" s="3264">
        <f t="shared" si="85"/>
        <v>0</v>
      </c>
      <c r="BQ153" s="3264">
        <f t="shared" si="86"/>
        <v>0</v>
      </c>
      <c r="BR153" s="3264">
        <f t="shared" si="87"/>
        <v>0</v>
      </c>
      <c r="BS153" s="3264">
        <f t="shared" si="88"/>
        <v>0</v>
      </c>
      <c r="BT153" s="3317">
        <f t="shared" si="89"/>
        <v>0</v>
      </c>
    </row>
    <row r="154" spans="1:72">
      <c r="A154" s="3262"/>
      <c r="B154" s="3263"/>
      <c r="C154" s="3263"/>
      <c r="D154" s="3268"/>
      <c r="E154" s="3264">
        <f t="shared" si="90"/>
        <v>0</v>
      </c>
      <c r="F154" s="3265"/>
      <c r="G154" s="3266">
        <f t="shared" si="65"/>
        <v>0</v>
      </c>
      <c r="H154" s="3267">
        <f t="shared" si="66"/>
        <v>0</v>
      </c>
      <c r="I154" s="3275"/>
      <c r="J154" s="3275"/>
      <c r="K154" s="3275"/>
      <c r="L154" s="3275"/>
      <c r="M154" s="3275"/>
      <c r="N154" s="3275"/>
      <c r="O154" s="3275"/>
      <c r="P154" s="3275"/>
      <c r="Q154" s="3275"/>
      <c r="R154" s="3275"/>
      <c r="S154" s="3275"/>
      <c r="T154" s="3275"/>
      <c r="U154" s="3275"/>
      <c r="V154" s="3275"/>
      <c r="W154" s="3275"/>
      <c r="X154" s="3275"/>
      <c r="Y154" s="3275"/>
      <c r="Z154" s="3275"/>
      <c r="AA154" s="3275"/>
      <c r="AB154" s="3275"/>
      <c r="AC154" s="3264">
        <f t="shared" si="67"/>
        <v>0</v>
      </c>
      <c r="AD154" s="3285"/>
      <c r="AE154" s="3285"/>
      <c r="AF154" s="3285"/>
      <c r="AG154" s="3285"/>
      <c r="AH154" s="3285"/>
      <c r="AI154" s="3285"/>
      <c r="AJ154" s="3285"/>
      <c r="AK154" s="3285"/>
      <c r="AL154" s="3285"/>
      <c r="AM154" s="3285"/>
      <c r="AN154" s="3285"/>
      <c r="AO154" s="3285"/>
      <c r="AP154" s="3285"/>
      <c r="AQ154" s="3285"/>
      <c r="AR154" s="3285"/>
      <c r="AS154" s="3285"/>
      <c r="AT154" s="3295"/>
      <c r="AU154" s="3296"/>
      <c r="AV154" s="830">
        <f t="shared" si="91"/>
        <v>0</v>
      </c>
      <c r="AW154" s="830">
        <f t="shared" si="92"/>
        <v>0</v>
      </c>
      <c r="AX154" s="830">
        <f t="shared" si="93"/>
        <v>0</v>
      </c>
      <c r="AY154" s="3310">
        <f t="shared" si="68"/>
        <v>0</v>
      </c>
      <c r="AZ154" s="3264">
        <f t="shared" si="69"/>
        <v>0</v>
      </c>
      <c r="BA154" s="3264">
        <f t="shared" si="70"/>
        <v>0</v>
      </c>
      <c r="BB154" s="3264">
        <f t="shared" si="71"/>
        <v>0</v>
      </c>
      <c r="BC154" s="3264">
        <f t="shared" si="72"/>
        <v>0</v>
      </c>
      <c r="BD154" s="3264">
        <f t="shared" si="73"/>
        <v>0</v>
      </c>
      <c r="BE154" s="3264">
        <f t="shared" si="74"/>
        <v>0</v>
      </c>
      <c r="BF154" s="3264">
        <f t="shared" si="75"/>
        <v>0</v>
      </c>
      <c r="BG154" s="3264">
        <f t="shared" si="76"/>
        <v>0</v>
      </c>
      <c r="BH154" s="3264">
        <f t="shared" si="77"/>
        <v>0</v>
      </c>
      <c r="BI154" s="3264">
        <f t="shared" si="78"/>
        <v>0</v>
      </c>
      <c r="BJ154" s="3264">
        <f t="shared" si="79"/>
        <v>0</v>
      </c>
      <c r="BK154" s="3264">
        <f t="shared" si="80"/>
        <v>0</v>
      </c>
      <c r="BL154" s="3264">
        <f t="shared" si="81"/>
        <v>0</v>
      </c>
      <c r="BM154" s="3264">
        <f t="shared" si="82"/>
        <v>0</v>
      </c>
      <c r="BN154" s="3264">
        <f t="shared" si="83"/>
        <v>0</v>
      </c>
      <c r="BO154" s="3264">
        <f t="shared" si="84"/>
        <v>0</v>
      </c>
      <c r="BP154" s="3264">
        <f t="shared" si="85"/>
        <v>0</v>
      </c>
      <c r="BQ154" s="3264">
        <f t="shared" si="86"/>
        <v>0</v>
      </c>
      <c r="BR154" s="3264">
        <f t="shared" si="87"/>
        <v>0</v>
      </c>
      <c r="BS154" s="3264">
        <f t="shared" si="88"/>
        <v>0</v>
      </c>
      <c r="BT154" s="3317">
        <f t="shared" si="89"/>
        <v>0</v>
      </c>
    </row>
    <row r="155" spans="1:72">
      <c r="A155" s="3262"/>
      <c r="B155" s="3263"/>
      <c r="C155" s="3263"/>
      <c r="D155" s="3268"/>
      <c r="E155" s="3264">
        <f t="shared" si="90"/>
        <v>0</v>
      </c>
      <c r="F155" s="3265"/>
      <c r="G155" s="3266">
        <f t="shared" si="65"/>
        <v>0</v>
      </c>
      <c r="H155" s="3267">
        <f t="shared" si="66"/>
        <v>0</v>
      </c>
      <c r="I155" s="3275"/>
      <c r="J155" s="3275"/>
      <c r="K155" s="3275"/>
      <c r="L155" s="3275"/>
      <c r="M155" s="3275"/>
      <c r="N155" s="3275"/>
      <c r="O155" s="3275"/>
      <c r="P155" s="3275"/>
      <c r="Q155" s="3275"/>
      <c r="R155" s="3275"/>
      <c r="S155" s="3275"/>
      <c r="T155" s="3275"/>
      <c r="U155" s="3275"/>
      <c r="V155" s="3275"/>
      <c r="W155" s="3275"/>
      <c r="X155" s="3275"/>
      <c r="Y155" s="3275"/>
      <c r="Z155" s="3275"/>
      <c r="AA155" s="3275"/>
      <c r="AB155" s="3275"/>
      <c r="AC155" s="3264">
        <f t="shared" si="67"/>
        <v>0</v>
      </c>
      <c r="AD155" s="3285"/>
      <c r="AE155" s="3285"/>
      <c r="AF155" s="3285"/>
      <c r="AG155" s="3285"/>
      <c r="AH155" s="3285"/>
      <c r="AI155" s="3285"/>
      <c r="AJ155" s="3285"/>
      <c r="AK155" s="3285"/>
      <c r="AL155" s="3285"/>
      <c r="AM155" s="3285"/>
      <c r="AN155" s="3285"/>
      <c r="AO155" s="3285"/>
      <c r="AP155" s="3285"/>
      <c r="AQ155" s="3285"/>
      <c r="AR155" s="3285"/>
      <c r="AS155" s="3285"/>
      <c r="AT155" s="3295"/>
      <c r="AU155" s="3296"/>
      <c r="AV155" s="830">
        <f t="shared" si="91"/>
        <v>0</v>
      </c>
      <c r="AW155" s="830">
        <f t="shared" si="92"/>
        <v>0</v>
      </c>
      <c r="AX155" s="830">
        <f t="shared" si="93"/>
        <v>0</v>
      </c>
      <c r="AY155" s="3310">
        <f t="shared" si="68"/>
        <v>0</v>
      </c>
      <c r="AZ155" s="3264">
        <f t="shared" si="69"/>
        <v>0</v>
      </c>
      <c r="BA155" s="3264">
        <f t="shared" si="70"/>
        <v>0</v>
      </c>
      <c r="BB155" s="3264">
        <f t="shared" si="71"/>
        <v>0</v>
      </c>
      <c r="BC155" s="3264">
        <f t="shared" si="72"/>
        <v>0</v>
      </c>
      <c r="BD155" s="3264">
        <f t="shared" si="73"/>
        <v>0</v>
      </c>
      <c r="BE155" s="3264">
        <f t="shared" si="74"/>
        <v>0</v>
      </c>
      <c r="BF155" s="3264">
        <f t="shared" si="75"/>
        <v>0</v>
      </c>
      <c r="BG155" s="3264">
        <f t="shared" si="76"/>
        <v>0</v>
      </c>
      <c r="BH155" s="3264">
        <f t="shared" si="77"/>
        <v>0</v>
      </c>
      <c r="BI155" s="3264">
        <f t="shared" si="78"/>
        <v>0</v>
      </c>
      <c r="BJ155" s="3264">
        <f t="shared" si="79"/>
        <v>0</v>
      </c>
      <c r="BK155" s="3264">
        <f t="shared" si="80"/>
        <v>0</v>
      </c>
      <c r="BL155" s="3264">
        <f t="shared" si="81"/>
        <v>0</v>
      </c>
      <c r="BM155" s="3264">
        <f t="shared" si="82"/>
        <v>0</v>
      </c>
      <c r="BN155" s="3264">
        <f t="shared" si="83"/>
        <v>0</v>
      </c>
      <c r="BO155" s="3264">
        <f t="shared" si="84"/>
        <v>0</v>
      </c>
      <c r="BP155" s="3264">
        <f t="shared" si="85"/>
        <v>0</v>
      </c>
      <c r="BQ155" s="3264">
        <f t="shared" si="86"/>
        <v>0</v>
      </c>
      <c r="BR155" s="3264">
        <f t="shared" si="87"/>
        <v>0</v>
      </c>
      <c r="BS155" s="3264">
        <f t="shared" si="88"/>
        <v>0</v>
      </c>
      <c r="BT155" s="3317">
        <f t="shared" si="89"/>
        <v>0</v>
      </c>
    </row>
    <row r="156" spans="1:72">
      <c r="A156" s="3262"/>
      <c r="B156" s="3263"/>
      <c r="C156" s="3263"/>
      <c r="D156" s="3268"/>
      <c r="E156" s="3264">
        <f t="shared" si="90"/>
        <v>0</v>
      </c>
      <c r="F156" s="3265"/>
      <c r="G156" s="3266">
        <f t="shared" si="65"/>
        <v>0</v>
      </c>
      <c r="H156" s="3267">
        <f t="shared" si="66"/>
        <v>0</v>
      </c>
      <c r="I156" s="3275"/>
      <c r="J156" s="3275"/>
      <c r="K156" s="3275"/>
      <c r="L156" s="3275"/>
      <c r="M156" s="3275"/>
      <c r="N156" s="3275"/>
      <c r="O156" s="3275"/>
      <c r="P156" s="3275"/>
      <c r="Q156" s="3275"/>
      <c r="R156" s="3275"/>
      <c r="S156" s="3275"/>
      <c r="T156" s="3275"/>
      <c r="U156" s="3275"/>
      <c r="V156" s="3275"/>
      <c r="W156" s="3275"/>
      <c r="X156" s="3275"/>
      <c r="Y156" s="3275"/>
      <c r="Z156" s="3275"/>
      <c r="AA156" s="3275"/>
      <c r="AB156" s="3275"/>
      <c r="AC156" s="3264">
        <f t="shared" si="67"/>
        <v>0</v>
      </c>
      <c r="AD156" s="3285"/>
      <c r="AE156" s="3285"/>
      <c r="AF156" s="3285"/>
      <c r="AG156" s="3285"/>
      <c r="AH156" s="3285"/>
      <c r="AI156" s="3285"/>
      <c r="AJ156" s="3285"/>
      <c r="AK156" s="3285"/>
      <c r="AL156" s="3285"/>
      <c r="AM156" s="3285"/>
      <c r="AN156" s="3285"/>
      <c r="AO156" s="3285"/>
      <c r="AP156" s="3285"/>
      <c r="AQ156" s="3285"/>
      <c r="AR156" s="3285"/>
      <c r="AS156" s="3285"/>
      <c r="AT156" s="3295"/>
      <c r="AU156" s="3296"/>
      <c r="AV156" s="830">
        <f t="shared" si="91"/>
        <v>0</v>
      </c>
      <c r="AW156" s="830">
        <f t="shared" si="92"/>
        <v>0</v>
      </c>
      <c r="AX156" s="830">
        <f t="shared" si="93"/>
        <v>0</v>
      </c>
      <c r="AY156" s="3310">
        <f t="shared" si="68"/>
        <v>0</v>
      </c>
      <c r="AZ156" s="3264">
        <f t="shared" si="69"/>
        <v>0</v>
      </c>
      <c r="BA156" s="3264">
        <f t="shared" si="70"/>
        <v>0</v>
      </c>
      <c r="BB156" s="3264">
        <f t="shared" si="71"/>
        <v>0</v>
      </c>
      <c r="BC156" s="3264">
        <f t="shared" si="72"/>
        <v>0</v>
      </c>
      <c r="BD156" s="3264">
        <f t="shared" si="73"/>
        <v>0</v>
      </c>
      <c r="BE156" s="3264">
        <f t="shared" si="74"/>
        <v>0</v>
      </c>
      <c r="BF156" s="3264">
        <f t="shared" si="75"/>
        <v>0</v>
      </c>
      <c r="BG156" s="3264">
        <f t="shared" si="76"/>
        <v>0</v>
      </c>
      <c r="BH156" s="3264">
        <f t="shared" si="77"/>
        <v>0</v>
      </c>
      <c r="BI156" s="3264">
        <f t="shared" si="78"/>
        <v>0</v>
      </c>
      <c r="BJ156" s="3264">
        <f t="shared" si="79"/>
        <v>0</v>
      </c>
      <c r="BK156" s="3264">
        <f t="shared" si="80"/>
        <v>0</v>
      </c>
      <c r="BL156" s="3264">
        <f t="shared" si="81"/>
        <v>0</v>
      </c>
      <c r="BM156" s="3264">
        <f t="shared" si="82"/>
        <v>0</v>
      </c>
      <c r="BN156" s="3264">
        <f t="shared" si="83"/>
        <v>0</v>
      </c>
      <c r="BO156" s="3264">
        <f t="shared" si="84"/>
        <v>0</v>
      </c>
      <c r="BP156" s="3264">
        <f t="shared" si="85"/>
        <v>0</v>
      </c>
      <c r="BQ156" s="3264">
        <f t="shared" si="86"/>
        <v>0</v>
      </c>
      <c r="BR156" s="3264">
        <f t="shared" si="87"/>
        <v>0</v>
      </c>
      <c r="BS156" s="3264">
        <f t="shared" si="88"/>
        <v>0</v>
      </c>
      <c r="BT156" s="3317">
        <f t="shared" si="89"/>
        <v>0</v>
      </c>
    </row>
    <row r="157" spans="1:72">
      <c r="A157" s="3262"/>
      <c r="B157" s="3263"/>
      <c r="C157" s="3263"/>
      <c r="D157" s="3268"/>
      <c r="E157" s="3264">
        <f t="shared" si="90"/>
        <v>0</v>
      </c>
      <c r="F157" s="3265"/>
      <c r="G157" s="3266">
        <f t="shared" si="65"/>
        <v>0</v>
      </c>
      <c r="H157" s="3267">
        <f t="shared" si="66"/>
        <v>0</v>
      </c>
      <c r="I157" s="3275"/>
      <c r="J157" s="3275"/>
      <c r="K157" s="3275"/>
      <c r="L157" s="3275"/>
      <c r="M157" s="3275"/>
      <c r="N157" s="3275"/>
      <c r="O157" s="3275"/>
      <c r="P157" s="3275"/>
      <c r="Q157" s="3275"/>
      <c r="R157" s="3275"/>
      <c r="S157" s="3275"/>
      <c r="T157" s="3275"/>
      <c r="U157" s="3275"/>
      <c r="V157" s="3275"/>
      <c r="W157" s="3275"/>
      <c r="X157" s="3275"/>
      <c r="Y157" s="3275"/>
      <c r="Z157" s="3275"/>
      <c r="AA157" s="3275"/>
      <c r="AB157" s="3275"/>
      <c r="AC157" s="3264">
        <f t="shared" si="67"/>
        <v>0</v>
      </c>
      <c r="AD157" s="3285"/>
      <c r="AE157" s="3285"/>
      <c r="AF157" s="3285"/>
      <c r="AG157" s="3285"/>
      <c r="AH157" s="3285"/>
      <c r="AI157" s="3285"/>
      <c r="AJ157" s="3285"/>
      <c r="AK157" s="3285"/>
      <c r="AL157" s="3285"/>
      <c r="AM157" s="3285"/>
      <c r="AN157" s="3285"/>
      <c r="AO157" s="3285"/>
      <c r="AP157" s="3285"/>
      <c r="AQ157" s="3285"/>
      <c r="AR157" s="3285"/>
      <c r="AS157" s="3285"/>
      <c r="AT157" s="3295"/>
      <c r="AU157" s="3296"/>
      <c r="AV157" s="830">
        <f t="shared" si="91"/>
        <v>0</v>
      </c>
      <c r="AW157" s="830">
        <f t="shared" si="92"/>
        <v>0</v>
      </c>
      <c r="AX157" s="830">
        <f t="shared" si="93"/>
        <v>0</v>
      </c>
      <c r="AY157" s="3310">
        <f t="shared" si="68"/>
        <v>0</v>
      </c>
      <c r="AZ157" s="3264">
        <f t="shared" si="69"/>
        <v>0</v>
      </c>
      <c r="BA157" s="3264">
        <f t="shared" si="70"/>
        <v>0</v>
      </c>
      <c r="BB157" s="3264">
        <f t="shared" si="71"/>
        <v>0</v>
      </c>
      <c r="BC157" s="3264">
        <f t="shared" si="72"/>
        <v>0</v>
      </c>
      <c r="BD157" s="3264">
        <f t="shared" si="73"/>
        <v>0</v>
      </c>
      <c r="BE157" s="3264">
        <f t="shared" si="74"/>
        <v>0</v>
      </c>
      <c r="BF157" s="3264">
        <f t="shared" si="75"/>
        <v>0</v>
      </c>
      <c r="BG157" s="3264">
        <f t="shared" si="76"/>
        <v>0</v>
      </c>
      <c r="BH157" s="3264">
        <f t="shared" si="77"/>
        <v>0</v>
      </c>
      <c r="BI157" s="3264">
        <f t="shared" si="78"/>
        <v>0</v>
      </c>
      <c r="BJ157" s="3264">
        <f t="shared" si="79"/>
        <v>0</v>
      </c>
      <c r="BK157" s="3264">
        <f t="shared" si="80"/>
        <v>0</v>
      </c>
      <c r="BL157" s="3264">
        <f t="shared" si="81"/>
        <v>0</v>
      </c>
      <c r="BM157" s="3264">
        <f t="shared" si="82"/>
        <v>0</v>
      </c>
      <c r="BN157" s="3264">
        <f t="shared" si="83"/>
        <v>0</v>
      </c>
      <c r="BO157" s="3264">
        <f t="shared" si="84"/>
        <v>0</v>
      </c>
      <c r="BP157" s="3264">
        <f t="shared" si="85"/>
        <v>0</v>
      </c>
      <c r="BQ157" s="3264">
        <f t="shared" si="86"/>
        <v>0</v>
      </c>
      <c r="BR157" s="3264">
        <f t="shared" si="87"/>
        <v>0</v>
      </c>
      <c r="BS157" s="3264">
        <f t="shared" si="88"/>
        <v>0</v>
      </c>
      <c r="BT157" s="3317">
        <f t="shared" si="89"/>
        <v>0</v>
      </c>
    </row>
    <row r="158" spans="1:72">
      <c r="A158" s="3262"/>
      <c r="B158" s="3263"/>
      <c r="C158" s="3263"/>
      <c r="D158" s="3268"/>
      <c r="E158" s="3264">
        <f t="shared" si="90"/>
        <v>0</v>
      </c>
      <c r="F158" s="3265"/>
      <c r="G158" s="3266">
        <f t="shared" si="65"/>
        <v>0</v>
      </c>
      <c r="H158" s="3267">
        <f t="shared" si="66"/>
        <v>0</v>
      </c>
      <c r="I158" s="3275"/>
      <c r="J158" s="3275"/>
      <c r="K158" s="3275"/>
      <c r="L158" s="3275"/>
      <c r="M158" s="3275"/>
      <c r="N158" s="3275"/>
      <c r="O158" s="3275"/>
      <c r="P158" s="3275"/>
      <c r="Q158" s="3275"/>
      <c r="R158" s="3275"/>
      <c r="S158" s="3275"/>
      <c r="T158" s="3275"/>
      <c r="U158" s="3275"/>
      <c r="V158" s="3275"/>
      <c r="W158" s="3275"/>
      <c r="X158" s="3275"/>
      <c r="Y158" s="3275"/>
      <c r="Z158" s="3275"/>
      <c r="AA158" s="3275"/>
      <c r="AB158" s="3275"/>
      <c r="AC158" s="3264">
        <f t="shared" si="67"/>
        <v>0</v>
      </c>
      <c r="AD158" s="3285"/>
      <c r="AE158" s="3285"/>
      <c r="AF158" s="3285"/>
      <c r="AG158" s="3285"/>
      <c r="AH158" s="3285"/>
      <c r="AI158" s="3285"/>
      <c r="AJ158" s="3285"/>
      <c r="AK158" s="3285"/>
      <c r="AL158" s="3285"/>
      <c r="AM158" s="3285"/>
      <c r="AN158" s="3285"/>
      <c r="AO158" s="3285"/>
      <c r="AP158" s="3285"/>
      <c r="AQ158" s="3285"/>
      <c r="AR158" s="3285"/>
      <c r="AS158" s="3285"/>
      <c r="AT158" s="3295"/>
      <c r="AU158" s="3296"/>
      <c r="AV158" s="830">
        <f t="shared" si="91"/>
        <v>0</v>
      </c>
      <c r="AW158" s="830">
        <f t="shared" si="92"/>
        <v>0</v>
      </c>
      <c r="AX158" s="830">
        <f t="shared" si="93"/>
        <v>0</v>
      </c>
      <c r="AY158" s="3310">
        <f t="shared" si="68"/>
        <v>0</v>
      </c>
      <c r="AZ158" s="3264">
        <f t="shared" si="69"/>
        <v>0</v>
      </c>
      <c r="BA158" s="3264">
        <f t="shared" si="70"/>
        <v>0</v>
      </c>
      <c r="BB158" s="3264">
        <f t="shared" si="71"/>
        <v>0</v>
      </c>
      <c r="BC158" s="3264">
        <f t="shared" si="72"/>
        <v>0</v>
      </c>
      <c r="BD158" s="3264">
        <f t="shared" si="73"/>
        <v>0</v>
      </c>
      <c r="BE158" s="3264">
        <f t="shared" si="74"/>
        <v>0</v>
      </c>
      <c r="BF158" s="3264">
        <f t="shared" si="75"/>
        <v>0</v>
      </c>
      <c r="BG158" s="3264">
        <f t="shared" si="76"/>
        <v>0</v>
      </c>
      <c r="BH158" s="3264">
        <f t="shared" si="77"/>
        <v>0</v>
      </c>
      <c r="BI158" s="3264">
        <f t="shared" si="78"/>
        <v>0</v>
      </c>
      <c r="BJ158" s="3264">
        <f t="shared" si="79"/>
        <v>0</v>
      </c>
      <c r="BK158" s="3264">
        <f t="shared" si="80"/>
        <v>0</v>
      </c>
      <c r="BL158" s="3264">
        <f t="shared" si="81"/>
        <v>0</v>
      </c>
      <c r="BM158" s="3264">
        <f t="shared" si="82"/>
        <v>0</v>
      </c>
      <c r="BN158" s="3264">
        <f t="shared" si="83"/>
        <v>0</v>
      </c>
      <c r="BO158" s="3264">
        <f t="shared" si="84"/>
        <v>0</v>
      </c>
      <c r="BP158" s="3264">
        <f t="shared" si="85"/>
        <v>0</v>
      </c>
      <c r="BQ158" s="3264">
        <f t="shared" si="86"/>
        <v>0</v>
      </c>
      <c r="BR158" s="3264">
        <f t="shared" si="87"/>
        <v>0</v>
      </c>
      <c r="BS158" s="3264">
        <f t="shared" si="88"/>
        <v>0</v>
      </c>
      <c r="BT158" s="3317">
        <f t="shared" si="89"/>
        <v>0</v>
      </c>
    </row>
    <row r="159" spans="1:72">
      <c r="A159" s="3262"/>
      <c r="B159" s="3263"/>
      <c r="C159" s="3263"/>
      <c r="D159" s="3268"/>
      <c r="E159" s="3264">
        <f t="shared" si="90"/>
        <v>0</v>
      </c>
      <c r="F159" s="3265"/>
      <c r="G159" s="3266">
        <f t="shared" si="65"/>
        <v>0</v>
      </c>
      <c r="H159" s="3267">
        <f t="shared" si="66"/>
        <v>0</v>
      </c>
      <c r="I159" s="3275"/>
      <c r="J159" s="3275"/>
      <c r="K159" s="3275"/>
      <c r="L159" s="3275"/>
      <c r="M159" s="3275"/>
      <c r="N159" s="3275"/>
      <c r="O159" s="3275"/>
      <c r="P159" s="3275"/>
      <c r="Q159" s="3275"/>
      <c r="R159" s="3275"/>
      <c r="S159" s="3275"/>
      <c r="T159" s="3275"/>
      <c r="U159" s="3275"/>
      <c r="V159" s="3275"/>
      <c r="W159" s="3275"/>
      <c r="X159" s="3275"/>
      <c r="Y159" s="3275"/>
      <c r="Z159" s="3275"/>
      <c r="AA159" s="3275"/>
      <c r="AB159" s="3275"/>
      <c r="AC159" s="3264">
        <f t="shared" si="67"/>
        <v>0</v>
      </c>
      <c r="AD159" s="3285"/>
      <c r="AE159" s="3285"/>
      <c r="AF159" s="3285"/>
      <c r="AG159" s="3285"/>
      <c r="AH159" s="3285"/>
      <c r="AI159" s="3285"/>
      <c r="AJ159" s="3285"/>
      <c r="AK159" s="3285"/>
      <c r="AL159" s="3285"/>
      <c r="AM159" s="3285"/>
      <c r="AN159" s="3285"/>
      <c r="AO159" s="3285"/>
      <c r="AP159" s="3285"/>
      <c r="AQ159" s="3285"/>
      <c r="AR159" s="3285"/>
      <c r="AS159" s="3285"/>
      <c r="AT159" s="3295"/>
      <c r="AU159" s="3296"/>
      <c r="AV159" s="830">
        <f t="shared" si="91"/>
        <v>0</v>
      </c>
      <c r="AW159" s="830">
        <f t="shared" si="92"/>
        <v>0</v>
      </c>
      <c r="AX159" s="830">
        <f t="shared" si="93"/>
        <v>0</v>
      </c>
      <c r="AY159" s="3310">
        <f t="shared" si="68"/>
        <v>0</v>
      </c>
      <c r="AZ159" s="3264">
        <f t="shared" si="69"/>
        <v>0</v>
      </c>
      <c r="BA159" s="3264">
        <f t="shared" si="70"/>
        <v>0</v>
      </c>
      <c r="BB159" s="3264">
        <f t="shared" si="71"/>
        <v>0</v>
      </c>
      <c r="BC159" s="3264">
        <f t="shared" si="72"/>
        <v>0</v>
      </c>
      <c r="BD159" s="3264">
        <f t="shared" si="73"/>
        <v>0</v>
      </c>
      <c r="BE159" s="3264">
        <f t="shared" si="74"/>
        <v>0</v>
      </c>
      <c r="BF159" s="3264">
        <f t="shared" si="75"/>
        <v>0</v>
      </c>
      <c r="BG159" s="3264">
        <f t="shared" si="76"/>
        <v>0</v>
      </c>
      <c r="BH159" s="3264">
        <f t="shared" si="77"/>
        <v>0</v>
      </c>
      <c r="BI159" s="3264">
        <f t="shared" si="78"/>
        <v>0</v>
      </c>
      <c r="BJ159" s="3264">
        <f t="shared" si="79"/>
        <v>0</v>
      </c>
      <c r="BK159" s="3264">
        <f t="shared" si="80"/>
        <v>0</v>
      </c>
      <c r="BL159" s="3264">
        <f t="shared" si="81"/>
        <v>0</v>
      </c>
      <c r="BM159" s="3264">
        <f t="shared" si="82"/>
        <v>0</v>
      </c>
      <c r="BN159" s="3264">
        <f t="shared" si="83"/>
        <v>0</v>
      </c>
      <c r="BO159" s="3264">
        <f t="shared" si="84"/>
        <v>0</v>
      </c>
      <c r="BP159" s="3264">
        <f t="shared" si="85"/>
        <v>0</v>
      </c>
      <c r="BQ159" s="3264">
        <f t="shared" si="86"/>
        <v>0</v>
      </c>
      <c r="BR159" s="3264">
        <f t="shared" si="87"/>
        <v>0</v>
      </c>
      <c r="BS159" s="3264">
        <f t="shared" si="88"/>
        <v>0</v>
      </c>
      <c r="BT159" s="3317">
        <f t="shared" si="89"/>
        <v>0</v>
      </c>
    </row>
    <row r="160" spans="1:72">
      <c r="A160" s="3262"/>
      <c r="B160" s="3263"/>
      <c r="C160" s="3263"/>
      <c r="D160" s="3268"/>
      <c r="E160" s="3264">
        <f t="shared" si="90"/>
        <v>0</v>
      </c>
      <c r="F160" s="3265"/>
      <c r="G160" s="3266">
        <f t="shared" si="65"/>
        <v>0</v>
      </c>
      <c r="H160" s="3267">
        <f t="shared" si="66"/>
        <v>0</v>
      </c>
      <c r="I160" s="3275"/>
      <c r="J160" s="3275"/>
      <c r="K160" s="3275"/>
      <c r="L160" s="3275"/>
      <c r="M160" s="3275"/>
      <c r="N160" s="3275"/>
      <c r="O160" s="3275"/>
      <c r="P160" s="3275"/>
      <c r="Q160" s="3275"/>
      <c r="R160" s="3275"/>
      <c r="S160" s="3275"/>
      <c r="T160" s="3275"/>
      <c r="U160" s="3275"/>
      <c r="V160" s="3275"/>
      <c r="W160" s="3275"/>
      <c r="X160" s="3275"/>
      <c r="Y160" s="3275"/>
      <c r="Z160" s="3275"/>
      <c r="AA160" s="3275"/>
      <c r="AB160" s="3275"/>
      <c r="AC160" s="3264">
        <f t="shared" si="67"/>
        <v>0</v>
      </c>
      <c r="AD160" s="3285"/>
      <c r="AE160" s="3285"/>
      <c r="AF160" s="3285"/>
      <c r="AG160" s="3285"/>
      <c r="AH160" s="3285"/>
      <c r="AI160" s="3285"/>
      <c r="AJ160" s="3285"/>
      <c r="AK160" s="3285"/>
      <c r="AL160" s="3285"/>
      <c r="AM160" s="3285"/>
      <c r="AN160" s="3285"/>
      <c r="AO160" s="3285"/>
      <c r="AP160" s="3285"/>
      <c r="AQ160" s="3285"/>
      <c r="AR160" s="3285"/>
      <c r="AS160" s="3285"/>
      <c r="AT160" s="3295"/>
      <c r="AU160" s="3296"/>
      <c r="AV160" s="830">
        <f t="shared" si="91"/>
        <v>0</v>
      </c>
      <c r="AW160" s="830">
        <f t="shared" si="92"/>
        <v>0</v>
      </c>
      <c r="AX160" s="830">
        <f t="shared" si="93"/>
        <v>0</v>
      </c>
      <c r="AY160" s="3310">
        <f t="shared" si="68"/>
        <v>0</v>
      </c>
      <c r="AZ160" s="3264">
        <f t="shared" si="69"/>
        <v>0</v>
      </c>
      <c r="BA160" s="3264">
        <f t="shared" si="70"/>
        <v>0</v>
      </c>
      <c r="BB160" s="3264">
        <f t="shared" si="71"/>
        <v>0</v>
      </c>
      <c r="BC160" s="3264">
        <f t="shared" si="72"/>
        <v>0</v>
      </c>
      <c r="BD160" s="3264">
        <f t="shared" si="73"/>
        <v>0</v>
      </c>
      <c r="BE160" s="3264">
        <f t="shared" si="74"/>
        <v>0</v>
      </c>
      <c r="BF160" s="3264">
        <f t="shared" si="75"/>
        <v>0</v>
      </c>
      <c r="BG160" s="3264">
        <f t="shared" si="76"/>
        <v>0</v>
      </c>
      <c r="BH160" s="3264">
        <f t="shared" si="77"/>
        <v>0</v>
      </c>
      <c r="BI160" s="3264">
        <f t="shared" si="78"/>
        <v>0</v>
      </c>
      <c r="BJ160" s="3264">
        <f t="shared" si="79"/>
        <v>0</v>
      </c>
      <c r="BK160" s="3264">
        <f t="shared" si="80"/>
        <v>0</v>
      </c>
      <c r="BL160" s="3264">
        <f t="shared" si="81"/>
        <v>0</v>
      </c>
      <c r="BM160" s="3264">
        <f t="shared" si="82"/>
        <v>0</v>
      </c>
      <c r="BN160" s="3264">
        <f t="shared" si="83"/>
        <v>0</v>
      </c>
      <c r="BO160" s="3264">
        <f t="shared" si="84"/>
        <v>0</v>
      </c>
      <c r="BP160" s="3264">
        <f t="shared" si="85"/>
        <v>0</v>
      </c>
      <c r="BQ160" s="3264">
        <f t="shared" si="86"/>
        <v>0</v>
      </c>
      <c r="BR160" s="3264">
        <f t="shared" si="87"/>
        <v>0</v>
      </c>
      <c r="BS160" s="3264">
        <f t="shared" si="88"/>
        <v>0</v>
      </c>
      <c r="BT160" s="3317">
        <f t="shared" si="89"/>
        <v>0</v>
      </c>
    </row>
    <row r="161" spans="1:72">
      <c r="A161" s="3262"/>
      <c r="B161" s="3263"/>
      <c r="C161" s="3263"/>
      <c r="D161" s="3268"/>
      <c r="E161" s="3264">
        <f t="shared" si="90"/>
        <v>0</v>
      </c>
      <c r="F161" s="3265"/>
      <c r="G161" s="3266">
        <f t="shared" si="65"/>
        <v>0</v>
      </c>
      <c r="H161" s="3267">
        <f t="shared" si="66"/>
        <v>0</v>
      </c>
      <c r="I161" s="3275"/>
      <c r="J161" s="3275"/>
      <c r="K161" s="3275"/>
      <c r="L161" s="3275"/>
      <c r="M161" s="3275"/>
      <c r="N161" s="3275"/>
      <c r="O161" s="3275"/>
      <c r="P161" s="3275"/>
      <c r="Q161" s="3275"/>
      <c r="R161" s="3275"/>
      <c r="S161" s="3275"/>
      <c r="T161" s="3275"/>
      <c r="U161" s="3275"/>
      <c r="V161" s="3275"/>
      <c r="W161" s="3275"/>
      <c r="X161" s="3275"/>
      <c r="Y161" s="3275"/>
      <c r="Z161" s="3275"/>
      <c r="AA161" s="3275"/>
      <c r="AB161" s="3275"/>
      <c r="AC161" s="3264">
        <f t="shared" si="67"/>
        <v>0</v>
      </c>
      <c r="AD161" s="3285"/>
      <c r="AE161" s="3285"/>
      <c r="AF161" s="3285"/>
      <c r="AG161" s="3285"/>
      <c r="AH161" s="3285"/>
      <c r="AI161" s="3285"/>
      <c r="AJ161" s="3285"/>
      <c r="AK161" s="3285"/>
      <c r="AL161" s="3285"/>
      <c r="AM161" s="3285"/>
      <c r="AN161" s="3285"/>
      <c r="AO161" s="3285"/>
      <c r="AP161" s="3285"/>
      <c r="AQ161" s="3285"/>
      <c r="AR161" s="3285"/>
      <c r="AS161" s="3285"/>
      <c r="AT161" s="3295"/>
      <c r="AU161" s="3296"/>
      <c r="AV161" s="830">
        <f t="shared" si="91"/>
        <v>0</v>
      </c>
      <c r="AW161" s="830">
        <f t="shared" si="92"/>
        <v>0</v>
      </c>
      <c r="AX161" s="830">
        <f t="shared" si="93"/>
        <v>0</v>
      </c>
      <c r="AY161" s="3310">
        <f t="shared" si="68"/>
        <v>0</v>
      </c>
      <c r="AZ161" s="3264">
        <f t="shared" si="69"/>
        <v>0</v>
      </c>
      <c r="BA161" s="3264">
        <f t="shared" si="70"/>
        <v>0</v>
      </c>
      <c r="BB161" s="3264">
        <f t="shared" si="71"/>
        <v>0</v>
      </c>
      <c r="BC161" s="3264">
        <f t="shared" si="72"/>
        <v>0</v>
      </c>
      <c r="BD161" s="3264">
        <f t="shared" si="73"/>
        <v>0</v>
      </c>
      <c r="BE161" s="3264">
        <f t="shared" si="74"/>
        <v>0</v>
      </c>
      <c r="BF161" s="3264">
        <f t="shared" si="75"/>
        <v>0</v>
      </c>
      <c r="BG161" s="3264">
        <f t="shared" si="76"/>
        <v>0</v>
      </c>
      <c r="BH161" s="3264">
        <f t="shared" si="77"/>
        <v>0</v>
      </c>
      <c r="BI161" s="3264">
        <f t="shared" si="78"/>
        <v>0</v>
      </c>
      <c r="BJ161" s="3264">
        <f t="shared" si="79"/>
        <v>0</v>
      </c>
      <c r="BK161" s="3264">
        <f t="shared" si="80"/>
        <v>0</v>
      </c>
      <c r="BL161" s="3264">
        <f t="shared" si="81"/>
        <v>0</v>
      </c>
      <c r="BM161" s="3264">
        <f t="shared" si="82"/>
        <v>0</v>
      </c>
      <c r="BN161" s="3264">
        <f t="shared" si="83"/>
        <v>0</v>
      </c>
      <c r="BO161" s="3264">
        <f t="shared" si="84"/>
        <v>0</v>
      </c>
      <c r="BP161" s="3264">
        <f t="shared" si="85"/>
        <v>0</v>
      </c>
      <c r="BQ161" s="3264">
        <f t="shared" si="86"/>
        <v>0</v>
      </c>
      <c r="BR161" s="3264">
        <f t="shared" si="87"/>
        <v>0</v>
      </c>
      <c r="BS161" s="3264">
        <f t="shared" si="88"/>
        <v>0</v>
      </c>
      <c r="BT161" s="3317">
        <f t="shared" si="89"/>
        <v>0</v>
      </c>
    </row>
    <row r="162" spans="1:72">
      <c r="A162" s="3262"/>
      <c r="B162" s="3263"/>
      <c r="C162" s="3263"/>
      <c r="D162" s="3268"/>
      <c r="E162" s="3264">
        <f t="shared" si="90"/>
        <v>0</v>
      </c>
      <c r="F162" s="3265"/>
      <c r="G162" s="3266">
        <f t="shared" si="65"/>
        <v>0</v>
      </c>
      <c r="H162" s="3267">
        <f t="shared" si="66"/>
        <v>0</v>
      </c>
      <c r="I162" s="3275"/>
      <c r="J162" s="3275"/>
      <c r="K162" s="3275"/>
      <c r="L162" s="3275"/>
      <c r="M162" s="3275"/>
      <c r="N162" s="3275"/>
      <c r="O162" s="3275"/>
      <c r="P162" s="3275"/>
      <c r="Q162" s="3275"/>
      <c r="R162" s="3275"/>
      <c r="S162" s="3275"/>
      <c r="T162" s="3275"/>
      <c r="U162" s="3275"/>
      <c r="V162" s="3275"/>
      <c r="W162" s="3275"/>
      <c r="X162" s="3275"/>
      <c r="Y162" s="3275"/>
      <c r="Z162" s="3275"/>
      <c r="AA162" s="3275"/>
      <c r="AB162" s="3275"/>
      <c r="AC162" s="3264">
        <f t="shared" si="67"/>
        <v>0</v>
      </c>
      <c r="AD162" s="3285"/>
      <c r="AE162" s="3285"/>
      <c r="AF162" s="3285"/>
      <c r="AG162" s="3285"/>
      <c r="AH162" s="3285"/>
      <c r="AI162" s="3285"/>
      <c r="AJ162" s="3285"/>
      <c r="AK162" s="3285"/>
      <c r="AL162" s="3285"/>
      <c r="AM162" s="3285"/>
      <c r="AN162" s="3285"/>
      <c r="AO162" s="3285"/>
      <c r="AP162" s="3285"/>
      <c r="AQ162" s="3285"/>
      <c r="AR162" s="3285"/>
      <c r="AS162" s="3285"/>
      <c r="AT162" s="3295"/>
      <c r="AU162" s="3296"/>
      <c r="AV162" s="830">
        <f t="shared" si="91"/>
        <v>0</v>
      </c>
      <c r="AW162" s="830">
        <f t="shared" si="92"/>
        <v>0</v>
      </c>
      <c r="AX162" s="830">
        <f t="shared" si="93"/>
        <v>0</v>
      </c>
      <c r="AY162" s="3310">
        <f t="shared" si="68"/>
        <v>0</v>
      </c>
      <c r="AZ162" s="3264">
        <f t="shared" si="69"/>
        <v>0</v>
      </c>
      <c r="BA162" s="3264">
        <f t="shared" si="70"/>
        <v>0</v>
      </c>
      <c r="BB162" s="3264">
        <f t="shared" si="71"/>
        <v>0</v>
      </c>
      <c r="BC162" s="3264">
        <f t="shared" si="72"/>
        <v>0</v>
      </c>
      <c r="BD162" s="3264">
        <f t="shared" si="73"/>
        <v>0</v>
      </c>
      <c r="BE162" s="3264">
        <f t="shared" si="74"/>
        <v>0</v>
      </c>
      <c r="BF162" s="3264">
        <f t="shared" si="75"/>
        <v>0</v>
      </c>
      <c r="BG162" s="3264">
        <f t="shared" si="76"/>
        <v>0</v>
      </c>
      <c r="BH162" s="3264">
        <f t="shared" si="77"/>
        <v>0</v>
      </c>
      <c r="BI162" s="3264">
        <f t="shared" si="78"/>
        <v>0</v>
      </c>
      <c r="BJ162" s="3264">
        <f t="shared" si="79"/>
        <v>0</v>
      </c>
      <c r="BK162" s="3264">
        <f t="shared" si="80"/>
        <v>0</v>
      </c>
      <c r="BL162" s="3264">
        <f t="shared" si="81"/>
        <v>0</v>
      </c>
      <c r="BM162" s="3264">
        <f t="shared" si="82"/>
        <v>0</v>
      </c>
      <c r="BN162" s="3264">
        <f t="shared" si="83"/>
        <v>0</v>
      </c>
      <c r="BO162" s="3264">
        <f t="shared" si="84"/>
        <v>0</v>
      </c>
      <c r="BP162" s="3264">
        <f t="shared" si="85"/>
        <v>0</v>
      </c>
      <c r="BQ162" s="3264">
        <f t="shared" si="86"/>
        <v>0</v>
      </c>
      <c r="BR162" s="3264">
        <f t="shared" si="87"/>
        <v>0</v>
      </c>
      <c r="BS162" s="3264">
        <f t="shared" si="88"/>
        <v>0</v>
      </c>
      <c r="BT162" s="3317">
        <f t="shared" si="89"/>
        <v>0</v>
      </c>
    </row>
    <row r="163" spans="1:72">
      <c r="A163" s="3262"/>
      <c r="B163" s="3263"/>
      <c r="C163" s="3263"/>
      <c r="D163" s="3268"/>
      <c r="E163" s="3264">
        <f t="shared" si="90"/>
        <v>0</v>
      </c>
      <c r="F163" s="3265"/>
      <c r="G163" s="3266">
        <f t="shared" si="65"/>
        <v>0</v>
      </c>
      <c r="H163" s="3267">
        <f t="shared" si="66"/>
        <v>0</v>
      </c>
      <c r="I163" s="3275"/>
      <c r="J163" s="3275"/>
      <c r="K163" s="3275"/>
      <c r="L163" s="3275"/>
      <c r="M163" s="3275"/>
      <c r="N163" s="3275"/>
      <c r="O163" s="3275"/>
      <c r="P163" s="3275"/>
      <c r="Q163" s="3275"/>
      <c r="R163" s="3275"/>
      <c r="S163" s="3275"/>
      <c r="T163" s="3275"/>
      <c r="U163" s="3275"/>
      <c r="V163" s="3275"/>
      <c r="W163" s="3275"/>
      <c r="X163" s="3275"/>
      <c r="Y163" s="3275"/>
      <c r="Z163" s="3275"/>
      <c r="AA163" s="3275"/>
      <c r="AB163" s="3275"/>
      <c r="AC163" s="3264">
        <f t="shared" si="67"/>
        <v>0</v>
      </c>
      <c r="AD163" s="3285"/>
      <c r="AE163" s="3285"/>
      <c r="AF163" s="3285"/>
      <c r="AG163" s="3285"/>
      <c r="AH163" s="3285"/>
      <c r="AI163" s="3285"/>
      <c r="AJ163" s="3285"/>
      <c r="AK163" s="3285"/>
      <c r="AL163" s="3285"/>
      <c r="AM163" s="3285"/>
      <c r="AN163" s="3285"/>
      <c r="AO163" s="3285"/>
      <c r="AP163" s="3285"/>
      <c r="AQ163" s="3285"/>
      <c r="AR163" s="3285"/>
      <c r="AS163" s="3285"/>
      <c r="AT163" s="3295"/>
      <c r="AU163" s="3296"/>
      <c r="AV163" s="830">
        <f t="shared" si="91"/>
        <v>0</v>
      </c>
      <c r="AW163" s="830">
        <f t="shared" si="92"/>
        <v>0</v>
      </c>
      <c r="AX163" s="830">
        <f t="shared" si="93"/>
        <v>0</v>
      </c>
      <c r="AY163" s="3310">
        <f t="shared" si="68"/>
        <v>0</v>
      </c>
      <c r="AZ163" s="3264">
        <f t="shared" si="69"/>
        <v>0</v>
      </c>
      <c r="BA163" s="3264">
        <f t="shared" si="70"/>
        <v>0</v>
      </c>
      <c r="BB163" s="3264">
        <f t="shared" si="71"/>
        <v>0</v>
      </c>
      <c r="BC163" s="3264">
        <f t="shared" si="72"/>
        <v>0</v>
      </c>
      <c r="BD163" s="3264">
        <f t="shared" si="73"/>
        <v>0</v>
      </c>
      <c r="BE163" s="3264">
        <f t="shared" si="74"/>
        <v>0</v>
      </c>
      <c r="BF163" s="3264">
        <f t="shared" si="75"/>
        <v>0</v>
      </c>
      <c r="BG163" s="3264">
        <f t="shared" si="76"/>
        <v>0</v>
      </c>
      <c r="BH163" s="3264">
        <f t="shared" si="77"/>
        <v>0</v>
      </c>
      <c r="BI163" s="3264">
        <f t="shared" si="78"/>
        <v>0</v>
      </c>
      <c r="BJ163" s="3264">
        <f t="shared" si="79"/>
        <v>0</v>
      </c>
      <c r="BK163" s="3264">
        <f t="shared" si="80"/>
        <v>0</v>
      </c>
      <c r="BL163" s="3264">
        <f t="shared" si="81"/>
        <v>0</v>
      </c>
      <c r="BM163" s="3264">
        <f t="shared" si="82"/>
        <v>0</v>
      </c>
      <c r="BN163" s="3264">
        <f t="shared" si="83"/>
        <v>0</v>
      </c>
      <c r="BO163" s="3264">
        <f t="shared" si="84"/>
        <v>0</v>
      </c>
      <c r="BP163" s="3264">
        <f t="shared" si="85"/>
        <v>0</v>
      </c>
      <c r="BQ163" s="3264">
        <f t="shared" si="86"/>
        <v>0</v>
      </c>
      <c r="BR163" s="3264">
        <f t="shared" si="87"/>
        <v>0</v>
      </c>
      <c r="BS163" s="3264">
        <f t="shared" si="88"/>
        <v>0</v>
      </c>
      <c r="BT163" s="3317">
        <f t="shared" si="89"/>
        <v>0</v>
      </c>
    </row>
    <row r="164" spans="1:72">
      <c r="A164" s="3262"/>
      <c r="B164" s="3263"/>
      <c r="C164" s="3263"/>
      <c r="D164" s="3268"/>
      <c r="E164" s="3264">
        <f t="shared" si="90"/>
        <v>0</v>
      </c>
      <c r="F164" s="3265"/>
      <c r="G164" s="3266">
        <f t="shared" si="65"/>
        <v>0</v>
      </c>
      <c r="H164" s="3267">
        <f t="shared" si="66"/>
        <v>0</v>
      </c>
      <c r="I164" s="3275"/>
      <c r="J164" s="3275"/>
      <c r="K164" s="3275"/>
      <c r="L164" s="3275"/>
      <c r="M164" s="3275"/>
      <c r="N164" s="3275"/>
      <c r="O164" s="3275"/>
      <c r="P164" s="3275"/>
      <c r="Q164" s="3275"/>
      <c r="R164" s="3275"/>
      <c r="S164" s="3275"/>
      <c r="T164" s="3275"/>
      <c r="U164" s="3275"/>
      <c r="V164" s="3275"/>
      <c r="W164" s="3275"/>
      <c r="X164" s="3275"/>
      <c r="Y164" s="3275"/>
      <c r="Z164" s="3275"/>
      <c r="AA164" s="3275"/>
      <c r="AB164" s="3275"/>
      <c r="AC164" s="3264">
        <f t="shared" si="67"/>
        <v>0</v>
      </c>
      <c r="AD164" s="3285"/>
      <c r="AE164" s="3285"/>
      <c r="AF164" s="3285"/>
      <c r="AG164" s="3285"/>
      <c r="AH164" s="3285"/>
      <c r="AI164" s="3285"/>
      <c r="AJ164" s="3285"/>
      <c r="AK164" s="3285"/>
      <c r="AL164" s="3285"/>
      <c r="AM164" s="3285"/>
      <c r="AN164" s="3285"/>
      <c r="AO164" s="3285"/>
      <c r="AP164" s="3285"/>
      <c r="AQ164" s="3285"/>
      <c r="AR164" s="3285"/>
      <c r="AS164" s="3285"/>
      <c r="AT164" s="3295"/>
      <c r="AU164" s="3296"/>
      <c r="AV164" s="830">
        <f t="shared" si="91"/>
        <v>0</v>
      </c>
      <c r="AW164" s="830">
        <f t="shared" si="92"/>
        <v>0</v>
      </c>
      <c r="AX164" s="830">
        <f t="shared" si="93"/>
        <v>0</v>
      </c>
      <c r="AY164" s="3310">
        <f t="shared" si="68"/>
        <v>0</v>
      </c>
      <c r="AZ164" s="3264">
        <f t="shared" si="69"/>
        <v>0</v>
      </c>
      <c r="BA164" s="3264">
        <f t="shared" si="70"/>
        <v>0</v>
      </c>
      <c r="BB164" s="3264">
        <f t="shared" si="71"/>
        <v>0</v>
      </c>
      <c r="BC164" s="3264">
        <f t="shared" si="72"/>
        <v>0</v>
      </c>
      <c r="BD164" s="3264">
        <f t="shared" si="73"/>
        <v>0</v>
      </c>
      <c r="BE164" s="3264">
        <f t="shared" si="74"/>
        <v>0</v>
      </c>
      <c r="BF164" s="3264">
        <f t="shared" si="75"/>
        <v>0</v>
      </c>
      <c r="BG164" s="3264">
        <f t="shared" si="76"/>
        <v>0</v>
      </c>
      <c r="BH164" s="3264">
        <f t="shared" si="77"/>
        <v>0</v>
      </c>
      <c r="BI164" s="3264">
        <f t="shared" si="78"/>
        <v>0</v>
      </c>
      <c r="BJ164" s="3264">
        <f t="shared" si="79"/>
        <v>0</v>
      </c>
      <c r="BK164" s="3264">
        <f t="shared" si="80"/>
        <v>0</v>
      </c>
      <c r="BL164" s="3264">
        <f t="shared" si="81"/>
        <v>0</v>
      </c>
      <c r="BM164" s="3264">
        <f t="shared" si="82"/>
        <v>0</v>
      </c>
      <c r="BN164" s="3264">
        <f t="shared" si="83"/>
        <v>0</v>
      </c>
      <c r="BO164" s="3264">
        <f t="shared" si="84"/>
        <v>0</v>
      </c>
      <c r="BP164" s="3264">
        <f t="shared" si="85"/>
        <v>0</v>
      </c>
      <c r="BQ164" s="3264">
        <f t="shared" si="86"/>
        <v>0</v>
      </c>
      <c r="BR164" s="3264">
        <f t="shared" si="87"/>
        <v>0</v>
      </c>
      <c r="BS164" s="3264">
        <f t="shared" si="88"/>
        <v>0</v>
      </c>
      <c r="BT164" s="3317">
        <f t="shared" si="89"/>
        <v>0</v>
      </c>
    </row>
    <row r="165" spans="1:72">
      <c r="A165" s="3262"/>
      <c r="B165" s="3263"/>
      <c r="C165" s="3263"/>
      <c r="D165" s="3268"/>
      <c r="E165" s="3264">
        <f t="shared" si="90"/>
        <v>0</v>
      </c>
      <c r="F165" s="3265"/>
      <c r="G165" s="3266">
        <f t="shared" si="65"/>
        <v>0</v>
      </c>
      <c r="H165" s="3267">
        <f t="shared" si="66"/>
        <v>0</v>
      </c>
      <c r="I165" s="3275"/>
      <c r="J165" s="3275"/>
      <c r="K165" s="3275"/>
      <c r="L165" s="3275"/>
      <c r="M165" s="3275"/>
      <c r="N165" s="3275"/>
      <c r="O165" s="3275"/>
      <c r="P165" s="3275"/>
      <c r="Q165" s="3275"/>
      <c r="R165" s="3275"/>
      <c r="S165" s="3275"/>
      <c r="T165" s="3275"/>
      <c r="U165" s="3275"/>
      <c r="V165" s="3275"/>
      <c r="W165" s="3275"/>
      <c r="X165" s="3275"/>
      <c r="Y165" s="3275"/>
      <c r="Z165" s="3275"/>
      <c r="AA165" s="3275"/>
      <c r="AB165" s="3275"/>
      <c r="AC165" s="3264">
        <f t="shared" si="67"/>
        <v>0</v>
      </c>
      <c r="AD165" s="3285"/>
      <c r="AE165" s="3285"/>
      <c r="AF165" s="3285"/>
      <c r="AG165" s="3285"/>
      <c r="AH165" s="3285"/>
      <c r="AI165" s="3285"/>
      <c r="AJ165" s="3285"/>
      <c r="AK165" s="3285"/>
      <c r="AL165" s="3285"/>
      <c r="AM165" s="3285"/>
      <c r="AN165" s="3285"/>
      <c r="AO165" s="3285"/>
      <c r="AP165" s="3285"/>
      <c r="AQ165" s="3285"/>
      <c r="AR165" s="3285"/>
      <c r="AS165" s="3285"/>
      <c r="AT165" s="3295"/>
      <c r="AU165" s="3296"/>
      <c r="AV165" s="830">
        <f t="shared" si="91"/>
        <v>0</v>
      </c>
      <c r="AW165" s="830">
        <f t="shared" si="92"/>
        <v>0</v>
      </c>
      <c r="AX165" s="830">
        <f t="shared" si="93"/>
        <v>0</v>
      </c>
      <c r="AY165" s="3310">
        <f t="shared" si="68"/>
        <v>0</v>
      </c>
      <c r="AZ165" s="3264">
        <f t="shared" si="69"/>
        <v>0</v>
      </c>
      <c r="BA165" s="3264">
        <f t="shared" si="70"/>
        <v>0</v>
      </c>
      <c r="BB165" s="3264">
        <f t="shared" si="71"/>
        <v>0</v>
      </c>
      <c r="BC165" s="3264">
        <f t="shared" si="72"/>
        <v>0</v>
      </c>
      <c r="BD165" s="3264">
        <f t="shared" si="73"/>
        <v>0</v>
      </c>
      <c r="BE165" s="3264">
        <f t="shared" si="74"/>
        <v>0</v>
      </c>
      <c r="BF165" s="3264">
        <f t="shared" si="75"/>
        <v>0</v>
      </c>
      <c r="BG165" s="3264">
        <f t="shared" si="76"/>
        <v>0</v>
      </c>
      <c r="BH165" s="3264">
        <f t="shared" si="77"/>
        <v>0</v>
      </c>
      <c r="BI165" s="3264">
        <f t="shared" si="78"/>
        <v>0</v>
      </c>
      <c r="BJ165" s="3264">
        <f t="shared" si="79"/>
        <v>0</v>
      </c>
      <c r="BK165" s="3264">
        <f t="shared" si="80"/>
        <v>0</v>
      </c>
      <c r="BL165" s="3264">
        <f t="shared" si="81"/>
        <v>0</v>
      </c>
      <c r="BM165" s="3264">
        <f t="shared" si="82"/>
        <v>0</v>
      </c>
      <c r="BN165" s="3264">
        <f t="shared" si="83"/>
        <v>0</v>
      </c>
      <c r="BO165" s="3264">
        <f t="shared" si="84"/>
        <v>0</v>
      </c>
      <c r="BP165" s="3264">
        <f t="shared" si="85"/>
        <v>0</v>
      </c>
      <c r="BQ165" s="3264">
        <f t="shared" si="86"/>
        <v>0</v>
      </c>
      <c r="BR165" s="3264">
        <f t="shared" si="87"/>
        <v>0</v>
      </c>
      <c r="BS165" s="3264">
        <f t="shared" si="88"/>
        <v>0</v>
      </c>
      <c r="BT165" s="3317">
        <f t="shared" si="89"/>
        <v>0</v>
      </c>
    </row>
    <row r="166" spans="1:72">
      <c r="A166" s="3262"/>
      <c r="B166" s="3263"/>
      <c r="C166" s="3263"/>
      <c r="D166" s="3268"/>
      <c r="E166" s="3264">
        <f t="shared" si="90"/>
        <v>0</v>
      </c>
      <c r="F166" s="3265"/>
      <c r="G166" s="3266">
        <f t="shared" si="65"/>
        <v>0</v>
      </c>
      <c r="H166" s="3267">
        <f t="shared" si="66"/>
        <v>0</v>
      </c>
      <c r="I166" s="3275"/>
      <c r="J166" s="3275"/>
      <c r="K166" s="3275"/>
      <c r="L166" s="3275"/>
      <c r="M166" s="3275"/>
      <c r="N166" s="3275"/>
      <c r="O166" s="3275"/>
      <c r="P166" s="3275"/>
      <c r="Q166" s="3275"/>
      <c r="R166" s="3275"/>
      <c r="S166" s="3275"/>
      <c r="T166" s="3275"/>
      <c r="U166" s="3275"/>
      <c r="V166" s="3275"/>
      <c r="W166" s="3275"/>
      <c r="X166" s="3275"/>
      <c r="Y166" s="3275"/>
      <c r="Z166" s="3275"/>
      <c r="AA166" s="3275"/>
      <c r="AB166" s="3275"/>
      <c r="AC166" s="3264">
        <f t="shared" si="67"/>
        <v>0</v>
      </c>
      <c r="AD166" s="3285"/>
      <c r="AE166" s="3285"/>
      <c r="AF166" s="3285"/>
      <c r="AG166" s="3285"/>
      <c r="AH166" s="3285"/>
      <c r="AI166" s="3285"/>
      <c r="AJ166" s="3285"/>
      <c r="AK166" s="3285"/>
      <c r="AL166" s="3285"/>
      <c r="AM166" s="3285"/>
      <c r="AN166" s="3285"/>
      <c r="AO166" s="3285"/>
      <c r="AP166" s="3285"/>
      <c r="AQ166" s="3285"/>
      <c r="AR166" s="3285"/>
      <c r="AS166" s="3285"/>
      <c r="AT166" s="3295"/>
      <c r="AU166" s="3296"/>
      <c r="AV166" s="830">
        <f t="shared" si="91"/>
        <v>0</v>
      </c>
      <c r="AW166" s="830">
        <f t="shared" si="92"/>
        <v>0</v>
      </c>
      <c r="AX166" s="830">
        <f t="shared" si="93"/>
        <v>0</v>
      </c>
      <c r="AY166" s="3310">
        <f t="shared" si="68"/>
        <v>0</v>
      </c>
      <c r="AZ166" s="3264">
        <f t="shared" si="69"/>
        <v>0</v>
      </c>
      <c r="BA166" s="3264">
        <f t="shared" si="70"/>
        <v>0</v>
      </c>
      <c r="BB166" s="3264">
        <f t="shared" si="71"/>
        <v>0</v>
      </c>
      <c r="BC166" s="3264">
        <f t="shared" si="72"/>
        <v>0</v>
      </c>
      <c r="BD166" s="3264">
        <f t="shared" si="73"/>
        <v>0</v>
      </c>
      <c r="BE166" s="3264">
        <f t="shared" si="74"/>
        <v>0</v>
      </c>
      <c r="BF166" s="3264">
        <f t="shared" si="75"/>
        <v>0</v>
      </c>
      <c r="BG166" s="3264">
        <f t="shared" si="76"/>
        <v>0</v>
      </c>
      <c r="BH166" s="3264">
        <f t="shared" si="77"/>
        <v>0</v>
      </c>
      <c r="BI166" s="3264">
        <f t="shared" si="78"/>
        <v>0</v>
      </c>
      <c r="BJ166" s="3264">
        <f t="shared" si="79"/>
        <v>0</v>
      </c>
      <c r="BK166" s="3264">
        <f t="shared" si="80"/>
        <v>0</v>
      </c>
      <c r="BL166" s="3264">
        <f t="shared" si="81"/>
        <v>0</v>
      </c>
      <c r="BM166" s="3264">
        <f t="shared" si="82"/>
        <v>0</v>
      </c>
      <c r="BN166" s="3264">
        <f t="shared" si="83"/>
        <v>0</v>
      </c>
      <c r="BO166" s="3264">
        <f t="shared" si="84"/>
        <v>0</v>
      </c>
      <c r="BP166" s="3264">
        <f t="shared" si="85"/>
        <v>0</v>
      </c>
      <c r="BQ166" s="3264">
        <f t="shared" si="86"/>
        <v>0</v>
      </c>
      <c r="BR166" s="3264">
        <f t="shared" si="87"/>
        <v>0</v>
      </c>
      <c r="BS166" s="3264">
        <f t="shared" si="88"/>
        <v>0</v>
      </c>
      <c r="BT166" s="3317">
        <f t="shared" si="89"/>
        <v>0</v>
      </c>
    </row>
    <row r="167" spans="1:72">
      <c r="A167" s="3262"/>
      <c r="B167" s="3263"/>
      <c r="C167" s="3263"/>
      <c r="D167" s="3268"/>
      <c r="E167" s="3264">
        <f t="shared" si="90"/>
        <v>0</v>
      </c>
      <c r="F167" s="3265"/>
      <c r="G167" s="3266">
        <f t="shared" si="65"/>
        <v>0</v>
      </c>
      <c r="H167" s="3267">
        <f t="shared" si="66"/>
        <v>0</v>
      </c>
      <c r="I167" s="3275"/>
      <c r="J167" s="3275"/>
      <c r="K167" s="3275"/>
      <c r="L167" s="3275"/>
      <c r="M167" s="3275"/>
      <c r="N167" s="3275"/>
      <c r="O167" s="3275"/>
      <c r="P167" s="3275"/>
      <c r="Q167" s="3275"/>
      <c r="R167" s="3275"/>
      <c r="S167" s="3275"/>
      <c r="T167" s="3275"/>
      <c r="U167" s="3275"/>
      <c r="V167" s="3275"/>
      <c r="W167" s="3275"/>
      <c r="X167" s="3275"/>
      <c r="Y167" s="3275"/>
      <c r="Z167" s="3275"/>
      <c r="AA167" s="3275"/>
      <c r="AB167" s="3275"/>
      <c r="AC167" s="3264">
        <f t="shared" si="67"/>
        <v>0</v>
      </c>
      <c r="AD167" s="3285"/>
      <c r="AE167" s="3285"/>
      <c r="AF167" s="3285"/>
      <c r="AG167" s="3285"/>
      <c r="AH167" s="3285"/>
      <c r="AI167" s="3285"/>
      <c r="AJ167" s="3285"/>
      <c r="AK167" s="3285"/>
      <c r="AL167" s="3285"/>
      <c r="AM167" s="3285"/>
      <c r="AN167" s="3285"/>
      <c r="AO167" s="3285"/>
      <c r="AP167" s="3285"/>
      <c r="AQ167" s="3285"/>
      <c r="AR167" s="3285"/>
      <c r="AS167" s="3285"/>
      <c r="AT167" s="3295"/>
      <c r="AU167" s="3296"/>
      <c r="AV167" s="830">
        <f t="shared" si="91"/>
        <v>0</v>
      </c>
      <c r="AW167" s="830">
        <f t="shared" si="92"/>
        <v>0</v>
      </c>
      <c r="AX167" s="830">
        <f t="shared" si="93"/>
        <v>0</v>
      </c>
      <c r="AY167" s="3310">
        <f t="shared" si="68"/>
        <v>0</v>
      </c>
      <c r="AZ167" s="3264">
        <f t="shared" si="69"/>
        <v>0</v>
      </c>
      <c r="BA167" s="3264">
        <f t="shared" si="70"/>
        <v>0</v>
      </c>
      <c r="BB167" s="3264">
        <f t="shared" si="71"/>
        <v>0</v>
      </c>
      <c r="BC167" s="3264">
        <f t="shared" si="72"/>
        <v>0</v>
      </c>
      <c r="BD167" s="3264">
        <f t="shared" si="73"/>
        <v>0</v>
      </c>
      <c r="BE167" s="3264">
        <f t="shared" si="74"/>
        <v>0</v>
      </c>
      <c r="BF167" s="3264">
        <f t="shared" si="75"/>
        <v>0</v>
      </c>
      <c r="BG167" s="3264">
        <f t="shared" si="76"/>
        <v>0</v>
      </c>
      <c r="BH167" s="3264">
        <f t="shared" si="77"/>
        <v>0</v>
      </c>
      <c r="BI167" s="3264">
        <f t="shared" si="78"/>
        <v>0</v>
      </c>
      <c r="BJ167" s="3264">
        <f t="shared" si="79"/>
        <v>0</v>
      </c>
      <c r="BK167" s="3264">
        <f t="shared" si="80"/>
        <v>0</v>
      </c>
      <c r="BL167" s="3264">
        <f t="shared" si="81"/>
        <v>0</v>
      </c>
      <c r="BM167" s="3264">
        <f t="shared" si="82"/>
        <v>0</v>
      </c>
      <c r="BN167" s="3264">
        <f t="shared" si="83"/>
        <v>0</v>
      </c>
      <c r="BO167" s="3264">
        <f t="shared" si="84"/>
        <v>0</v>
      </c>
      <c r="BP167" s="3264">
        <f t="shared" si="85"/>
        <v>0</v>
      </c>
      <c r="BQ167" s="3264">
        <f t="shared" si="86"/>
        <v>0</v>
      </c>
      <c r="BR167" s="3264">
        <f t="shared" si="87"/>
        <v>0</v>
      </c>
      <c r="BS167" s="3264">
        <f t="shared" si="88"/>
        <v>0</v>
      </c>
      <c r="BT167" s="3317">
        <f t="shared" si="89"/>
        <v>0</v>
      </c>
    </row>
    <row r="168" spans="1:72">
      <c r="A168" s="3262"/>
      <c r="B168" s="3263"/>
      <c r="C168" s="3263"/>
      <c r="D168" s="3268"/>
      <c r="E168" s="3264">
        <f t="shared" si="90"/>
        <v>0</v>
      </c>
      <c r="F168" s="3265"/>
      <c r="G168" s="3266">
        <f t="shared" si="65"/>
        <v>0</v>
      </c>
      <c r="H168" s="3267">
        <f t="shared" si="66"/>
        <v>0</v>
      </c>
      <c r="I168" s="3275"/>
      <c r="J168" s="3275"/>
      <c r="K168" s="3275"/>
      <c r="L168" s="3275"/>
      <c r="M168" s="3275"/>
      <c r="N168" s="3275"/>
      <c r="O168" s="3275"/>
      <c r="P168" s="3275"/>
      <c r="Q168" s="3275"/>
      <c r="R168" s="3275"/>
      <c r="S168" s="3275"/>
      <c r="T168" s="3275"/>
      <c r="U168" s="3275"/>
      <c r="V168" s="3275"/>
      <c r="W168" s="3275"/>
      <c r="X168" s="3275"/>
      <c r="Y168" s="3275"/>
      <c r="Z168" s="3275"/>
      <c r="AA168" s="3275"/>
      <c r="AB168" s="3275"/>
      <c r="AC168" s="3264">
        <f t="shared" si="67"/>
        <v>0</v>
      </c>
      <c r="AD168" s="3285"/>
      <c r="AE168" s="3285"/>
      <c r="AF168" s="3285"/>
      <c r="AG168" s="3285"/>
      <c r="AH168" s="3285"/>
      <c r="AI168" s="3285"/>
      <c r="AJ168" s="3285"/>
      <c r="AK168" s="3285"/>
      <c r="AL168" s="3285"/>
      <c r="AM168" s="3285"/>
      <c r="AN168" s="3285"/>
      <c r="AO168" s="3285"/>
      <c r="AP168" s="3285"/>
      <c r="AQ168" s="3285"/>
      <c r="AR168" s="3285"/>
      <c r="AS168" s="3285"/>
      <c r="AT168" s="3295"/>
      <c r="AU168" s="3296"/>
      <c r="AV168" s="830">
        <f t="shared" si="91"/>
        <v>0</v>
      </c>
      <c r="AW168" s="830">
        <f t="shared" si="92"/>
        <v>0</v>
      </c>
      <c r="AX168" s="830">
        <f t="shared" si="93"/>
        <v>0</v>
      </c>
      <c r="AY168" s="3310">
        <f t="shared" si="68"/>
        <v>0</v>
      </c>
      <c r="AZ168" s="3264">
        <f t="shared" si="69"/>
        <v>0</v>
      </c>
      <c r="BA168" s="3264">
        <f t="shared" si="70"/>
        <v>0</v>
      </c>
      <c r="BB168" s="3264">
        <f t="shared" si="71"/>
        <v>0</v>
      </c>
      <c r="BC168" s="3264">
        <f t="shared" si="72"/>
        <v>0</v>
      </c>
      <c r="BD168" s="3264">
        <f t="shared" si="73"/>
        <v>0</v>
      </c>
      <c r="BE168" s="3264">
        <f t="shared" si="74"/>
        <v>0</v>
      </c>
      <c r="BF168" s="3264">
        <f t="shared" si="75"/>
        <v>0</v>
      </c>
      <c r="BG168" s="3264">
        <f t="shared" si="76"/>
        <v>0</v>
      </c>
      <c r="BH168" s="3264">
        <f t="shared" si="77"/>
        <v>0</v>
      </c>
      <c r="BI168" s="3264">
        <f t="shared" si="78"/>
        <v>0</v>
      </c>
      <c r="BJ168" s="3264">
        <f t="shared" si="79"/>
        <v>0</v>
      </c>
      <c r="BK168" s="3264">
        <f t="shared" si="80"/>
        <v>0</v>
      </c>
      <c r="BL168" s="3264">
        <f t="shared" si="81"/>
        <v>0</v>
      </c>
      <c r="BM168" s="3264">
        <f t="shared" si="82"/>
        <v>0</v>
      </c>
      <c r="BN168" s="3264">
        <f t="shared" si="83"/>
        <v>0</v>
      </c>
      <c r="BO168" s="3264">
        <f t="shared" si="84"/>
        <v>0</v>
      </c>
      <c r="BP168" s="3264">
        <f t="shared" si="85"/>
        <v>0</v>
      </c>
      <c r="BQ168" s="3264">
        <f t="shared" si="86"/>
        <v>0</v>
      </c>
      <c r="BR168" s="3264">
        <f t="shared" si="87"/>
        <v>0</v>
      </c>
      <c r="BS168" s="3264">
        <f t="shared" si="88"/>
        <v>0</v>
      </c>
      <c r="BT168" s="3317">
        <f t="shared" si="89"/>
        <v>0</v>
      </c>
    </row>
    <row r="169" spans="1:72">
      <c r="A169" s="3262"/>
      <c r="B169" s="3263"/>
      <c r="C169" s="3263"/>
      <c r="D169" s="3268"/>
      <c r="E169" s="3264">
        <f t="shared" si="90"/>
        <v>0</v>
      </c>
      <c r="F169" s="3265"/>
      <c r="G169" s="3266">
        <f t="shared" si="65"/>
        <v>0</v>
      </c>
      <c r="H169" s="3267">
        <f t="shared" si="66"/>
        <v>0</v>
      </c>
      <c r="I169" s="3275"/>
      <c r="J169" s="3275"/>
      <c r="K169" s="3275"/>
      <c r="L169" s="3275"/>
      <c r="M169" s="3275"/>
      <c r="N169" s="3275"/>
      <c r="O169" s="3275"/>
      <c r="P169" s="3275"/>
      <c r="Q169" s="3275"/>
      <c r="R169" s="3275"/>
      <c r="S169" s="3275"/>
      <c r="T169" s="3275"/>
      <c r="U169" s="3275"/>
      <c r="V169" s="3275"/>
      <c r="W169" s="3275"/>
      <c r="X169" s="3275"/>
      <c r="Y169" s="3275"/>
      <c r="Z169" s="3275"/>
      <c r="AA169" s="3275"/>
      <c r="AB169" s="3275"/>
      <c r="AC169" s="3264">
        <f t="shared" si="67"/>
        <v>0</v>
      </c>
      <c r="AD169" s="3285"/>
      <c r="AE169" s="3285"/>
      <c r="AF169" s="3285"/>
      <c r="AG169" s="3285"/>
      <c r="AH169" s="3285"/>
      <c r="AI169" s="3285"/>
      <c r="AJ169" s="3285"/>
      <c r="AK169" s="3285"/>
      <c r="AL169" s="3285"/>
      <c r="AM169" s="3285"/>
      <c r="AN169" s="3285"/>
      <c r="AO169" s="3285"/>
      <c r="AP169" s="3285"/>
      <c r="AQ169" s="3285"/>
      <c r="AR169" s="3285"/>
      <c r="AS169" s="3285"/>
      <c r="AT169" s="3295"/>
      <c r="AU169" s="3296"/>
      <c r="AV169" s="830">
        <f t="shared" si="91"/>
        <v>0</v>
      </c>
      <c r="AW169" s="830">
        <f t="shared" si="92"/>
        <v>0</v>
      </c>
      <c r="AX169" s="830">
        <f t="shared" si="93"/>
        <v>0</v>
      </c>
      <c r="AY169" s="3310">
        <f t="shared" si="68"/>
        <v>0</v>
      </c>
      <c r="AZ169" s="3264">
        <f t="shared" si="69"/>
        <v>0</v>
      </c>
      <c r="BA169" s="3264">
        <f t="shared" si="70"/>
        <v>0</v>
      </c>
      <c r="BB169" s="3264">
        <f t="shared" si="71"/>
        <v>0</v>
      </c>
      <c r="BC169" s="3264">
        <f t="shared" si="72"/>
        <v>0</v>
      </c>
      <c r="BD169" s="3264">
        <f t="shared" si="73"/>
        <v>0</v>
      </c>
      <c r="BE169" s="3264">
        <f t="shared" si="74"/>
        <v>0</v>
      </c>
      <c r="BF169" s="3264">
        <f t="shared" si="75"/>
        <v>0</v>
      </c>
      <c r="BG169" s="3264">
        <f t="shared" si="76"/>
        <v>0</v>
      </c>
      <c r="BH169" s="3264">
        <f t="shared" si="77"/>
        <v>0</v>
      </c>
      <c r="BI169" s="3264">
        <f t="shared" si="78"/>
        <v>0</v>
      </c>
      <c r="BJ169" s="3264">
        <f t="shared" si="79"/>
        <v>0</v>
      </c>
      <c r="BK169" s="3264">
        <f t="shared" si="80"/>
        <v>0</v>
      </c>
      <c r="BL169" s="3264">
        <f t="shared" si="81"/>
        <v>0</v>
      </c>
      <c r="BM169" s="3264">
        <f t="shared" si="82"/>
        <v>0</v>
      </c>
      <c r="BN169" s="3264">
        <f t="shared" si="83"/>
        <v>0</v>
      </c>
      <c r="BO169" s="3264">
        <f t="shared" si="84"/>
        <v>0</v>
      </c>
      <c r="BP169" s="3264">
        <f t="shared" si="85"/>
        <v>0</v>
      </c>
      <c r="BQ169" s="3264">
        <f t="shared" si="86"/>
        <v>0</v>
      </c>
      <c r="BR169" s="3264">
        <f t="shared" si="87"/>
        <v>0</v>
      </c>
      <c r="BS169" s="3264">
        <f t="shared" si="88"/>
        <v>0</v>
      </c>
      <c r="BT169" s="3317">
        <f t="shared" si="89"/>
        <v>0</v>
      </c>
    </row>
    <row r="170" spans="1:72">
      <c r="A170" s="3262"/>
      <c r="B170" s="3263"/>
      <c r="C170" s="3263"/>
      <c r="D170" s="3268"/>
      <c r="E170" s="3264">
        <f t="shared" si="90"/>
        <v>0</v>
      </c>
      <c r="F170" s="3265"/>
      <c r="G170" s="3266">
        <f t="shared" si="65"/>
        <v>0</v>
      </c>
      <c r="H170" s="3267">
        <f t="shared" si="66"/>
        <v>0</v>
      </c>
      <c r="I170" s="3275"/>
      <c r="J170" s="3275"/>
      <c r="K170" s="3275"/>
      <c r="L170" s="3275"/>
      <c r="M170" s="3275"/>
      <c r="N170" s="3275"/>
      <c r="O170" s="3275"/>
      <c r="P170" s="3275"/>
      <c r="Q170" s="3275"/>
      <c r="R170" s="3275"/>
      <c r="S170" s="3275"/>
      <c r="T170" s="3275"/>
      <c r="U170" s="3275"/>
      <c r="V170" s="3275"/>
      <c r="W170" s="3275"/>
      <c r="X170" s="3275"/>
      <c r="Y170" s="3275"/>
      <c r="Z170" s="3275"/>
      <c r="AA170" s="3275"/>
      <c r="AB170" s="3275"/>
      <c r="AC170" s="3264">
        <f t="shared" si="67"/>
        <v>0</v>
      </c>
      <c r="AD170" s="3285"/>
      <c r="AE170" s="3285"/>
      <c r="AF170" s="3285"/>
      <c r="AG170" s="3285"/>
      <c r="AH170" s="3285"/>
      <c r="AI170" s="3285"/>
      <c r="AJ170" s="3285"/>
      <c r="AK170" s="3285"/>
      <c r="AL170" s="3285"/>
      <c r="AM170" s="3285"/>
      <c r="AN170" s="3285"/>
      <c r="AO170" s="3285"/>
      <c r="AP170" s="3285"/>
      <c r="AQ170" s="3285"/>
      <c r="AR170" s="3285"/>
      <c r="AS170" s="3285"/>
      <c r="AT170" s="3295"/>
      <c r="AU170" s="3296"/>
      <c r="AV170" s="830">
        <f t="shared" si="91"/>
        <v>0</v>
      </c>
      <c r="AW170" s="830">
        <f t="shared" si="92"/>
        <v>0</v>
      </c>
      <c r="AX170" s="830">
        <f t="shared" si="93"/>
        <v>0</v>
      </c>
      <c r="AY170" s="3310">
        <f t="shared" si="68"/>
        <v>0</v>
      </c>
      <c r="AZ170" s="3264">
        <f t="shared" si="69"/>
        <v>0</v>
      </c>
      <c r="BA170" s="3264">
        <f t="shared" si="70"/>
        <v>0</v>
      </c>
      <c r="BB170" s="3264">
        <f t="shared" si="71"/>
        <v>0</v>
      </c>
      <c r="BC170" s="3264">
        <f t="shared" si="72"/>
        <v>0</v>
      </c>
      <c r="BD170" s="3264">
        <f t="shared" si="73"/>
        <v>0</v>
      </c>
      <c r="BE170" s="3264">
        <f t="shared" si="74"/>
        <v>0</v>
      </c>
      <c r="BF170" s="3264">
        <f t="shared" si="75"/>
        <v>0</v>
      </c>
      <c r="BG170" s="3264">
        <f t="shared" si="76"/>
        <v>0</v>
      </c>
      <c r="BH170" s="3264">
        <f t="shared" si="77"/>
        <v>0</v>
      </c>
      <c r="BI170" s="3264">
        <f t="shared" si="78"/>
        <v>0</v>
      </c>
      <c r="BJ170" s="3264">
        <f t="shared" si="79"/>
        <v>0</v>
      </c>
      <c r="BK170" s="3264">
        <f t="shared" si="80"/>
        <v>0</v>
      </c>
      <c r="BL170" s="3264">
        <f t="shared" si="81"/>
        <v>0</v>
      </c>
      <c r="BM170" s="3264">
        <f t="shared" si="82"/>
        <v>0</v>
      </c>
      <c r="BN170" s="3264">
        <f t="shared" si="83"/>
        <v>0</v>
      </c>
      <c r="BO170" s="3264">
        <f t="shared" si="84"/>
        <v>0</v>
      </c>
      <c r="BP170" s="3264">
        <f t="shared" si="85"/>
        <v>0</v>
      </c>
      <c r="BQ170" s="3264">
        <f t="shared" si="86"/>
        <v>0</v>
      </c>
      <c r="BR170" s="3264">
        <f t="shared" si="87"/>
        <v>0</v>
      </c>
      <c r="BS170" s="3264">
        <f t="shared" si="88"/>
        <v>0</v>
      </c>
      <c r="BT170" s="3317">
        <f t="shared" si="89"/>
        <v>0</v>
      </c>
    </row>
    <row r="171" spans="1:72">
      <c r="A171" s="3262"/>
      <c r="B171" s="3263"/>
      <c r="C171" s="3263"/>
      <c r="D171" s="3268"/>
      <c r="E171" s="3264">
        <f t="shared" si="90"/>
        <v>0</v>
      </c>
      <c r="F171" s="3265"/>
      <c r="G171" s="3266">
        <f t="shared" si="65"/>
        <v>0</v>
      </c>
      <c r="H171" s="3267">
        <f t="shared" si="66"/>
        <v>0</v>
      </c>
      <c r="I171" s="3275"/>
      <c r="J171" s="3275"/>
      <c r="K171" s="3275"/>
      <c r="L171" s="3275"/>
      <c r="M171" s="3275"/>
      <c r="N171" s="3275"/>
      <c r="O171" s="3275"/>
      <c r="P171" s="3275"/>
      <c r="Q171" s="3275"/>
      <c r="R171" s="3275"/>
      <c r="S171" s="3275"/>
      <c r="T171" s="3275"/>
      <c r="U171" s="3275"/>
      <c r="V171" s="3275"/>
      <c r="W171" s="3275"/>
      <c r="X171" s="3275"/>
      <c r="Y171" s="3275"/>
      <c r="Z171" s="3275"/>
      <c r="AA171" s="3275"/>
      <c r="AB171" s="3275"/>
      <c r="AC171" s="3264">
        <f t="shared" si="67"/>
        <v>0</v>
      </c>
      <c r="AD171" s="3285"/>
      <c r="AE171" s="3285"/>
      <c r="AF171" s="3285"/>
      <c r="AG171" s="3285"/>
      <c r="AH171" s="3285"/>
      <c r="AI171" s="3285"/>
      <c r="AJ171" s="3285"/>
      <c r="AK171" s="3285"/>
      <c r="AL171" s="3285"/>
      <c r="AM171" s="3285"/>
      <c r="AN171" s="3285"/>
      <c r="AO171" s="3285"/>
      <c r="AP171" s="3285"/>
      <c r="AQ171" s="3285"/>
      <c r="AR171" s="3285"/>
      <c r="AS171" s="3285"/>
      <c r="AT171" s="3295"/>
      <c r="AU171" s="3296"/>
      <c r="AV171" s="830">
        <f t="shared" si="91"/>
        <v>0</v>
      </c>
      <c r="AW171" s="830">
        <f t="shared" si="92"/>
        <v>0</v>
      </c>
      <c r="AX171" s="830">
        <f t="shared" si="93"/>
        <v>0</v>
      </c>
      <c r="AY171" s="3310">
        <f t="shared" si="68"/>
        <v>0</v>
      </c>
      <c r="AZ171" s="3264">
        <f t="shared" si="69"/>
        <v>0</v>
      </c>
      <c r="BA171" s="3264">
        <f t="shared" si="70"/>
        <v>0</v>
      </c>
      <c r="BB171" s="3264">
        <f t="shared" si="71"/>
        <v>0</v>
      </c>
      <c r="BC171" s="3264">
        <f t="shared" si="72"/>
        <v>0</v>
      </c>
      <c r="BD171" s="3264">
        <f t="shared" si="73"/>
        <v>0</v>
      </c>
      <c r="BE171" s="3264">
        <f t="shared" si="74"/>
        <v>0</v>
      </c>
      <c r="BF171" s="3264">
        <f t="shared" si="75"/>
        <v>0</v>
      </c>
      <c r="BG171" s="3264">
        <f t="shared" si="76"/>
        <v>0</v>
      </c>
      <c r="BH171" s="3264">
        <f t="shared" si="77"/>
        <v>0</v>
      </c>
      <c r="BI171" s="3264">
        <f t="shared" si="78"/>
        <v>0</v>
      </c>
      <c r="BJ171" s="3264">
        <f t="shared" si="79"/>
        <v>0</v>
      </c>
      <c r="BK171" s="3264">
        <f t="shared" si="80"/>
        <v>0</v>
      </c>
      <c r="BL171" s="3264">
        <f t="shared" si="81"/>
        <v>0</v>
      </c>
      <c r="BM171" s="3264">
        <f t="shared" si="82"/>
        <v>0</v>
      </c>
      <c r="BN171" s="3264">
        <f t="shared" si="83"/>
        <v>0</v>
      </c>
      <c r="BO171" s="3264">
        <f t="shared" si="84"/>
        <v>0</v>
      </c>
      <c r="BP171" s="3264">
        <f t="shared" si="85"/>
        <v>0</v>
      </c>
      <c r="BQ171" s="3264">
        <f t="shared" si="86"/>
        <v>0</v>
      </c>
      <c r="BR171" s="3264">
        <f t="shared" si="87"/>
        <v>0</v>
      </c>
      <c r="BS171" s="3264">
        <f t="shared" si="88"/>
        <v>0</v>
      </c>
      <c r="BT171" s="3317">
        <f t="shared" si="89"/>
        <v>0</v>
      </c>
    </row>
    <row r="172" spans="1:72">
      <c r="A172" s="3262"/>
      <c r="B172" s="3263"/>
      <c r="C172" s="3263"/>
      <c r="D172" s="3268"/>
      <c r="E172" s="3264">
        <f t="shared" si="90"/>
        <v>0</v>
      </c>
      <c r="F172" s="3265"/>
      <c r="G172" s="3266">
        <f t="shared" si="65"/>
        <v>0</v>
      </c>
      <c r="H172" s="3267">
        <f t="shared" si="66"/>
        <v>0</v>
      </c>
      <c r="I172" s="3275"/>
      <c r="J172" s="3275"/>
      <c r="K172" s="3275"/>
      <c r="L172" s="3275"/>
      <c r="M172" s="3275"/>
      <c r="N172" s="3275"/>
      <c r="O172" s="3275"/>
      <c r="P172" s="3275"/>
      <c r="Q172" s="3275"/>
      <c r="R172" s="3275"/>
      <c r="S172" s="3275"/>
      <c r="T172" s="3275"/>
      <c r="U172" s="3275"/>
      <c r="V172" s="3275"/>
      <c r="W172" s="3275"/>
      <c r="X172" s="3275"/>
      <c r="Y172" s="3275"/>
      <c r="Z172" s="3275"/>
      <c r="AA172" s="3275"/>
      <c r="AB172" s="3275"/>
      <c r="AC172" s="3264">
        <f t="shared" si="67"/>
        <v>0</v>
      </c>
      <c r="AD172" s="3285"/>
      <c r="AE172" s="3285"/>
      <c r="AF172" s="3285"/>
      <c r="AG172" s="3285"/>
      <c r="AH172" s="3285"/>
      <c r="AI172" s="3285"/>
      <c r="AJ172" s="3285"/>
      <c r="AK172" s="3285"/>
      <c r="AL172" s="3285"/>
      <c r="AM172" s="3285"/>
      <c r="AN172" s="3285"/>
      <c r="AO172" s="3285"/>
      <c r="AP172" s="3285"/>
      <c r="AQ172" s="3285"/>
      <c r="AR172" s="3285"/>
      <c r="AS172" s="3285"/>
      <c r="AT172" s="3295"/>
      <c r="AU172" s="3296"/>
      <c r="AV172" s="830">
        <f t="shared" si="91"/>
        <v>0</v>
      </c>
      <c r="AW172" s="830">
        <f t="shared" si="92"/>
        <v>0</v>
      </c>
      <c r="AX172" s="830">
        <f t="shared" si="93"/>
        <v>0</v>
      </c>
      <c r="AY172" s="3310">
        <f t="shared" si="68"/>
        <v>0</v>
      </c>
      <c r="AZ172" s="3264">
        <f t="shared" si="69"/>
        <v>0</v>
      </c>
      <c r="BA172" s="3264">
        <f t="shared" si="70"/>
        <v>0</v>
      </c>
      <c r="BB172" s="3264">
        <f t="shared" si="71"/>
        <v>0</v>
      </c>
      <c r="BC172" s="3264">
        <f t="shared" si="72"/>
        <v>0</v>
      </c>
      <c r="BD172" s="3264">
        <f t="shared" si="73"/>
        <v>0</v>
      </c>
      <c r="BE172" s="3264">
        <f t="shared" si="74"/>
        <v>0</v>
      </c>
      <c r="BF172" s="3264">
        <f t="shared" si="75"/>
        <v>0</v>
      </c>
      <c r="BG172" s="3264">
        <f t="shared" si="76"/>
        <v>0</v>
      </c>
      <c r="BH172" s="3264">
        <f t="shared" si="77"/>
        <v>0</v>
      </c>
      <c r="BI172" s="3264">
        <f t="shared" si="78"/>
        <v>0</v>
      </c>
      <c r="BJ172" s="3264">
        <f t="shared" si="79"/>
        <v>0</v>
      </c>
      <c r="BK172" s="3264">
        <f t="shared" si="80"/>
        <v>0</v>
      </c>
      <c r="BL172" s="3264">
        <f t="shared" si="81"/>
        <v>0</v>
      </c>
      <c r="BM172" s="3264">
        <f t="shared" si="82"/>
        <v>0</v>
      </c>
      <c r="BN172" s="3264">
        <f t="shared" si="83"/>
        <v>0</v>
      </c>
      <c r="BO172" s="3264">
        <f t="shared" si="84"/>
        <v>0</v>
      </c>
      <c r="BP172" s="3264">
        <f t="shared" si="85"/>
        <v>0</v>
      </c>
      <c r="BQ172" s="3264">
        <f t="shared" si="86"/>
        <v>0</v>
      </c>
      <c r="BR172" s="3264">
        <f t="shared" si="87"/>
        <v>0</v>
      </c>
      <c r="BS172" s="3264">
        <f t="shared" si="88"/>
        <v>0</v>
      </c>
      <c r="BT172" s="3317">
        <f t="shared" si="89"/>
        <v>0</v>
      </c>
    </row>
    <row r="173" spans="1:72">
      <c r="A173" s="3262"/>
      <c r="B173" s="3263"/>
      <c r="C173" s="3263"/>
      <c r="D173" s="3268"/>
      <c r="E173" s="3264">
        <f t="shared" si="90"/>
        <v>0</v>
      </c>
      <c r="F173" s="3265"/>
      <c r="G173" s="3266">
        <f t="shared" si="65"/>
        <v>0</v>
      </c>
      <c r="H173" s="3267">
        <f t="shared" si="66"/>
        <v>0</v>
      </c>
      <c r="I173" s="3275"/>
      <c r="J173" s="3275"/>
      <c r="K173" s="3275"/>
      <c r="L173" s="3275"/>
      <c r="M173" s="3275"/>
      <c r="N173" s="3275"/>
      <c r="O173" s="3275"/>
      <c r="P173" s="3275"/>
      <c r="Q173" s="3275"/>
      <c r="R173" s="3275"/>
      <c r="S173" s="3275"/>
      <c r="T173" s="3275"/>
      <c r="U173" s="3275"/>
      <c r="V173" s="3275"/>
      <c r="W173" s="3275"/>
      <c r="X173" s="3275"/>
      <c r="Y173" s="3275"/>
      <c r="Z173" s="3275"/>
      <c r="AA173" s="3275"/>
      <c r="AB173" s="3275"/>
      <c r="AC173" s="3264">
        <f t="shared" si="67"/>
        <v>0</v>
      </c>
      <c r="AD173" s="3285"/>
      <c r="AE173" s="3285"/>
      <c r="AF173" s="3285"/>
      <c r="AG173" s="3285"/>
      <c r="AH173" s="3285"/>
      <c r="AI173" s="3285"/>
      <c r="AJ173" s="3285"/>
      <c r="AK173" s="3285"/>
      <c r="AL173" s="3285"/>
      <c r="AM173" s="3285"/>
      <c r="AN173" s="3285"/>
      <c r="AO173" s="3285"/>
      <c r="AP173" s="3285"/>
      <c r="AQ173" s="3285"/>
      <c r="AR173" s="3285"/>
      <c r="AS173" s="3285"/>
      <c r="AT173" s="3295"/>
      <c r="AU173" s="3296"/>
      <c r="AV173" s="830">
        <f t="shared" si="91"/>
        <v>0</v>
      </c>
      <c r="AW173" s="830">
        <f t="shared" si="92"/>
        <v>0</v>
      </c>
      <c r="AX173" s="830">
        <f t="shared" si="93"/>
        <v>0</v>
      </c>
      <c r="AY173" s="3310">
        <f t="shared" si="68"/>
        <v>0</v>
      </c>
      <c r="AZ173" s="3264">
        <f t="shared" si="69"/>
        <v>0</v>
      </c>
      <c r="BA173" s="3264">
        <f t="shared" si="70"/>
        <v>0</v>
      </c>
      <c r="BB173" s="3264">
        <f t="shared" si="71"/>
        <v>0</v>
      </c>
      <c r="BC173" s="3264">
        <f t="shared" si="72"/>
        <v>0</v>
      </c>
      <c r="BD173" s="3264">
        <f t="shared" si="73"/>
        <v>0</v>
      </c>
      <c r="BE173" s="3264">
        <f t="shared" si="74"/>
        <v>0</v>
      </c>
      <c r="BF173" s="3264">
        <f t="shared" si="75"/>
        <v>0</v>
      </c>
      <c r="BG173" s="3264">
        <f t="shared" si="76"/>
        <v>0</v>
      </c>
      <c r="BH173" s="3264">
        <f t="shared" si="77"/>
        <v>0</v>
      </c>
      <c r="BI173" s="3264">
        <f t="shared" si="78"/>
        <v>0</v>
      </c>
      <c r="BJ173" s="3264">
        <f t="shared" si="79"/>
        <v>0</v>
      </c>
      <c r="BK173" s="3264">
        <f t="shared" si="80"/>
        <v>0</v>
      </c>
      <c r="BL173" s="3264">
        <f t="shared" si="81"/>
        <v>0</v>
      </c>
      <c r="BM173" s="3264">
        <f t="shared" si="82"/>
        <v>0</v>
      </c>
      <c r="BN173" s="3264">
        <f t="shared" si="83"/>
        <v>0</v>
      </c>
      <c r="BO173" s="3264">
        <f t="shared" si="84"/>
        <v>0</v>
      </c>
      <c r="BP173" s="3264">
        <f t="shared" si="85"/>
        <v>0</v>
      </c>
      <c r="BQ173" s="3264">
        <f t="shared" si="86"/>
        <v>0</v>
      </c>
      <c r="BR173" s="3264">
        <f t="shared" si="87"/>
        <v>0</v>
      </c>
      <c r="BS173" s="3264">
        <f t="shared" si="88"/>
        <v>0</v>
      </c>
      <c r="BT173" s="3317">
        <f t="shared" si="89"/>
        <v>0</v>
      </c>
    </row>
    <row r="174" spans="1:72">
      <c r="A174" s="3262"/>
      <c r="B174" s="3263"/>
      <c r="C174" s="3263"/>
      <c r="D174" s="3268"/>
      <c r="E174" s="3264">
        <f t="shared" si="90"/>
        <v>0</v>
      </c>
      <c r="F174" s="3265"/>
      <c r="G174" s="3266">
        <f t="shared" ref="G174:G207" si="94">H174+AC174+AT174</f>
        <v>0</v>
      </c>
      <c r="H174" s="3267">
        <f t="shared" ref="H174:H207" si="95">SUMIF(I$12:AB$12,"总值",I174:AB174)</f>
        <v>0</v>
      </c>
      <c r="I174" s="3275"/>
      <c r="J174" s="3275"/>
      <c r="K174" s="3275"/>
      <c r="L174" s="3275"/>
      <c r="M174" s="3275"/>
      <c r="N174" s="3275"/>
      <c r="O174" s="3275"/>
      <c r="P174" s="3275"/>
      <c r="Q174" s="3275"/>
      <c r="R174" s="3275"/>
      <c r="S174" s="3275"/>
      <c r="T174" s="3275"/>
      <c r="U174" s="3275"/>
      <c r="V174" s="3275"/>
      <c r="W174" s="3275"/>
      <c r="X174" s="3275"/>
      <c r="Y174" s="3275"/>
      <c r="Z174" s="3275"/>
      <c r="AA174" s="3275"/>
      <c r="AB174" s="3275"/>
      <c r="AC174" s="3264">
        <f t="shared" ref="AC174:AC207" si="96">SUMIF(AD$12:AS$12,"总值",AD174:AS174)</f>
        <v>0</v>
      </c>
      <c r="AD174" s="3285"/>
      <c r="AE174" s="3285"/>
      <c r="AF174" s="3285"/>
      <c r="AG174" s="3285"/>
      <c r="AH174" s="3285"/>
      <c r="AI174" s="3285"/>
      <c r="AJ174" s="3285"/>
      <c r="AK174" s="3285"/>
      <c r="AL174" s="3285"/>
      <c r="AM174" s="3285"/>
      <c r="AN174" s="3285"/>
      <c r="AO174" s="3285"/>
      <c r="AP174" s="3285"/>
      <c r="AQ174" s="3285"/>
      <c r="AR174" s="3285"/>
      <c r="AS174" s="3285"/>
      <c r="AT174" s="3295"/>
      <c r="AU174" s="3296"/>
      <c r="AV174" s="830">
        <f t="shared" si="91"/>
        <v>0</v>
      </c>
      <c r="AW174" s="830">
        <f t="shared" si="92"/>
        <v>0</v>
      </c>
      <c r="AX174" s="830">
        <f t="shared" si="93"/>
        <v>0</v>
      </c>
      <c r="AY174" s="3310">
        <f t="shared" ref="AY174:AY207" si="97">ROUND($AY$6*AZ174/$AZ$5,2)</f>
        <v>0</v>
      </c>
      <c r="AZ174" s="3264">
        <f t="shared" ref="AZ174:AZ207" si="98">BA174+BL174</f>
        <v>0</v>
      </c>
      <c r="BA174" s="3264">
        <f t="shared" ref="BA174:BA207" si="99">SUM(BB174:BK174)</f>
        <v>0</v>
      </c>
      <c r="BB174" s="3264">
        <f t="shared" ref="BB174:BB207" si="100">IF($D174="是",I174-J174,0)</f>
        <v>0</v>
      </c>
      <c r="BC174" s="3264">
        <f t="shared" ref="BC174:BC207" si="101">IF($D174="是",K174-L174,0)</f>
        <v>0</v>
      </c>
      <c r="BD174" s="3264">
        <f t="shared" ref="BD174:BD207" si="102">IF($D174="是",M174-N174,0)</f>
        <v>0</v>
      </c>
      <c r="BE174" s="3264">
        <f t="shared" ref="BE174:BE207" si="103">IF($D174="是",O174-P174,0)</f>
        <v>0</v>
      </c>
      <c r="BF174" s="3264">
        <f t="shared" ref="BF174:BF207" si="104">IF($D174="是",Q174-R174,0)</f>
        <v>0</v>
      </c>
      <c r="BG174" s="3264">
        <f t="shared" ref="BG174:BG207" si="105">IF($D174="是",S174-T174,0)</f>
        <v>0</v>
      </c>
      <c r="BH174" s="3264">
        <f t="shared" ref="BH174:BH207" si="106">IF($D174="是",U174-V174,0)</f>
        <v>0</v>
      </c>
      <c r="BI174" s="3264">
        <f t="shared" ref="BI174:BI207" si="107">IF($D174="是",W174-X174,0)</f>
        <v>0</v>
      </c>
      <c r="BJ174" s="3264">
        <f t="shared" ref="BJ174:BJ207" si="108">IF($D174="是",Y174-Z174,0)</f>
        <v>0</v>
      </c>
      <c r="BK174" s="3264">
        <f t="shared" ref="BK174:BK207" si="109">IF($D174="是",AA174-AB174,0)</f>
        <v>0</v>
      </c>
      <c r="BL174" s="3264">
        <f t="shared" ref="BL174:BL207" si="110">SUM(BM174:BT174)</f>
        <v>0</v>
      </c>
      <c r="BM174" s="3264">
        <f t="shared" ref="BM174:BM207" si="111">IF($D174="是",AD174-AE174,0)</f>
        <v>0</v>
      </c>
      <c r="BN174" s="3264">
        <f t="shared" ref="BN174:BN207" si="112">IF($D174="是",AF174-AG174,0)</f>
        <v>0</v>
      </c>
      <c r="BO174" s="3264">
        <f t="shared" ref="BO174:BO207" si="113">IF($D174="是",AH174-AI174,0)</f>
        <v>0</v>
      </c>
      <c r="BP174" s="3264">
        <f t="shared" ref="BP174:BP207" si="114">IF($D174="是",AJ174-AK174,0)</f>
        <v>0</v>
      </c>
      <c r="BQ174" s="3264">
        <f t="shared" ref="BQ174:BQ207" si="115">IF($D174="是",AL174-AM174,0)</f>
        <v>0</v>
      </c>
      <c r="BR174" s="3264">
        <f t="shared" ref="BR174:BR207" si="116">IF($D174="是",AN174-AO174,0)</f>
        <v>0</v>
      </c>
      <c r="BS174" s="3264">
        <f t="shared" ref="BS174:BS207" si="117">IF($D174="是",AP174-AQ174,0)</f>
        <v>0</v>
      </c>
      <c r="BT174" s="3317">
        <f t="shared" ref="BT174:BT207" si="118">IF($D174="是",AR174-AS174,0)</f>
        <v>0</v>
      </c>
    </row>
    <row r="175" spans="1:72">
      <c r="A175" s="3262"/>
      <c r="B175" s="3263"/>
      <c r="C175" s="3263"/>
      <c r="D175" s="3268"/>
      <c r="E175" s="3264">
        <f t="shared" si="90"/>
        <v>0</v>
      </c>
      <c r="F175" s="3265"/>
      <c r="G175" s="3266">
        <f t="shared" si="94"/>
        <v>0</v>
      </c>
      <c r="H175" s="3267">
        <f t="shared" si="95"/>
        <v>0</v>
      </c>
      <c r="I175" s="3275"/>
      <c r="J175" s="3275"/>
      <c r="K175" s="3275"/>
      <c r="L175" s="3275"/>
      <c r="M175" s="3275"/>
      <c r="N175" s="3275"/>
      <c r="O175" s="3275"/>
      <c r="P175" s="3275"/>
      <c r="Q175" s="3275"/>
      <c r="R175" s="3275"/>
      <c r="S175" s="3275"/>
      <c r="T175" s="3275"/>
      <c r="U175" s="3275"/>
      <c r="V175" s="3275"/>
      <c r="W175" s="3275"/>
      <c r="X175" s="3275"/>
      <c r="Y175" s="3275"/>
      <c r="Z175" s="3275"/>
      <c r="AA175" s="3275"/>
      <c r="AB175" s="3275"/>
      <c r="AC175" s="3264">
        <f t="shared" si="96"/>
        <v>0</v>
      </c>
      <c r="AD175" s="3285"/>
      <c r="AE175" s="3285"/>
      <c r="AF175" s="3285"/>
      <c r="AG175" s="3285"/>
      <c r="AH175" s="3285"/>
      <c r="AI175" s="3285"/>
      <c r="AJ175" s="3285"/>
      <c r="AK175" s="3285"/>
      <c r="AL175" s="3285"/>
      <c r="AM175" s="3285"/>
      <c r="AN175" s="3285"/>
      <c r="AO175" s="3285"/>
      <c r="AP175" s="3285"/>
      <c r="AQ175" s="3285"/>
      <c r="AR175" s="3285"/>
      <c r="AS175" s="3285"/>
      <c r="AT175" s="3295"/>
      <c r="AU175" s="3296"/>
      <c r="AV175" s="830">
        <f t="shared" si="91"/>
        <v>0</v>
      </c>
      <c r="AW175" s="830">
        <f t="shared" si="92"/>
        <v>0</v>
      </c>
      <c r="AX175" s="830">
        <f t="shared" si="93"/>
        <v>0</v>
      </c>
      <c r="AY175" s="3310">
        <f t="shared" si="97"/>
        <v>0</v>
      </c>
      <c r="AZ175" s="3264">
        <f t="shared" si="98"/>
        <v>0</v>
      </c>
      <c r="BA175" s="3264">
        <f t="shared" si="99"/>
        <v>0</v>
      </c>
      <c r="BB175" s="3264">
        <f t="shared" si="100"/>
        <v>0</v>
      </c>
      <c r="BC175" s="3264">
        <f t="shared" si="101"/>
        <v>0</v>
      </c>
      <c r="BD175" s="3264">
        <f t="shared" si="102"/>
        <v>0</v>
      </c>
      <c r="BE175" s="3264">
        <f t="shared" si="103"/>
        <v>0</v>
      </c>
      <c r="BF175" s="3264">
        <f t="shared" si="104"/>
        <v>0</v>
      </c>
      <c r="BG175" s="3264">
        <f t="shared" si="105"/>
        <v>0</v>
      </c>
      <c r="BH175" s="3264">
        <f t="shared" si="106"/>
        <v>0</v>
      </c>
      <c r="BI175" s="3264">
        <f t="shared" si="107"/>
        <v>0</v>
      </c>
      <c r="BJ175" s="3264">
        <f t="shared" si="108"/>
        <v>0</v>
      </c>
      <c r="BK175" s="3264">
        <f t="shared" si="109"/>
        <v>0</v>
      </c>
      <c r="BL175" s="3264">
        <f t="shared" si="110"/>
        <v>0</v>
      </c>
      <c r="BM175" s="3264">
        <f t="shared" si="111"/>
        <v>0</v>
      </c>
      <c r="BN175" s="3264">
        <f t="shared" si="112"/>
        <v>0</v>
      </c>
      <c r="BO175" s="3264">
        <f t="shared" si="113"/>
        <v>0</v>
      </c>
      <c r="BP175" s="3264">
        <f t="shared" si="114"/>
        <v>0</v>
      </c>
      <c r="BQ175" s="3264">
        <f t="shared" si="115"/>
        <v>0</v>
      </c>
      <c r="BR175" s="3264">
        <f t="shared" si="116"/>
        <v>0</v>
      </c>
      <c r="BS175" s="3264">
        <f t="shared" si="117"/>
        <v>0</v>
      </c>
      <c r="BT175" s="3317">
        <f t="shared" si="118"/>
        <v>0</v>
      </c>
    </row>
    <row r="176" spans="1:72">
      <c r="A176" s="3262"/>
      <c r="B176" s="3263"/>
      <c r="C176" s="3263"/>
      <c r="D176" s="3268"/>
      <c r="E176" s="3264">
        <f t="shared" si="90"/>
        <v>0</v>
      </c>
      <c r="F176" s="3265"/>
      <c r="G176" s="3266">
        <f t="shared" si="94"/>
        <v>0</v>
      </c>
      <c r="H176" s="3267">
        <f t="shared" si="95"/>
        <v>0</v>
      </c>
      <c r="I176" s="3275"/>
      <c r="J176" s="3275"/>
      <c r="K176" s="3275"/>
      <c r="L176" s="3275"/>
      <c r="M176" s="3275"/>
      <c r="N176" s="3275"/>
      <c r="O176" s="3275"/>
      <c r="P176" s="3275"/>
      <c r="Q176" s="3275"/>
      <c r="R176" s="3275"/>
      <c r="S176" s="3275"/>
      <c r="T176" s="3275"/>
      <c r="U176" s="3275"/>
      <c r="V176" s="3275"/>
      <c r="W176" s="3275"/>
      <c r="X176" s="3275"/>
      <c r="Y176" s="3275"/>
      <c r="Z176" s="3275"/>
      <c r="AA176" s="3275"/>
      <c r="AB176" s="3275"/>
      <c r="AC176" s="3264">
        <f t="shared" si="96"/>
        <v>0</v>
      </c>
      <c r="AD176" s="3285"/>
      <c r="AE176" s="3285"/>
      <c r="AF176" s="3285"/>
      <c r="AG176" s="3285"/>
      <c r="AH176" s="3285"/>
      <c r="AI176" s="3285"/>
      <c r="AJ176" s="3285"/>
      <c r="AK176" s="3285"/>
      <c r="AL176" s="3285"/>
      <c r="AM176" s="3285"/>
      <c r="AN176" s="3285"/>
      <c r="AO176" s="3285"/>
      <c r="AP176" s="3285"/>
      <c r="AQ176" s="3285"/>
      <c r="AR176" s="3285"/>
      <c r="AS176" s="3285"/>
      <c r="AT176" s="3295"/>
      <c r="AU176" s="3296"/>
      <c r="AV176" s="830">
        <f t="shared" si="91"/>
        <v>0</v>
      </c>
      <c r="AW176" s="830">
        <f t="shared" si="92"/>
        <v>0</v>
      </c>
      <c r="AX176" s="830">
        <f t="shared" si="93"/>
        <v>0</v>
      </c>
      <c r="AY176" s="3310">
        <f t="shared" si="97"/>
        <v>0</v>
      </c>
      <c r="AZ176" s="3264">
        <f t="shared" si="98"/>
        <v>0</v>
      </c>
      <c r="BA176" s="3264">
        <f t="shared" si="99"/>
        <v>0</v>
      </c>
      <c r="BB176" s="3264">
        <f t="shared" si="100"/>
        <v>0</v>
      </c>
      <c r="BC176" s="3264">
        <f t="shared" si="101"/>
        <v>0</v>
      </c>
      <c r="BD176" s="3264">
        <f t="shared" si="102"/>
        <v>0</v>
      </c>
      <c r="BE176" s="3264">
        <f t="shared" si="103"/>
        <v>0</v>
      </c>
      <c r="BF176" s="3264">
        <f t="shared" si="104"/>
        <v>0</v>
      </c>
      <c r="BG176" s="3264">
        <f t="shared" si="105"/>
        <v>0</v>
      </c>
      <c r="BH176" s="3264">
        <f t="shared" si="106"/>
        <v>0</v>
      </c>
      <c r="BI176" s="3264">
        <f t="shared" si="107"/>
        <v>0</v>
      </c>
      <c r="BJ176" s="3264">
        <f t="shared" si="108"/>
        <v>0</v>
      </c>
      <c r="BK176" s="3264">
        <f t="shared" si="109"/>
        <v>0</v>
      </c>
      <c r="BL176" s="3264">
        <f t="shared" si="110"/>
        <v>0</v>
      </c>
      <c r="BM176" s="3264">
        <f t="shared" si="111"/>
        <v>0</v>
      </c>
      <c r="BN176" s="3264">
        <f t="shared" si="112"/>
        <v>0</v>
      </c>
      <c r="BO176" s="3264">
        <f t="shared" si="113"/>
        <v>0</v>
      </c>
      <c r="BP176" s="3264">
        <f t="shared" si="114"/>
        <v>0</v>
      </c>
      <c r="BQ176" s="3264">
        <f t="shared" si="115"/>
        <v>0</v>
      </c>
      <c r="BR176" s="3264">
        <f t="shared" si="116"/>
        <v>0</v>
      </c>
      <c r="BS176" s="3264">
        <f t="shared" si="117"/>
        <v>0</v>
      </c>
      <c r="BT176" s="3317">
        <f t="shared" si="118"/>
        <v>0</v>
      </c>
    </row>
    <row r="177" spans="1:72">
      <c r="A177" s="3262"/>
      <c r="B177" s="3263"/>
      <c r="C177" s="3263"/>
      <c r="D177" s="3268"/>
      <c r="E177" s="3264">
        <f t="shared" ref="E177:E207" si="119">IF($C$3="是",ROUND($A$3*G177/$B$3,2),ROUND($A$3*(G177-AT177)/$B$3,2))</f>
        <v>0</v>
      </c>
      <c r="F177" s="3265"/>
      <c r="G177" s="3266">
        <f t="shared" si="94"/>
        <v>0</v>
      </c>
      <c r="H177" s="3267">
        <f t="shared" si="95"/>
        <v>0</v>
      </c>
      <c r="I177" s="3275"/>
      <c r="J177" s="3275"/>
      <c r="K177" s="3275"/>
      <c r="L177" s="3275"/>
      <c r="M177" s="3275"/>
      <c r="N177" s="3275"/>
      <c r="O177" s="3275"/>
      <c r="P177" s="3275"/>
      <c r="Q177" s="3275"/>
      <c r="R177" s="3275"/>
      <c r="S177" s="3275"/>
      <c r="T177" s="3275"/>
      <c r="U177" s="3275"/>
      <c r="V177" s="3275"/>
      <c r="W177" s="3275"/>
      <c r="X177" s="3275"/>
      <c r="Y177" s="3275"/>
      <c r="Z177" s="3275"/>
      <c r="AA177" s="3275"/>
      <c r="AB177" s="3275"/>
      <c r="AC177" s="3264">
        <f t="shared" si="96"/>
        <v>0</v>
      </c>
      <c r="AD177" s="3285"/>
      <c r="AE177" s="3285"/>
      <c r="AF177" s="3285"/>
      <c r="AG177" s="3285"/>
      <c r="AH177" s="3285"/>
      <c r="AI177" s="3285"/>
      <c r="AJ177" s="3285"/>
      <c r="AK177" s="3285"/>
      <c r="AL177" s="3285"/>
      <c r="AM177" s="3285"/>
      <c r="AN177" s="3285"/>
      <c r="AO177" s="3285"/>
      <c r="AP177" s="3285"/>
      <c r="AQ177" s="3285"/>
      <c r="AR177" s="3285"/>
      <c r="AS177" s="3285"/>
      <c r="AT177" s="3295"/>
      <c r="AU177" s="3296"/>
      <c r="AV177" s="830">
        <f t="shared" ref="AV177:AV207" si="120">A177</f>
        <v>0</v>
      </c>
      <c r="AW177" s="830">
        <f t="shared" ref="AW177:AW207" si="121">B177</f>
        <v>0</v>
      </c>
      <c r="AX177" s="830">
        <f t="shared" ref="AX177:AX207" si="122">C177</f>
        <v>0</v>
      </c>
      <c r="AY177" s="3310">
        <f t="shared" si="97"/>
        <v>0</v>
      </c>
      <c r="AZ177" s="3264">
        <f t="shared" si="98"/>
        <v>0</v>
      </c>
      <c r="BA177" s="3264">
        <f t="shared" si="99"/>
        <v>0</v>
      </c>
      <c r="BB177" s="3264">
        <f t="shared" si="100"/>
        <v>0</v>
      </c>
      <c r="BC177" s="3264">
        <f t="shared" si="101"/>
        <v>0</v>
      </c>
      <c r="BD177" s="3264">
        <f t="shared" si="102"/>
        <v>0</v>
      </c>
      <c r="BE177" s="3264">
        <f t="shared" si="103"/>
        <v>0</v>
      </c>
      <c r="BF177" s="3264">
        <f t="shared" si="104"/>
        <v>0</v>
      </c>
      <c r="BG177" s="3264">
        <f t="shared" si="105"/>
        <v>0</v>
      </c>
      <c r="BH177" s="3264">
        <f t="shared" si="106"/>
        <v>0</v>
      </c>
      <c r="BI177" s="3264">
        <f t="shared" si="107"/>
        <v>0</v>
      </c>
      <c r="BJ177" s="3264">
        <f t="shared" si="108"/>
        <v>0</v>
      </c>
      <c r="BK177" s="3264">
        <f t="shared" si="109"/>
        <v>0</v>
      </c>
      <c r="BL177" s="3264">
        <f t="shared" si="110"/>
        <v>0</v>
      </c>
      <c r="BM177" s="3264">
        <f t="shared" si="111"/>
        <v>0</v>
      </c>
      <c r="BN177" s="3264">
        <f t="shared" si="112"/>
        <v>0</v>
      </c>
      <c r="BO177" s="3264">
        <f t="shared" si="113"/>
        <v>0</v>
      </c>
      <c r="BP177" s="3264">
        <f t="shared" si="114"/>
        <v>0</v>
      </c>
      <c r="BQ177" s="3264">
        <f t="shared" si="115"/>
        <v>0</v>
      </c>
      <c r="BR177" s="3264">
        <f t="shared" si="116"/>
        <v>0</v>
      </c>
      <c r="BS177" s="3264">
        <f t="shared" si="117"/>
        <v>0</v>
      </c>
      <c r="BT177" s="3317">
        <f t="shared" si="118"/>
        <v>0</v>
      </c>
    </row>
    <row r="178" spans="1:72">
      <c r="A178" s="3262"/>
      <c r="B178" s="3263"/>
      <c r="C178" s="3263"/>
      <c r="D178" s="3268"/>
      <c r="E178" s="3264">
        <f t="shared" si="119"/>
        <v>0</v>
      </c>
      <c r="F178" s="3265"/>
      <c r="G178" s="3266">
        <f t="shared" si="94"/>
        <v>0</v>
      </c>
      <c r="H178" s="3267">
        <f t="shared" si="95"/>
        <v>0</v>
      </c>
      <c r="I178" s="3275"/>
      <c r="J178" s="3275"/>
      <c r="K178" s="3275"/>
      <c r="L178" s="3275"/>
      <c r="M178" s="3275"/>
      <c r="N178" s="3275"/>
      <c r="O178" s="3275"/>
      <c r="P178" s="3275"/>
      <c r="Q178" s="3275"/>
      <c r="R178" s="3275"/>
      <c r="S178" s="3275"/>
      <c r="T178" s="3275"/>
      <c r="U178" s="3275"/>
      <c r="V178" s="3275"/>
      <c r="W178" s="3275"/>
      <c r="X178" s="3275"/>
      <c r="Y178" s="3275"/>
      <c r="Z178" s="3275"/>
      <c r="AA178" s="3275"/>
      <c r="AB178" s="3275"/>
      <c r="AC178" s="3264">
        <f t="shared" si="96"/>
        <v>0</v>
      </c>
      <c r="AD178" s="3285"/>
      <c r="AE178" s="3285"/>
      <c r="AF178" s="3285"/>
      <c r="AG178" s="3285"/>
      <c r="AH178" s="3285"/>
      <c r="AI178" s="3285"/>
      <c r="AJ178" s="3285"/>
      <c r="AK178" s="3285"/>
      <c r="AL178" s="3285"/>
      <c r="AM178" s="3285"/>
      <c r="AN178" s="3285"/>
      <c r="AO178" s="3285"/>
      <c r="AP178" s="3285"/>
      <c r="AQ178" s="3285"/>
      <c r="AR178" s="3285"/>
      <c r="AS178" s="3285"/>
      <c r="AT178" s="3295"/>
      <c r="AU178" s="3296"/>
      <c r="AV178" s="830">
        <f t="shared" si="120"/>
        <v>0</v>
      </c>
      <c r="AW178" s="830">
        <f t="shared" si="121"/>
        <v>0</v>
      </c>
      <c r="AX178" s="830">
        <f t="shared" si="122"/>
        <v>0</v>
      </c>
      <c r="AY178" s="3310">
        <f t="shared" si="97"/>
        <v>0</v>
      </c>
      <c r="AZ178" s="3264">
        <f t="shared" si="98"/>
        <v>0</v>
      </c>
      <c r="BA178" s="3264">
        <f t="shared" si="99"/>
        <v>0</v>
      </c>
      <c r="BB178" s="3264">
        <f t="shared" si="100"/>
        <v>0</v>
      </c>
      <c r="BC178" s="3264">
        <f t="shared" si="101"/>
        <v>0</v>
      </c>
      <c r="BD178" s="3264">
        <f t="shared" si="102"/>
        <v>0</v>
      </c>
      <c r="BE178" s="3264">
        <f t="shared" si="103"/>
        <v>0</v>
      </c>
      <c r="BF178" s="3264">
        <f t="shared" si="104"/>
        <v>0</v>
      </c>
      <c r="BG178" s="3264">
        <f t="shared" si="105"/>
        <v>0</v>
      </c>
      <c r="BH178" s="3264">
        <f t="shared" si="106"/>
        <v>0</v>
      </c>
      <c r="BI178" s="3264">
        <f t="shared" si="107"/>
        <v>0</v>
      </c>
      <c r="BJ178" s="3264">
        <f t="shared" si="108"/>
        <v>0</v>
      </c>
      <c r="BK178" s="3264">
        <f t="shared" si="109"/>
        <v>0</v>
      </c>
      <c r="BL178" s="3264">
        <f t="shared" si="110"/>
        <v>0</v>
      </c>
      <c r="BM178" s="3264">
        <f t="shared" si="111"/>
        <v>0</v>
      </c>
      <c r="BN178" s="3264">
        <f t="shared" si="112"/>
        <v>0</v>
      </c>
      <c r="BO178" s="3264">
        <f t="shared" si="113"/>
        <v>0</v>
      </c>
      <c r="BP178" s="3264">
        <f t="shared" si="114"/>
        <v>0</v>
      </c>
      <c r="BQ178" s="3264">
        <f t="shared" si="115"/>
        <v>0</v>
      </c>
      <c r="BR178" s="3264">
        <f t="shared" si="116"/>
        <v>0</v>
      </c>
      <c r="BS178" s="3264">
        <f t="shared" si="117"/>
        <v>0</v>
      </c>
      <c r="BT178" s="3317">
        <f t="shared" si="118"/>
        <v>0</v>
      </c>
    </row>
    <row r="179" spans="1:72">
      <c r="A179" s="3262"/>
      <c r="B179" s="3263"/>
      <c r="C179" s="3263"/>
      <c r="D179" s="3268"/>
      <c r="E179" s="3264">
        <f t="shared" si="119"/>
        <v>0</v>
      </c>
      <c r="F179" s="3265"/>
      <c r="G179" s="3266">
        <f t="shared" si="94"/>
        <v>0</v>
      </c>
      <c r="H179" s="3267">
        <f t="shared" si="95"/>
        <v>0</v>
      </c>
      <c r="I179" s="3275"/>
      <c r="J179" s="3275"/>
      <c r="K179" s="3275"/>
      <c r="L179" s="3275"/>
      <c r="M179" s="3275"/>
      <c r="N179" s="3275"/>
      <c r="O179" s="3275"/>
      <c r="P179" s="3275"/>
      <c r="Q179" s="3275"/>
      <c r="R179" s="3275"/>
      <c r="S179" s="3275"/>
      <c r="T179" s="3275"/>
      <c r="U179" s="3275"/>
      <c r="V179" s="3275"/>
      <c r="W179" s="3275"/>
      <c r="X179" s="3275"/>
      <c r="Y179" s="3275"/>
      <c r="Z179" s="3275"/>
      <c r="AA179" s="3275"/>
      <c r="AB179" s="3275"/>
      <c r="AC179" s="3264">
        <f t="shared" si="96"/>
        <v>0</v>
      </c>
      <c r="AD179" s="3285"/>
      <c r="AE179" s="3285"/>
      <c r="AF179" s="3285"/>
      <c r="AG179" s="3285"/>
      <c r="AH179" s="3285"/>
      <c r="AI179" s="3285"/>
      <c r="AJ179" s="3285"/>
      <c r="AK179" s="3285"/>
      <c r="AL179" s="3285"/>
      <c r="AM179" s="3285"/>
      <c r="AN179" s="3285"/>
      <c r="AO179" s="3285"/>
      <c r="AP179" s="3285"/>
      <c r="AQ179" s="3285"/>
      <c r="AR179" s="3285"/>
      <c r="AS179" s="3285"/>
      <c r="AT179" s="3295"/>
      <c r="AU179" s="3296"/>
      <c r="AV179" s="830">
        <f t="shared" si="120"/>
        <v>0</v>
      </c>
      <c r="AW179" s="830">
        <f t="shared" si="121"/>
        <v>0</v>
      </c>
      <c r="AX179" s="830">
        <f t="shared" si="122"/>
        <v>0</v>
      </c>
      <c r="AY179" s="3310">
        <f t="shared" si="97"/>
        <v>0</v>
      </c>
      <c r="AZ179" s="3264">
        <f t="shared" si="98"/>
        <v>0</v>
      </c>
      <c r="BA179" s="3264">
        <f t="shared" si="99"/>
        <v>0</v>
      </c>
      <c r="BB179" s="3264">
        <f t="shared" si="100"/>
        <v>0</v>
      </c>
      <c r="BC179" s="3264">
        <f t="shared" si="101"/>
        <v>0</v>
      </c>
      <c r="BD179" s="3264">
        <f t="shared" si="102"/>
        <v>0</v>
      </c>
      <c r="BE179" s="3264">
        <f t="shared" si="103"/>
        <v>0</v>
      </c>
      <c r="BF179" s="3264">
        <f t="shared" si="104"/>
        <v>0</v>
      </c>
      <c r="BG179" s="3264">
        <f t="shared" si="105"/>
        <v>0</v>
      </c>
      <c r="BH179" s="3264">
        <f t="shared" si="106"/>
        <v>0</v>
      </c>
      <c r="BI179" s="3264">
        <f t="shared" si="107"/>
        <v>0</v>
      </c>
      <c r="BJ179" s="3264">
        <f t="shared" si="108"/>
        <v>0</v>
      </c>
      <c r="BK179" s="3264">
        <f t="shared" si="109"/>
        <v>0</v>
      </c>
      <c r="BL179" s="3264">
        <f t="shared" si="110"/>
        <v>0</v>
      </c>
      <c r="BM179" s="3264">
        <f t="shared" si="111"/>
        <v>0</v>
      </c>
      <c r="BN179" s="3264">
        <f t="shared" si="112"/>
        <v>0</v>
      </c>
      <c r="BO179" s="3264">
        <f t="shared" si="113"/>
        <v>0</v>
      </c>
      <c r="BP179" s="3264">
        <f t="shared" si="114"/>
        <v>0</v>
      </c>
      <c r="BQ179" s="3264">
        <f t="shared" si="115"/>
        <v>0</v>
      </c>
      <c r="BR179" s="3264">
        <f t="shared" si="116"/>
        <v>0</v>
      </c>
      <c r="BS179" s="3264">
        <f t="shared" si="117"/>
        <v>0</v>
      </c>
      <c r="BT179" s="3317">
        <f t="shared" si="118"/>
        <v>0</v>
      </c>
    </row>
    <row r="180" spans="1:72">
      <c r="A180" s="3262"/>
      <c r="B180" s="3263"/>
      <c r="C180" s="3263"/>
      <c r="D180" s="3268"/>
      <c r="E180" s="3264">
        <f t="shared" si="119"/>
        <v>0</v>
      </c>
      <c r="F180" s="3265"/>
      <c r="G180" s="3266">
        <f t="shared" si="94"/>
        <v>0</v>
      </c>
      <c r="H180" s="3267">
        <f t="shared" si="95"/>
        <v>0</v>
      </c>
      <c r="I180" s="3275"/>
      <c r="J180" s="3275"/>
      <c r="K180" s="3275"/>
      <c r="L180" s="3275"/>
      <c r="M180" s="3275"/>
      <c r="N180" s="3275"/>
      <c r="O180" s="3275"/>
      <c r="P180" s="3275"/>
      <c r="Q180" s="3275"/>
      <c r="R180" s="3275"/>
      <c r="S180" s="3275"/>
      <c r="T180" s="3275"/>
      <c r="U180" s="3275"/>
      <c r="V180" s="3275"/>
      <c r="W180" s="3275"/>
      <c r="X180" s="3275"/>
      <c r="Y180" s="3275"/>
      <c r="Z180" s="3275"/>
      <c r="AA180" s="3275"/>
      <c r="AB180" s="3275"/>
      <c r="AC180" s="3264">
        <f t="shared" si="96"/>
        <v>0</v>
      </c>
      <c r="AD180" s="3285"/>
      <c r="AE180" s="3285"/>
      <c r="AF180" s="3285"/>
      <c r="AG180" s="3285"/>
      <c r="AH180" s="3285"/>
      <c r="AI180" s="3285"/>
      <c r="AJ180" s="3285"/>
      <c r="AK180" s="3285"/>
      <c r="AL180" s="3285"/>
      <c r="AM180" s="3285"/>
      <c r="AN180" s="3285"/>
      <c r="AO180" s="3285"/>
      <c r="AP180" s="3285"/>
      <c r="AQ180" s="3285"/>
      <c r="AR180" s="3285"/>
      <c r="AS180" s="3285"/>
      <c r="AT180" s="3295"/>
      <c r="AU180" s="3296"/>
      <c r="AV180" s="830">
        <f t="shared" si="120"/>
        <v>0</v>
      </c>
      <c r="AW180" s="830">
        <f t="shared" si="121"/>
        <v>0</v>
      </c>
      <c r="AX180" s="830">
        <f t="shared" si="122"/>
        <v>0</v>
      </c>
      <c r="AY180" s="3310">
        <f t="shared" si="97"/>
        <v>0</v>
      </c>
      <c r="AZ180" s="3264">
        <f t="shared" si="98"/>
        <v>0</v>
      </c>
      <c r="BA180" s="3264">
        <f t="shared" si="99"/>
        <v>0</v>
      </c>
      <c r="BB180" s="3264">
        <f t="shared" si="100"/>
        <v>0</v>
      </c>
      <c r="BC180" s="3264">
        <f t="shared" si="101"/>
        <v>0</v>
      </c>
      <c r="BD180" s="3264">
        <f t="shared" si="102"/>
        <v>0</v>
      </c>
      <c r="BE180" s="3264">
        <f t="shared" si="103"/>
        <v>0</v>
      </c>
      <c r="BF180" s="3264">
        <f t="shared" si="104"/>
        <v>0</v>
      </c>
      <c r="BG180" s="3264">
        <f t="shared" si="105"/>
        <v>0</v>
      </c>
      <c r="BH180" s="3264">
        <f t="shared" si="106"/>
        <v>0</v>
      </c>
      <c r="BI180" s="3264">
        <f t="shared" si="107"/>
        <v>0</v>
      </c>
      <c r="BJ180" s="3264">
        <f t="shared" si="108"/>
        <v>0</v>
      </c>
      <c r="BK180" s="3264">
        <f t="shared" si="109"/>
        <v>0</v>
      </c>
      <c r="BL180" s="3264">
        <f t="shared" si="110"/>
        <v>0</v>
      </c>
      <c r="BM180" s="3264">
        <f t="shared" si="111"/>
        <v>0</v>
      </c>
      <c r="BN180" s="3264">
        <f t="shared" si="112"/>
        <v>0</v>
      </c>
      <c r="BO180" s="3264">
        <f t="shared" si="113"/>
        <v>0</v>
      </c>
      <c r="BP180" s="3264">
        <f t="shared" si="114"/>
        <v>0</v>
      </c>
      <c r="BQ180" s="3264">
        <f t="shared" si="115"/>
        <v>0</v>
      </c>
      <c r="BR180" s="3264">
        <f t="shared" si="116"/>
        <v>0</v>
      </c>
      <c r="BS180" s="3264">
        <f t="shared" si="117"/>
        <v>0</v>
      </c>
      <c r="BT180" s="3317">
        <f t="shared" si="118"/>
        <v>0</v>
      </c>
    </row>
    <row r="181" spans="1:72">
      <c r="A181" s="3262"/>
      <c r="B181" s="3263"/>
      <c r="C181" s="3263"/>
      <c r="D181" s="3268"/>
      <c r="E181" s="3264">
        <f t="shared" si="119"/>
        <v>0</v>
      </c>
      <c r="F181" s="3265"/>
      <c r="G181" s="3266">
        <f t="shared" si="94"/>
        <v>0</v>
      </c>
      <c r="H181" s="3267">
        <f t="shared" si="95"/>
        <v>0</v>
      </c>
      <c r="I181" s="3275"/>
      <c r="J181" s="3275"/>
      <c r="K181" s="3275"/>
      <c r="L181" s="3275"/>
      <c r="M181" s="3275"/>
      <c r="N181" s="3275"/>
      <c r="O181" s="3275"/>
      <c r="P181" s="3275"/>
      <c r="Q181" s="3275"/>
      <c r="R181" s="3275"/>
      <c r="S181" s="3275"/>
      <c r="T181" s="3275"/>
      <c r="U181" s="3275"/>
      <c r="V181" s="3275"/>
      <c r="W181" s="3275"/>
      <c r="X181" s="3275"/>
      <c r="Y181" s="3275"/>
      <c r="Z181" s="3275"/>
      <c r="AA181" s="3275"/>
      <c r="AB181" s="3275"/>
      <c r="AC181" s="3264">
        <f t="shared" si="96"/>
        <v>0</v>
      </c>
      <c r="AD181" s="3285"/>
      <c r="AE181" s="3285"/>
      <c r="AF181" s="3285"/>
      <c r="AG181" s="3285"/>
      <c r="AH181" s="3285"/>
      <c r="AI181" s="3285"/>
      <c r="AJ181" s="3285"/>
      <c r="AK181" s="3285"/>
      <c r="AL181" s="3285"/>
      <c r="AM181" s="3285"/>
      <c r="AN181" s="3285"/>
      <c r="AO181" s="3285"/>
      <c r="AP181" s="3285"/>
      <c r="AQ181" s="3285"/>
      <c r="AR181" s="3285"/>
      <c r="AS181" s="3285"/>
      <c r="AT181" s="3295"/>
      <c r="AU181" s="3296"/>
      <c r="AV181" s="830">
        <f t="shared" si="120"/>
        <v>0</v>
      </c>
      <c r="AW181" s="830">
        <f t="shared" si="121"/>
        <v>0</v>
      </c>
      <c r="AX181" s="830">
        <f t="shared" si="122"/>
        <v>0</v>
      </c>
      <c r="AY181" s="3310">
        <f t="shared" si="97"/>
        <v>0</v>
      </c>
      <c r="AZ181" s="3264">
        <f t="shared" si="98"/>
        <v>0</v>
      </c>
      <c r="BA181" s="3264">
        <f t="shared" si="99"/>
        <v>0</v>
      </c>
      <c r="BB181" s="3264">
        <f t="shared" si="100"/>
        <v>0</v>
      </c>
      <c r="BC181" s="3264">
        <f t="shared" si="101"/>
        <v>0</v>
      </c>
      <c r="BD181" s="3264">
        <f t="shared" si="102"/>
        <v>0</v>
      </c>
      <c r="BE181" s="3264">
        <f t="shared" si="103"/>
        <v>0</v>
      </c>
      <c r="BF181" s="3264">
        <f t="shared" si="104"/>
        <v>0</v>
      </c>
      <c r="BG181" s="3264">
        <f t="shared" si="105"/>
        <v>0</v>
      </c>
      <c r="BH181" s="3264">
        <f t="shared" si="106"/>
        <v>0</v>
      </c>
      <c r="BI181" s="3264">
        <f t="shared" si="107"/>
        <v>0</v>
      </c>
      <c r="BJ181" s="3264">
        <f t="shared" si="108"/>
        <v>0</v>
      </c>
      <c r="BK181" s="3264">
        <f t="shared" si="109"/>
        <v>0</v>
      </c>
      <c r="BL181" s="3264">
        <f t="shared" si="110"/>
        <v>0</v>
      </c>
      <c r="BM181" s="3264">
        <f t="shared" si="111"/>
        <v>0</v>
      </c>
      <c r="BN181" s="3264">
        <f t="shared" si="112"/>
        <v>0</v>
      </c>
      <c r="BO181" s="3264">
        <f t="shared" si="113"/>
        <v>0</v>
      </c>
      <c r="BP181" s="3264">
        <f t="shared" si="114"/>
        <v>0</v>
      </c>
      <c r="BQ181" s="3264">
        <f t="shared" si="115"/>
        <v>0</v>
      </c>
      <c r="BR181" s="3264">
        <f t="shared" si="116"/>
        <v>0</v>
      </c>
      <c r="BS181" s="3264">
        <f t="shared" si="117"/>
        <v>0</v>
      </c>
      <c r="BT181" s="3317">
        <f t="shared" si="118"/>
        <v>0</v>
      </c>
    </row>
    <row r="182" spans="1:72">
      <c r="A182" s="3262"/>
      <c r="B182" s="3263"/>
      <c r="C182" s="3263"/>
      <c r="D182" s="3268"/>
      <c r="E182" s="3264">
        <f t="shared" si="119"/>
        <v>0</v>
      </c>
      <c r="F182" s="3265"/>
      <c r="G182" s="3266">
        <f t="shared" si="94"/>
        <v>0</v>
      </c>
      <c r="H182" s="3267">
        <f t="shared" si="95"/>
        <v>0</v>
      </c>
      <c r="I182" s="3275"/>
      <c r="J182" s="3275"/>
      <c r="K182" s="3275"/>
      <c r="L182" s="3275"/>
      <c r="M182" s="3275"/>
      <c r="N182" s="3275"/>
      <c r="O182" s="3275"/>
      <c r="P182" s="3275"/>
      <c r="Q182" s="3275"/>
      <c r="R182" s="3275"/>
      <c r="S182" s="3275"/>
      <c r="T182" s="3275"/>
      <c r="U182" s="3275"/>
      <c r="V182" s="3275"/>
      <c r="W182" s="3275"/>
      <c r="X182" s="3275"/>
      <c r="Y182" s="3275"/>
      <c r="Z182" s="3275"/>
      <c r="AA182" s="3275"/>
      <c r="AB182" s="3275"/>
      <c r="AC182" s="3264">
        <f t="shared" si="96"/>
        <v>0</v>
      </c>
      <c r="AD182" s="3285"/>
      <c r="AE182" s="3285"/>
      <c r="AF182" s="3285"/>
      <c r="AG182" s="3285"/>
      <c r="AH182" s="3285"/>
      <c r="AI182" s="3285"/>
      <c r="AJ182" s="3285"/>
      <c r="AK182" s="3285"/>
      <c r="AL182" s="3285"/>
      <c r="AM182" s="3285"/>
      <c r="AN182" s="3285"/>
      <c r="AO182" s="3285"/>
      <c r="AP182" s="3285"/>
      <c r="AQ182" s="3285"/>
      <c r="AR182" s="3285"/>
      <c r="AS182" s="3285"/>
      <c r="AT182" s="3295"/>
      <c r="AU182" s="3296"/>
      <c r="AV182" s="830">
        <f t="shared" si="120"/>
        <v>0</v>
      </c>
      <c r="AW182" s="830">
        <f t="shared" si="121"/>
        <v>0</v>
      </c>
      <c r="AX182" s="830">
        <f t="shared" si="122"/>
        <v>0</v>
      </c>
      <c r="AY182" s="3310">
        <f t="shared" si="97"/>
        <v>0</v>
      </c>
      <c r="AZ182" s="3264">
        <f t="shared" si="98"/>
        <v>0</v>
      </c>
      <c r="BA182" s="3264">
        <f t="shared" si="99"/>
        <v>0</v>
      </c>
      <c r="BB182" s="3264">
        <f t="shared" si="100"/>
        <v>0</v>
      </c>
      <c r="BC182" s="3264">
        <f t="shared" si="101"/>
        <v>0</v>
      </c>
      <c r="BD182" s="3264">
        <f t="shared" si="102"/>
        <v>0</v>
      </c>
      <c r="BE182" s="3264">
        <f t="shared" si="103"/>
        <v>0</v>
      </c>
      <c r="BF182" s="3264">
        <f t="shared" si="104"/>
        <v>0</v>
      </c>
      <c r="BG182" s="3264">
        <f t="shared" si="105"/>
        <v>0</v>
      </c>
      <c r="BH182" s="3264">
        <f t="shared" si="106"/>
        <v>0</v>
      </c>
      <c r="BI182" s="3264">
        <f t="shared" si="107"/>
        <v>0</v>
      </c>
      <c r="BJ182" s="3264">
        <f t="shared" si="108"/>
        <v>0</v>
      </c>
      <c r="BK182" s="3264">
        <f t="shared" si="109"/>
        <v>0</v>
      </c>
      <c r="BL182" s="3264">
        <f t="shared" si="110"/>
        <v>0</v>
      </c>
      <c r="BM182" s="3264">
        <f t="shared" si="111"/>
        <v>0</v>
      </c>
      <c r="BN182" s="3264">
        <f t="shared" si="112"/>
        <v>0</v>
      </c>
      <c r="BO182" s="3264">
        <f t="shared" si="113"/>
        <v>0</v>
      </c>
      <c r="BP182" s="3264">
        <f t="shared" si="114"/>
        <v>0</v>
      </c>
      <c r="BQ182" s="3264">
        <f t="shared" si="115"/>
        <v>0</v>
      </c>
      <c r="BR182" s="3264">
        <f t="shared" si="116"/>
        <v>0</v>
      </c>
      <c r="BS182" s="3264">
        <f t="shared" si="117"/>
        <v>0</v>
      </c>
      <c r="BT182" s="3317">
        <f t="shared" si="118"/>
        <v>0</v>
      </c>
    </row>
    <row r="183" spans="1:72">
      <c r="A183" s="3262"/>
      <c r="B183" s="3263"/>
      <c r="C183" s="3263"/>
      <c r="D183" s="3268"/>
      <c r="E183" s="3264">
        <f t="shared" si="119"/>
        <v>0</v>
      </c>
      <c r="F183" s="3265"/>
      <c r="G183" s="3266">
        <f t="shared" si="94"/>
        <v>0</v>
      </c>
      <c r="H183" s="3267">
        <f t="shared" si="95"/>
        <v>0</v>
      </c>
      <c r="I183" s="3275"/>
      <c r="J183" s="3275"/>
      <c r="K183" s="3275"/>
      <c r="L183" s="3275"/>
      <c r="M183" s="3275"/>
      <c r="N183" s="3275"/>
      <c r="O183" s="3275"/>
      <c r="P183" s="3275"/>
      <c r="Q183" s="3275"/>
      <c r="R183" s="3275"/>
      <c r="S183" s="3275"/>
      <c r="T183" s="3275"/>
      <c r="U183" s="3275"/>
      <c r="V183" s="3275"/>
      <c r="W183" s="3275"/>
      <c r="X183" s="3275"/>
      <c r="Y183" s="3275"/>
      <c r="Z183" s="3275"/>
      <c r="AA183" s="3275"/>
      <c r="AB183" s="3275"/>
      <c r="AC183" s="3264">
        <f t="shared" si="96"/>
        <v>0</v>
      </c>
      <c r="AD183" s="3285"/>
      <c r="AE183" s="3285"/>
      <c r="AF183" s="3285"/>
      <c r="AG183" s="3285"/>
      <c r="AH183" s="3285"/>
      <c r="AI183" s="3285"/>
      <c r="AJ183" s="3285"/>
      <c r="AK183" s="3285"/>
      <c r="AL183" s="3285"/>
      <c r="AM183" s="3285"/>
      <c r="AN183" s="3285"/>
      <c r="AO183" s="3285"/>
      <c r="AP183" s="3285"/>
      <c r="AQ183" s="3285"/>
      <c r="AR183" s="3285"/>
      <c r="AS183" s="3285"/>
      <c r="AT183" s="3295"/>
      <c r="AU183" s="3296"/>
      <c r="AV183" s="830">
        <f t="shared" si="120"/>
        <v>0</v>
      </c>
      <c r="AW183" s="830">
        <f t="shared" si="121"/>
        <v>0</v>
      </c>
      <c r="AX183" s="830">
        <f t="shared" si="122"/>
        <v>0</v>
      </c>
      <c r="AY183" s="3310">
        <f t="shared" si="97"/>
        <v>0</v>
      </c>
      <c r="AZ183" s="3264">
        <f t="shared" si="98"/>
        <v>0</v>
      </c>
      <c r="BA183" s="3264">
        <f t="shared" si="99"/>
        <v>0</v>
      </c>
      <c r="BB183" s="3264">
        <f t="shared" si="100"/>
        <v>0</v>
      </c>
      <c r="BC183" s="3264">
        <f t="shared" si="101"/>
        <v>0</v>
      </c>
      <c r="BD183" s="3264">
        <f t="shared" si="102"/>
        <v>0</v>
      </c>
      <c r="BE183" s="3264">
        <f t="shared" si="103"/>
        <v>0</v>
      </c>
      <c r="BF183" s="3264">
        <f t="shared" si="104"/>
        <v>0</v>
      </c>
      <c r="BG183" s="3264">
        <f t="shared" si="105"/>
        <v>0</v>
      </c>
      <c r="BH183" s="3264">
        <f t="shared" si="106"/>
        <v>0</v>
      </c>
      <c r="BI183" s="3264">
        <f t="shared" si="107"/>
        <v>0</v>
      </c>
      <c r="BJ183" s="3264">
        <f t="shared" si="108"/>
        <v>0</v>
      </c>
      <c r="BK183" s="3264">
        <f t="shared" si="109"/>
        <v>0</v>
      </c>
      <c r="BL183" s="3264">
        <f t="shared" si="110"/>
        <v>0</v>
      </c>
      <c r="BM183" s="3264">
        <f t="shared" si="111"/>
        <v>0</v>
      </c>
      <c r="BN183" s="3264">
        <f t="shared" si="112"/>
        <v>0</v>
      </c>
      <c r="BO183" s="3264">
        <f t="shared" si="113"/>
        <v>0</v>
      </c>
      <c r="BP183" s="3264">
        <f t="shared" si="114"/>
        <v>0</v>
      </c>
      <c r="BQ183" s="3264">
        <f t="shared" si="115"/>
        <v>0</v>
      </c>
      <c r="BR183" s="3264">
        <f t="shared" si="116"/>
        <v>0</v>
      </c>
      <c r="BS183" s="3264">
        <f t="shared" si="117"/>
        <v>0</v>
      </c>
      <c r="BT183" s="3317">
        <f t="shared" si="118"/>
        <v>0</v>
      </c>
    </row>
    <row r="184" spans="1:72">
      <c r="A184" s="3262"/>
      <c r="B184" s="3263"/>
      <c r="C184" s="3263"/>
      <c r="D184" s="3268"/>
      <c r="E184" s="3264">
        <f t="shared" si="119"/>
        <v>0</v>
      </c>
      <c r="F184" s="3265"/>
      <c r="G184" s="3266">
        <f t="shared" si="94"/>
        <v>0</v>
      </c>
      <c r="H184" s="3267">
        <f t="shared" si="95"/>
        <v>0</v>
      </c>
      <c r="I184" s="3275"/>
      <c r="J184" s="3275"/>
      <c r="K184" s="3275"/>
      <c r="L184" s="3275"/>
      <c r="M184" s="3275"/>
      <c r="N184" s="3275"/>
      <c r="O184" s="3275"/>
      <c r="P184" s="3275"/>
      <c r="Q184" s="3275"/>
      <c r="R184" s="3275"/>
      <c r="S184" s="3275"/>
      <c r="T184" s="3275"/>
      <c r="U184" s="3275"/>
      <c r="V184" s="3275"/>
      <c r="W184" s="3275"/>
      <c r="X184" s="3275"/>
      <c r="Y184" s="3275"/>
      <c r="Z184" s="3275"/>
      <c r="AA184" s="3275"/>
      <c r="AB184" s="3275"/>
      <c r="AC184" s="3264">
        <f t="shared" si="96"/>
        <v>0</v>
      </c>
      <c r="AD184" s="3285"/>
      <c r="AE184" s="3285"/>
      <c r="AF184" s="3285"/>
      <c r="AG184" s="3285"/>
      <c r="AH184" s="3285"/>
      <c r="AI184" s="3285"/>
      <c r="AJ184" s="3285"/>
      <c r="AK184" s="3285"/>
      <c r="AL184" s="3285"/>
      <c r="AM184" s="3285"/>
      <c r="AN184" s="3285"/>
      <c r="AO184" s="3285"/>
      <c r="AP184" s="3285"/>
      <c r="AQ184" s="3285"/>
      <c r="AR184" s="3285"/>
      <c r="AS184" s="3285"/>
      <c r="AT184" s="3295"/>
      <c r="AU184" s="3296"/>
      <c r="AV184" s="830">
        <f t="shared" si="120"/>
        <v>0</v>
      </c>
      <c r="AW184" s="830">
        <f t="shared" si="121"/>
        <v>0</v>
      </c>
      <c r="AX184" s="830">
        <f t="shared" si="122"/>
        <v>0</v>
      </c>
      <c r="AY184" s="3310">
        <f t="shared" si="97"/>
        <v>0</v>
      </c>
      <c r="AZ184" s="3264">
        <f t="shared" si="98"/>
        <v>0</v>
      </c>
      <c r="BA184" s="3264">
        <f t="shared" si="99"/>
        <v>0</v>
      </c>
      <c r="BB184" s="3264">
        <f t="shared" si="100"/>
        <v>0</v>
      </c>
      <c r="BC184" s="3264">
        <f t="shared" si="101"/>
        <v>0</v>
      </c>
      <c r="BD184" s="3264">
        <f t="shared" si="102"/>
        <v>0</v>
      </c>
      <c r="BE184" s="3264">
        <f t="shared" si="103"/>
        <v>0</v>
      </c>
      <c r="BF184" s="3264">
        <f t="shared" si="104"/>
        <v>0</v>
      </c>
      <c r="BG184" s="3264">
        <f t="shared" si="105"/>
        <v>0</v>
      </c>
      <c r="BH184" s="3264">
        <f t="shared" si="106"/>
        <v>0</v>
      </c>
      <c r="BI184" s="3264">
        <f t="shared" si="107"/>
        <v>0</v>
      </c>
      <c r="BJ184" s="3264">
        <f t="shared" si="108"/>
        <v>0</v>
      </c>
      <c r="BK184" s="3264">
        <f t="shared" si="109"/>
        <v>0</v>
      </c>
      <c r="BL184" s="3264">
        <f t="shared" si="110"/>
        <v>0</v>
      </c>
      <c r="BM184" s="3264">
        <f t="shared" si="111"/>
        <v>0</v>
      </c>
      <c r="BN184" s="3264">
        <f t="shared" si="112"/>
        <v>0</v>
      </c>
      <c r="BO184" s="3264">
        <f t="shared" si="113"/>
        <v>0</v>
      </c>
      <c r="BP184" s="3264">
        <f t="shared" si="114"/>
        <v>0</v>
      </c>
      <c r="BQ184" s="3264">
        <f t="shared" si="115"/>
        <v>0</v>
      </c>
      <c r="BR184" s="3264">
        <f t="shared" si="116"/>
        <v>0</v>
      </c>
      <c r="BS184" s="3264">
        <f t="shared" si="117"/>
        <v>0</v>
      </c>
      <c r="BT184" s="3317">
        <f t="shared" si="118"/>
        <v>0</v>
      </c>
    </row>
    <row r="185" spans="1:72">
      <c r="A185" s="3262"/>
      <c r="B185" s="3263"/>
      <c r="C185" s="3263"/>
      <c r="D185" s="3268"/>
      <c r="E185" s="3264">
        <f t="shared" si="119"/>
        <v>0</v>
      </c>
      <c r="F185" s="3265"/>
      <c r="G185" s="3266">
        <f t="shared" si="94"/>
        <v>0</v>
      </c>
      <c r="H185" s="3267">
        <f t="shared" si="95"/>
        <v>0</v>
      </c>
      <c r="I185" s="3275"/>
      <c r="J185" s="3275"/>
      <c r="K185" s="3275"/>
      <c r="L185" s="3275"/>
      <c r="M185" s="3275"/>
      <c r="N185" s="3275"/>
      <c r="O185" s="3275"/>
      <c r="P185" s="3275"/>
      <c r="Q185" s="3275"/>
      <c r="R185" s="3275"/>
      <c r="S185" s="3275"/>
      <c r="T185" s="3275"/>
      <c r="U185" s="3275"/>
      <c r="V185" s="3275"/>
      <c r="W185" s="3275"/>
      <c r="X185" s="3275"/>
      <c r="Y185" s="3275"/>
      <c r="Z185" s="3275"/>
      <c r="AA185" s="3275"/>
      <c r="AB185" s="3275"/>
      <c r="AC185" s="3264">
        <f t="shared" si="96"/>
        <v>0</v>
      </c>
      <c r="AD185" s="3285"/>
      <c r="AE185" s="3285"/>
      <c r="AF185" s="3285"/>
      <c r="AG185" s="3285"/>
      <c r="AH185" s="3285"/>
      <c r="AI185" s="3285"/>
      <c r="AJ185" s="3285"/>
      <c r="AK185" s="3285"/>
      <c r="AL185" s="3285"/>
      <c r="AM185" s="3285"/>
      <c r="AN185" s="3285"/>
      <c r="AO185" s="3285"/>
      <c r="AP185" s="3285"/>
      <c r="AQ185" s="3285"/>
      <c r="AR185" s="3285"/>
      <c r="AS185" s="3285"/>
      <c r="AT185" s="3295"/>
      <c r="AU185" s="3296"/>
      <c r="AV185" s="830">
        <f t="shared" si="120"/>
        <v>0</v>
      </c>
      <c r="AW185" s="830">
        <f t="shared" si="121"/>
        <v>0</v>
      </c>
      <c r="AX185" s="830">
        <f t="shared" si="122"/>
        <v>0</v>
      </c>
      <c r="AY185" s="3310">
        <f t="shared" si="97"/>
        <v>0</v>
      </c>
      <c r="AZ185" s="3264">
        <f t="shared" si="98"/>
        <v>0</v>
      </c>
      <c r="BA185" s="3264">
        <f t="shared" si="99"/>
        <v>0</v>
      </c>
      <c r="BB185" s="3264">
        <f t="shared" si="100"/>
        <v>0</v>
      </c>
      <c r="BC185" s="3264">
        <f t="shared" si="101"/>
        <v>0</v>
      </c>
      <c r="BD185" s="3264">
        <f t="shared" si="102"/>
        <v>0</v>
      </c>
      <c r="BE185" s="3264">
        <f t="shared" si="103"/>
        <v>0</v>
      </c>
      <c r="BF185" s="3264">
        <f t="shared" si="104"/>
        <v>0</v>
      </c>
      <c r="BG185" s="3264">
        <f t="shared" si="105"/>
        <v>0</v>
      </c>
      <c r="BH185" s="3264">
        <f t="shared" si="106"/>
        <v>0</v>
      </c>
      <c r="BI185" s="3264">
        <f t="shared" si="107"/>
        <v>0</v>
      </c>
      <c r="BJ185" s="3264">
        <f t="shared" si="108"/>
        <v>0</v>
      </c>
      <c r="BK185" s="3264">
        <f t="shared" si="109"/>
        <v>0</v>
      </c>
      <c r="BL185" s="3264">
        <f t="shared" si="110"/>
        <v>0</v>
      </c>
      <c r="BM185" s="3264">
        <f t="shared" si="111"/>
        <v>0</v>
      </c>
      <c r="BN185" s="3264">
        <f t="shared" si="112"/>
        <v>0</v>
      </c>
      <c r="BO185" s="3264">
        <f t="shared" si="113"/>
        <v>0</v>
      </c>
      <c r="BP185" s="3264">
        <f t="shared" si="114"/>
        <v>0</v>
      </c>
      <c r="BQ185" s="3264">
        <f t="shared" si="115"/>
        <v>0</v>
      </c>
      <c r="BR185" s="3264">
        <f t="shared" si="116"/>
        <v>0</v>
      </c>
      <c r="BS185" s="3264">
        <f t="shared" si="117"/>
        <v>0</v>
      </c>
      <c r="BT185" s="3317">
        <f t="shared" si="118"/>
        <v>0</v>
      </c>
    </row>
    <row r="186" spans="1:72">
      <c r="A186" s="3262"/>
      <c r="B186" s="3263"/>
      <c r="C186" s="3263"/>
      <c r="D186" s="3268"/>
      <c r="E186" s="3264">
        <f t="shared" si="119"/>
        <v>0</v>
      </c>
      <c r="F186" s="3265"/>
      <c r="G186" s="3266">
        <f t="shared" si="94"/>
        <v>0</v>
      </c>
      <c r="H186" s="3267">
        <f t="shared" si="95"/>
        <v>0</v>
      </c>
      <c r="I186" s="3275"/>
      <c r="J186" s="3275"/>
      <c r="K186" s="3275"/>
      <c r="L186" s="3275"/>
      <c r="M186" s="3275"/>
      <c r="N186" s="3275"/>
      <c r="O186" s="3275"/>
      <c r="P186" s="3275"/>
      <c r="Q186" s="3275"/>
      <c r="R186" s="3275"/>
      <c r="S186" s="3275"/>
      <c r="T186" s="3275"/>
      <c r="U186" s="3275"/>
      <c r="V186" s="3275"/>
      <c r="W186" s="3275"/>
      <c r="X186" s="3275"/>
      <c r="Y186" s="3275"/>
      <c r="Z186" s="3275"/>
      <c r="AA186" s="3275"/>
      <c r="AB186" s="3275"/>
      <c r="AC186" s="3264">
        <f t="shared" si="96"/>
        <v>0</v>
      </c>
      <c r="AD186" s="3285"/>
      <c r="AE186" s="3285"/>
      <c r="AF186" s="3285"/>
      <c r="AG186" s="3285"/>
      <c r="AH186" s="3285"/>
      <c r="AI186" s="3285"/>
      <c r="AJ186" s="3285"/>
      <c r="AK186" s="3285"/>
      <c r="AL186" s="3285"/>
      <c r="AM186" s="3285"/>
      <c r="AN186" s="3285"/>
      <c r="AO186" s="3285"/>
      <c r="AP186" s="3285"/>
      <c r="AQ186" s="3285"/>
      <c r="AR186" s="3285"/>
      <c r="AS186" s="3285"/>
      <c r="AT186" s="3295"/>
      <c r="AU186" s="3296"/>
      <c r="AV186" s="830">
        <f t="shared" si="120"/>
        <v>0</v>
      </c>
      <c r="AW186" s="830">
        <f t="shared" si="121"/>
        <v>0</v>
      </c>
      <c r="AX186" s="830">
        <f t="shared" si="122"/>
        <v>0</v>
      </c>
      <c r="AY186" s="3310">
        <f t="shared" si="97"/>
        <v>0</v>
      </c>
      <c r="AZ186" s="3264">
        <f t="shared" si="98"/>
        <v>0</v>
      </c>
      <c r="BA186" s="3264">
        <f t="shared" si="99"/>
        <v>0</v>
      </c>
      <c r="BB186" s="3264">
        <f t="shared" si="100"/>
        <v>0</v>
      </c>
      <c r="BC186" s="3264">
        <f t="shared" si="101"/>
        <v>0</v>
      </c>
      <c r="BD186" s="3264">
        <f t="shared" si="102"/>
        <v>0</v>
      </c>
      <c r="BE186" s="3264">
        <f t="shared" si="103"/>
        <v>0</v>
      </c>
      <c r="BF186" s="3264">
        <f t="shared" si="104"/>
        <v>0</v>
      </c>
      <c r="BG186" s="3264">
        <f t="shared" si="105"/>
        <v>0</v>
      </c>
      <c r="BH186" s="3264">
        <f t="shared" si="106"/>
        <v>0</v>
      </c>
      <c r="BI186" s="3264">
        <f t="shared" si="107"/>
        <v>0</v>
      </c>
      <c r="BJ186" s="3264">
        <f t="shared" si="108"/>
        <v>0</v>
      </c>
      <c r="BK186" s="3264">
        <f t="shared" si="109"/>
        <v>0</v>
      </c>
      <c r="BL186" s="3264">
        <f t="shared" si="110"/>
        <v>0</v>
      </c>
      <c r="BM186" s="3264">
        <f t="shared" si="111"/>
        <v>0</v>
      </c>
      <c r="BN186" s="3264">
        <f t="shared" si="112"/>
        <v>0</v>
      </c>
      <c r="BO186" s="3264">
        <f t="shared" si="113"/>
        <v>0</v>
      </c>
      <c r="BP186" s="3264">
        <f t="shared" si="114"/>
        <v>0</v>
      </c>
      <c r="BQ186" s="3264">
        <f t="shared" si="115"/>
        <v>0</v>
      </c>
      <c r="BR186" s="3264">
        <f t="shared" si="116"/>
        <v>0</v>
      </c>
      <c r="BS186" s="3264">
        <f t="shared" si="117"/>
        <v>0</v>
      </c>
      <c r="BT186" s="3317">
        <f t="shared" si="118"/>
        <v>0</v>
      </c>
    </row>
    <row r="187" spans="1:72">
      <c r="A187" s="3262"/>
      <c r="B187" s="3263"/>
      <c r="C187" s="3263"/>
      <c r="D187" s="3268"/>
      <c r="E187" s="3264">
        <f t="shared" si="119"/>
        <v>0</v>
      </c>
      <c r="F187" s="3265"/>
      <c r="G187" s="3266">
        <f t="shared" si="94"/>
        <v>0</v>
      </c>
      <c r="H187" s="3267">
        <f t="shared" si="95"/>
        <v>0</v>
      </c>
      <c r="I187" s="3275"/>
      <c r="J187" s="3275"/>
      <c r="K187" s="3275"/>
      <c r="L187" s="3275"/>
      <c r="M187" s="3275"/>
      <c r="N187" s="3275"/>
      <c r="O187" s="3275"/>
      <c r="P187" s="3275"/>
      <c r="Q187" s="3275"/>
      <c r="R187" s="3275"/>
      <c r="S187" s="3275"/>
      <c r="T187" s="3275"/>
      <c r="U187" s="3275"/>
      <c r="V187" s="3275"/>
      <c r="W187" s="3275"/>
      <c r="X187" s="3275"/>
      <c r="Y187" s="3275"/>
      <c r="Z187" s="3275"/>
      <c r="AA187" s="3275"/>
      <c r="AB187" s="3275"/>
      <c r="AC187" s="3264">
        <f t="shared" si="96"/>
        <v>0</v>
      </c>
      <c r="AD187" s="3285"/>
      <c r="AE187" s="3285"/>
      <c r="AF187" s="3285"/>
      <c r="AG187" s="3285"/>
      <c r="AH187" s="3285"/>
      <c r="AI187" s="3285"/>
      <c r="AJ187" s="3285"/>
      <c r="AK187" s="3285"/>
      <c r="AL187" s="3285"/>
      <c r="AM187" s="3285"/>
      <c r="AN187" s="3285"/>
      <c r="AO187" s="3285"/>
      <c r="AP187" s="3285"/>
      <c r="AQ187" s="3285"/>
      <c r="AR187" s="3285"/>
      <c r="AS187" s="3285"/>
      <c r="AT187" s="3295"/>
      <c r="AU187" s="3296"/>
      <c r="AV187" s="830">
        <f t="shared" si="120"/>
        <v>0</v>
      </c>
      <c r="AW187" s="830">
        <f t="shared" si="121"/>
        <v>0</v>
      </c>
      <c r="AX187" s="830">
        <f t="shared" si="122"/>
        <v>0</v>
      </c>
      <c r="AY187" s="3310">
        <f t="shared" si="97"/>
        <v>0</v>
      </c>
      <c r="AZ187" s="3264">
        <f t="shared" si="98"/>
        <v>0</v>
      </c>
      <c r="BA187" s="3264">
        <f t="shared" si="99"/>
        <v>0</v>
      </c>
      <c r="BB187" s="3264">
        <f t="shared" si="100"/>
        <v>0</v>
      </c>
      <c r="BC187" s="3264">
        <f t="shared" si="101"/>
        <v>0</v>
      </c>
      <c r="BD187" s="3264">
        <f t="shared" si="102"/>
        <v>0</v>
      </c>
      <c r="BE187" s="3264">
        <f t="shared" si="103"/>
        <v>0</v>
      </c>
      <c r="BF187" s="3264">
        <f t="shared" si="104"/>
        <v>0</v>
      </c>
      <c r="BG187" s="3264">
        <f t="shared" si="105"/>
        <v>0</v>
      </c>
      <c r="BH187" s="3264">
        <f t="shared" si="106"/>
        <v>0</v>
      </c>
      <c r="BI187" s="3264">
        <f t="shared" si="107"/>
        <v>0</v>
      </c>
      <c r="BJ187" s="3264">
        <f t="shared" si="108"/>
        <v>0</v>
      </c>
      <c r="BK187" s="3264">
        <f t="shared" si="109"/>
        <v>0</v>
      </c>
      <c r="BL187" s="3264">
        <f t="shared" si="110"/>
        <v>0</v>
      </c>
      <c r="BM187" s="3264">
        <f t="shared" si="111"/>
        <v>0</v>
      </c>
      <c r="BN187" s="3264">
        <f t="shared" si="112"/>
        <v>0</v>
      </c>
      <c r="BO187" s="3264">
        <f t="shared" si="113"/>
        <v>0</v>
      </c>
      <c r="BP187" s="3264">
        <f t="shared" si="114"/>
        <v>0</v>
      </c>
      <c r="BQ187" s="3264">
        <f t="shared" si="115"/>
        <v>0</v>
      </c>
      <c r="BR187" s="3264">
        <f t="shared" si="116"/>
        <v>0</v>
      </c>
      <c r="BS187" s="3264">
        <f t="shared" si="117"/>
        <v>0</v>
      </c>
      <c r="BT187" s="3317">
        <f t="shared" si="118"/>
        <v>0</v>
      </c>
    </row>
    <row r="188" spans="1:72">
      <c r="A188" s="3262"/>
      <c r="B188" s="3263"/>
      <c r="C188" s="3263"/>
      <c r="D188" s="3268"/>
      <c r="E188" s="3264">
        <f t="shared" si="119"/>
        <v>0</v>
      </c>
      <c r="F188" s="3265"/>
      <c r="G188" s="3266">
        <f t="shared" si="94"/>
        <v>0</v>
      </c>
      <c r="H188" s="3267">
        <f t="shared" si="95"/>
        <v>0</v>
      </c>
      <c r="I188" s="3275"/>
      <c r="J188" s="3275"/>
      <c r="K188" s="3275"/>
      <c r="L188" s="3275"/>
      <c r="M188" s="3275"/>
      <c r="N188" s="3275"/>
      <c r="O188" s="3275"/>
      <c r="P188" s="3275"/>
      <c r="Q188" s="3275"/>
      <c r="R188" s="3275"/>
      <c r="S188" s="3275"/>
      <c r="T188" s="3275"/>
      <c r="U188" s="3275"/>
      <c r="V188" s="3275"/>
      <c r="W188" s="3275"/>
      <c r="X188" s="3275"/>
      <c r="Y188" s="3275"/>
      <c r="Z188" s="3275"/>
      <c r="AA188" s="3275"/>
      <c r="AB188" s="3275"/>
      <c r="AC188" s="3264">
        <f t="shared" si="96"/>
        <v>0</v>
      </c>
      <c r="AD188" s="3285"/>
      <c r="AE188" s="3285"/>
      <c r="AF188" s="3285"/>
      <c r="AG188" s="3285"/>
      <c r="AH188" s="3285"/>
      <c r="AI188" s="3285"/>
      <c r="AJ188" s="3285"/>
      <c r="AK188" s="3285"/>
      <c r="AL188" s="3285"/>
      <c r="AM188" s="3285"/>
      <c r="AN188" s="3285"/>
      <c r="AO188" s="3285"/>
      <c r="AP188" s="3285"/>
      <c r="AQ188" s="3285"/>
      <c r="AR188" s="3285"/>
      <c r="AS188" s="3285"/>
      <c r="AT188" s="3295"/>
      <c r="AU188" s="3296"/>
      <c r="AV188" s="830">
        <f t="shared" si="120"/>
        <v>0</v>
      </c>
      <c r="AW188" s="830">
        <f t="shared" si="121"/>
        <v>0</v>
      </c>
      <c r="AX188" s="830">
        <f t="shared" si="122"/>
        <v>0</v>
      </c>
      <c r="AY188" s="3310">
        <f t="shared" si="97"/>
        <v>0</v>
      </c>
      <c r="AZ188" s="3264">
        <f t="shared" si="98"/>
        <v>0</v>
      </c>
      <c r="BA188" s="3264">
        <f t="shared" si="99"/>
        <v>0</v>
      </c>
      <c r="BB188" s="3264">
        <f t="shared" si="100"/>
        <v>0</v>
      </c>
      <c r="BC188" s="3264">
        <f t="shared" si="101"/>
        <v>0</v>
      </c>
      <c r="BD188" s="3264">
        <f t="shared" si="102"/>
        <v>0</v>
      </c>
      <c r="BE188" s="3264">
        <f t="shared" si="103"/>
        <v>0</v>
      </c>
      <c r="BF188" s="3264">
        <f t="shared" si="104"/>
        <v>0</v>
      </c>
      <c r="BG188" s="3264">
        <f t="shared" si="105"/>
        <v>0</v>
      </c>
      <c r="BH188" s="3264">
        <f t="shared" si="106"/>
        <v>0</v>
      </c>
      <c r="BI188" s="3264">
        <f t="shared" si="107"/>
        <v>0</v>
      </c>
      <c r="BJ188" s="3264">
        <f t="shared" si="108"/>
        <v>0</v>
      </c>
      <c r="BK188" s="3264">
        <f t="shared" si="109"/>
        <v>0</v>
      </c>
      <c r="BL188" s="3264">
        <f t="shared" si="110"/>
        <v>0</v>
      </c>
      <c r="BM188" s="3264">
        <f t="shared" si="111"/>
        <v>0</v>
      </c>
      <c r="BN188" s="3264">
        <f t="shared" si="112"/>
        <v>0</v>
      </c>
      <c r="BO188" s="3264">
        <f t="shared" si="113"/>
        <v>0</v>
      </c>
      <c r="BP188" s="3264">
        <f t="shared" si="114"/>
        <v>0</v>
      </c>
      <c r="BQ188" s="3264">
        <f t="shared" si="115"/>
        <v>0</v>
      </c>
      <c r="BR188" s="3264">
        <f t="shared" si="116"/>
        <v>0</v>
      </c>
      <c r="BS188" s="3264">
        <f t="shared" si="117"/>
        <v>0</v>
      </c>
      <c r="BT188" s="3317">
        <f t="shared" si="118"/>
        <v>0</v>
      </c>
    </row>
    <row r="189" spans="1:72">
      <c r="A189" s="3262"/>
      <c r="B189" s="3263"/>
      <c r="C189" s="3263"/>
      <c r="D189" s="3268"/>
      <c r="E189" s="3264">
        <f t="shared" si="119"/>
        <v>0</v>
      </c>
      <c r="F189" s="3265"/>
      <c r="G189" s="3266">
        <f t="shared" si="94"/>
        <v>0</v>
      </c>
      <c r="H189" s="3267">
        <f t="shared" si="95"/>
        <v>0</v>
      </c>
      <c r="I189" s="3275"/>
      <c r="J189" s="3275"/>
      <c r="K189" s="3275"/>
      <c r="L189" s="3275"/>
      <c r="M189" s="3275"/>
      <c r="N189" s="3275"/>
      <c r="O189" s="3275"/>
      <c r="P189" s="3275"/>
      <c r="Q189" s="3275"/>
      <c r="R189" s="3275"/>
      <c r="S189" s="3275"/>
      <c r="T189" s="3275"/>
      <c r="U189" s="3275"/>
      <c r="V189" s="3275"/>
      <c r="W189" s="3275"/>
      <c r="X189" s="3275"/>
      <c r="Y189" s="3275"/>
      <c r="Z189" s="3275"/>
      <c r="AA189" s="3275"/>
      <c r="AB189" s="3275"/>
      <c r="AC189" s="3264">
        <f t="shared" si="96"/>
        <v>0</v>
      </c>
      <c r="AD189" s="3285"/>
      <c r="AE189" s="3285"/>
      <c r="AF189" s="3285"/>
      <c r="AG189" s="3285"/>
      <c r="AH189" s="3285"/>
      <c r="AI189" s="3285"/>
      <c r="AJ189" s="3285"/>
      <c r="AK189" s="3285"/>
      <c r="AL189" s="3285"/>
      <c r="AM189" s="3285"/>
      <c r="AN189" s="3285"/>
      <c r="AO189" s="3285"/>
      <c r="AP189" s="3285"/>
      <c r="AQ189" s="3285"/>
      <c r="AR189" s="3285"/>
      <c r="AS189" s="3285"/>
      <c r="AT189" s="3295"/>
      <c r="AU189" s="3296"/>
      <c r="AV189" s="830">
        <f t="shared" si="120"/>
        <v>0</v>
      </c>
      <c r="AW189" s="830">
        <f t="shared" si="121"/>
        <v>0</v>
      </c>
      <c r="AX189" s="830">
        <f t="shared" si="122"/>
        <v>0</v>
      </c>
      <c r="AY189" s="3310">
        <f t="shared" si="97"/>
        <v>0</v>
      </c>
      <c r="AZ189" s="3264">
        <f t="shared" si="98"/>
        <v>0</v>
      </c>
      <c r="BA189" s="3264">
        <f t="shared" si="99"/>
        <v>0</v>
      </c>
      <c r="BB189" s="3264">
        <f t="shared" si="100"/>
        <v>0</v>
      </c>
      <c r="BC189" s="3264">
        <f t="shared" si="101"/>
        <v>0</v>
      </c>
      <c r="BD189" s="3264">
        <f t="shared" si="102"/>
        <v>0</v>
      </c>
      <c r="BE189" s="3264">
        <f t="shared" si="103"/>
        <v>0</v>
      </c>
      <c r="BF189" s="3264">
        <f t="shared" si="104"/>
        <v>0</v>
      </c>
      <c r="BG189" s="3264">
        <f t="shared" si="105"/>
        <v>0</v>
      </c>
      <c r="BH189" s="3264">
        <f t="shared" si="106"/>
        <v>0</v>
      </c>
      <c r="BI189" s="3264">
        <f t="shared" si="107"/>
        <v>0</v>
      </c>
      <c r="BJ189" s="3264">
        <f t="shared" si="108"/>
        <v>0</v>
      </c>
      <c r="BK189" s="3264">
        <f t="shared" si="109"/>
        <v>0</v>
      </c>
      <c r="BL189" s="3264">
        <f t="shared" si="110"/>
        <v>0</v>
      </c>
      <c r="BM189" s="3264">
        <f t="shared" si="111"/>
        <v>0</v>
      </c>
      <c r="BN189" s="3264">
        <f t="shared" si="112"/>
        <v>0</v>
      </c>
      <c r="BO189" s="3264">
        <f t="shared" si="113"/>
        <v>0</v>
      </c>
      <c r="BP189" s="3264">
        <f t="shared" si="114"/>
        <v>0</v>
      </c>
      <c r="BQ189" s="3264">
        <f t="shared" si="115"/>
        <v>0</v>
      </c>
      <c r="BR189" s="3264">
        <f t="shared" si="116"/>
        <v>0</v>
      </c>
      <c r="BS189" s="3264">
        <f t="shared" si="117"/>
        <v>0</v>
      </c>
      <c r="BT189" s="3317">
        <f t="shared" si="118"/>
        <v>0</v>
      </c>
    </row>
    <row r="190" spans="1:72">
      <c r="A190" s="3262"/>
      <c r="B190" s="3263"/>
      <c r="C190" s="3263"/>
      <c r="D190" s="3268"/>
      <c r="E190" s="3264">
        <f t="shared" si="119"/>
        <v>0</v>
      </c>
      <c r="F190" s="3265"/>
      <c r="G190" s="3266">
        <f t="shared" si="94"/>
        <v>0</v>
      </c>
      <c r="H190" s="3267">
        <f t="shared" si="95"/>
        <v>0</v>
      </c>
      <c r="I190" s="3275"/>
      <c r="J190" s="3275"/>
      <c r="K190" s="3275"/>
      <c r="L190" s="3275"/>
      <c r="M190" s="3275"/>
      <c r="N190" s="3275"/>
      <c r="O190" s="3275"/>
      <c r="P190" s="3275"/>
      <c r="Q190" s="3275"/>
      <c r="R190" s="3275"/>
      <c r="S190" s="3275"/>
      <c r="T190" s="3275"/>
      <c r="U190" s="3275"/>
      <c r="V190" s="3275"/>
      <c r="W190" s="3275"/>
      <c r="X190" s="3275"/>
      <c r="Y190" s="3275"/>
      <c r="Z190" s="3275"/>
      <c r="AA190" s="3275"/>
      <c r="AB190" s="3275"/>
      <c r="AC190" s="3264">
        <f t="shared" si="96"/>
        <v>0</v>
      </c>
      <c r="AD190" s="3285"/>
      <c r="AE190" s="3285"/>
      <c r="AF190" s="3285"/>
      <c r="AG190" s="3285"/>
      <c r="AH190" s="3285"/>
      <c r="AI190" s="3285"/>
      <c r="AJ190" s="3285"/>
      <c r="AK190" s="3285"/>
      <c r="AL190" s="3285"/>
      <c r="AM190" s="3285"/>
      <c r="AN190" s="3285"/>
      <c r="AO190" s="3285"/>
      <c r="AP190" s="3285"/>
      <c r="AQ190" s="3285"/>
      <c r="AR190" s="3285"/>
      <c r="AS190" s="3285"/>
      <c r="AT190" s="3295"/>
      <c r="AU190" s="3296"/>
      <c r="AV190" s="830">
        <f t="shared" si="120"/>
        <v>0</v>
      </c>
      <c r="AW190" s="830">
        <f t="shared" si="121"/>
        <v>0</v>
      </c>
      <c r="AX190" s="830">
        <f t="shared" si="122"/>
        <v>0</v>
      </c>
      <c r="AY190" s="3310">
        <f t="shared" si="97"/>
        <v>0</v>
      </c>
      <c r="AZ190" s="3264">
        <f t="shared" si="98"/>
        <v>0</v>
      </c>
      <c r="BA190" s="3264">
        <f t="shared" si="99"/>
        <v>0</v>
      </c>
      <c r="BB190" s="3264">
        <f t="shared" si="100"/>
        <v>0</v>
      </c>
      <c r="BC190" s="3264">
        <f t="shared" si="101"/>
        <v>0</v>
      </c>
      <c r="BD190" s="3264">
        <f t="shared" si="102"/>
        <v>0</v>
      </c>
      <c r="BE190" s="3264">
        <f t="shared" si="103"/>
        <v>0</v>
      </c>
      <c r="BF190" s="3264">
        <f t="shared" si="104"/>
        <v>0</v>
      </c>
      <c r="BG190" s="3264">
        <f t="shared" si="105"/>
        <v>0</v>
      </c>
      <c r="BH190" s="3264">
        <f t="shared" si="106"/>
        <v>0</v>
      </c>
      <c r="BI190" s="3264">
        <f t="shared" si="107"/>
        <v>0</v>
      </c>
      <c r="BJ190" s="3264">
        <f t="shared" si="108"/>
        <v>0</v>
      </c>
      <c r="BK190" s="3264">
        <f t="shared" si="109"/>
        <v>0</v>
      </c>
      <c r="BL190" s="3264">
        <f t="shared" si="110"/>
        <v>0</v>
      </c>
      <c r="BM190" s="3264">
        <f t="shared" si="111"/>
        <v>0</v>
      </c>
      <c r="BN190" s="3264">
        <f t="shared" si="112"/>
        <v>0</v>
      </c>
      <c r="BO190" s="3264">
        <f t="shared" si="113"/>
        <v>0</v>
      </c>
      <c r="BP190" s="3264">
        <f t="shared" si="114"/>
        <v>0</v>
      </c>
      <c r="BQ190" s="3264">
        <f t="shared" si="115"/>
        <v>0</v>
      </c>
      <c r="BR190" s="3264">
        <f t="shared" si="116"/>
        <v>0</v>
      </c>
      <c r="BS190" s="3264">
        <f t="shared" si="117"/>
        <v>0</v>
      </c>
      <c r="BT190" s="3317">
        <f t="shared" si="118"/>
        <v>0</v>
      </c>
    </row>
    <row r="191" spans="1:72">
      <c r="A191" s="3262"/>
      <c r="B191" s="3263"/>
      <c r="C191" s="3263"/>
      <c r="D191" s="3268"/>
      <c r="E191" s="3264">
        <f t="shared" si="119"/>
        <v>0</v>
      </c>
      <c r="F191" s="3265"/>
      <c r="G191" s="3266">
        <f t="shared" si="94"/>
        <v>0</v>
      </c>
      <c r="H191" s="3267">
        <f t="shared" si="95"/>
        <v>0</v>
      </c>
      <c r="I191" s="3275"/>
      <c r="J191" s="3275"/>
      <c r="K191" s="3275"/>
      <c r="L191" s="3275"/>
      <c r="M191" s="3275"/>
      <c r="N191" s="3275"/>
      <c r="O191" s="3275"/>
      <c r="P191" s="3275"/>
      <c r="Q191" s="3275"/>
      <c r="R191" s="3275"/>
      <c r="S191" s="3275"/>
      <c r="T191" s="3275"/>
      <c r="U191" s="3275"/>
      <c r="V191" s="3275"/>
      <c r="W191" s="3275"/>
      <c r="X191" s="3275"/>
      <c r="Y191" s="3275"/>
      <c r="Z191" s="3275"/>
      <c r="AA191" s="3275"/>
      <c r="AB191" s="3275"/>
      <c r="AC191" s="3264">
        <f t="shared" si="96"/>
        <v>0</v>
      </c>
      <c r="AD191" s="3285"/>
      <c r="AE191" s="3285"/>
      <c r="AF191" s="3285"/>
      <c r="AG191" s="3285"/>
      <c r="AH191" s="3285"/>
      <c r="AI191" s="3285"/>
      <c r="AJ191" s="3285"/>
      <c r="AK191" s="3285"/>
      <c r="AL191" s="3285"/>
      <c r="AM191" s="3285"/>
      <c r="AN191" s="3285"/>
      <c r="AO191" s="3285"/>
      <c r="AP191" s="3285"/>
      <c r="AQ191" s="3285"/>
      <c r="AR191" s="3285"/>
      <c r="AS191" s="3285"/>
      <c r="AT191" s="3295"/>
      <c r="AU191" s="3296"/>
      <c r="AV191" s="830">
        <f t="shared" si="120"/>
        <v>0</v>
      </c>
      <c r="AW191" s="830">
        <f t="shared" si="121"/>
        <v>0</v>
      </c>
      <c r="AX191" s="830">
        <f t="shared" si="122"/>
        <v>0</v>
      </c>
      <c r="AY191" s="3310">
        <f t="shared" si="97"/>
        <v>0</v>
      </c>
      <c r="AZ191" s="3264">
        <f t="shared" si="98"/>
        <v>0</v>
      </c>
      <c r="BA191" s="3264">
        <f t="shared" si="99"/>
        <v>0</v>
      </c>
      <c r="BB191" s="3264">
        <f t="shared" si="100"/>
        <v>0</v>
      </c>
      <c r="BC191" s="3264">
        <f t="shared" si="101"/>
        <v>0</v>
      </c>
      <c r="BD191" s="3264">
        <f t="shared" si="102"/>
        <v>0</v>
      </c>
      <c r="BE191" s="3264">
        <f t="shared" si="103"/>
        <v>0</v>
      </c>
      <c r="BF191" s="3264">
        <f t="shared" si="104"/>
        <v>0</v>
      </c>
      <c r="BG191" s="3264">
        <f t="shared" si="105"/>
        <v>0</v>
      </c>
      <c r="BH191" s="3264">
        <f t="shared" si="106"/>
        <v>0</v>
      </c>
      <c r="BI191" s="3264">
        <f t="shared" si="107"/>
        <v>0</v>
      </c>
      <c r="BJ191" s="3264">
        <f t="shared" si="108"/>
        <v>0</v>
      </c>
      <c r="BK191" s="3264">
        <f t="shared" si="109"/>
        <v>0</v>
      </c>
      <c r="BL191" s="3264">
        <f t="shared" si="110"/>
        <v>0</v>
      </c>
      <c r="BM191" s="3264">
        <f t="shared" si="111"/>
        <v>0</v>
      </c>
      <c r="BN191" s="3264">
        <f t="shared" si="112"/>
        <v>0</v>
      </c>
      <c r="BO191" s="3264">
        <f t="shared" si="113"/>
        <v>0</v>
      </c>
      <c r="BP191" s="3264">
        <f t="shared" si="114"/>
        <v>0</v>
      </c>
      <c r="BQ191" s="3264">
        <f t="shared" si="115"/>
        <v>0</v>
      </c>
      <c r="BR191" s="3264">
        <f t="shared" si="116"/>
        <v>0</v>
      </c>
      <c r="BS191" s="3264">
        <f t="shared" si="117"/>
        <v>0</v>
      </c>
      <c r="BT191" s="3317">
        <f t="shared" si="118"/>
        <v>0</v>
      </c>
    </row>
    <row r="192" spans="1:72">
      <c r="A192" s="3262"/>
      <c r="B192" s="3263"/>
      <c r="C192" s="3263"/>
      <c r="D192" s="3268"/>
      <c r="E192" s="3264">
        <f t="shared" si="119"/>
        <v>0</v>
      </c>
      <c r="F192" s="3265"/>
      <c r="G192" s="3266">
        <f t="shared" si="94"/>
        <v>0</v>
      </c>
      <c r="H192" s="3267">
        <f t="shared" si="95"/>
        <v>0</v>
      </c>
      <c r="I192" s="3275"/>
      <c r="J192" s="3275"/>
      <c r="K192" s="3275"/>
      <c r="L192" s="3275"/>
      <c r="M192" s="3275"/>
      <c r="N192" s="3275"/>
      <c r="O192" s="3275"/>
      <c r="P192" s="3275"/>
      <c r="Q192" s="3275"/>
      <c r="R192" s="3275"/>
      <c r="S192" s="3275"/>
      <c r="T192" s="3275"/>
      <c r="U192" s="3275"/>
      <c r="V192" s="3275"/>
      <c r="W192" s="3275"/>
      <c r="X192" s="3275"/>
      <c r="Y192" s="3275"/>
      <c r="Z192" s="3275"/>
      <c r="AA192" s="3275"/>
      <c r="AB192" s="3275"/>
      <c r="AC192" s="3264">
        <f t="shared" si="96"/>
        <v>0</v>
      </c>
      <c r="AD192" s="3285"/>
      <c r="AE192" s="3285"/>
      <c r="AF192" s="3285"/>
      <c r="AG192" s="3285"/>
      <c r="AH192" s="3285"/>
      <c r="AI192" s="3285"/>
      <c r="AJ192" s="3285"/>
      <c r="AK192" s="3285"/>
      <c r="AL192" s="3285"/>
      <c r="AM192" s="3285"/>
      <c r="AN192" s="3285"/>
      <c r="AO192" s="3285"/>
      <c r="AP192" s="3285"/>
      <c r="AQ192" s="3285"/>
      <c r="AR192" s="3285"/>
      <c r="AS192" s="3285"/>
      <c r="AT192" s="3295"/>
      <c r="AU192" s="3296"/>
      <c r="AV192" s="830">
        <f t="shared" si="120"/>
        <v>0</v>
      </c>
      <c r="AW192" s="830">
        <f t="shared" si="121"/>
        <v>0</v>
      </c>
      <c r="AX192" s="830">
        <f t="shared" si="122"/>
        <v>0</v>
      </c>
      <c r="AY192" s="3310">
        <f t="shared" si="97"/>
        <v>0</v>
      </c>
      <c r="AZ192" s="3264">
        <f t="shared" si="98"/>
        <v>0</v>
      </c>
      <c r="BA192" s="3264">
        <f t="shared" si="99"/>
        <v>0</v>
      </c>
      <c r="BB192" s="3264">
        <f t="shared" si="100"/>
        <v>0</v>
      </c>
      <c r="BC192" s="3264">
        <f t="shared" si="101"/>
        <v>0</v>
      </c>
      <c r="BD192" s="3264">
        <f t="shared" si="102"/>
        <v>0</v>
      </c>
      <c r="BE192" s="3264">
        <f t="shared" si="103"/>
        <v>0</v>
      </c>
      <c r="BF192" s="3264">
        <f t="shared" si="104"/>
        <v>0</v>
      </c>
      <c r="BG192" s="3264">
        <f t="shared" si="105"/>
        <v>0</v>
      </c>
      <c r="BH192" s="3264">
        <f t="shared" si="106"/>
        <v>0</v>
      </c>
      <c r="BI192" s="3264">
        <f t="shared" si="107"/>
        <v>0</v>
      </c>
      <c r="BJ192" s="3264">
        <f t="shared" si="108"/>
        <v>0</v>
      </c>
      <c r="BK192" s="3264">
        <f t="shared" si="109"/>
        <v>0</v>
      </c>
      <c r="BL192" s="3264">
        <f t="shared" si="110"/>
        <v>0</v>
      </c>
      <c r="BM192" s="3264">
        <f t="shared" si="111"/>
        <v>0</v>
      </c>
      <c r="BN192" s="3264">
        <f t="shared" si="112"/>
        <v>0</v>
      </c>
      <c r="BO192" s="3264">
        <f t="shared" si="113"/>
        <v>0</v>
      </c>
      <c r="BP192" s="3264">
        <f t="shared" si="114"/>
        <v>0</v>
      </c>
      <c r="BQ192" s="3264">
        <f t="shared" si="115"/>
        <v>0</v>
      </c>
      <c r="BR192" s="3264">
        <f t="shared" si="116"/>
        <v>0</v>
      </c>
      <c r="BS192" s="3264">
        <f t="shared" si="117"/>
        <v>0</v>
      </c>
      <c r="BT192" s="3317">
        <f t="shared" si="118"/>
        <v>0</v>
      </c>
    </row>
    <row r="193" spans="1:72">
      <c r="A193" s="3262"/>
      <c r="B193" s="3263"/>
      <c r="C193" s="3263"/>
      <c r="D193" s="3268"/>
      <c r="E193" s="3264">
        <f t="shared" si="119"/>
        <v>0</v>
      </c>
      <c r="F193" s="3265"/>
      <c r="G193" s="3266">
        <f t="shared" si="94"/>
        <v>0</v>
      </c>
      <c r="H193" s="3267">
        <f t="shared" si="95"/>
        <v>0</v>
      </c>
      <c r="I193" s="3275"/>
      <c r="J193" s="3275"/>
      <c r="K193" s="3275"/>
      <c r="L193" s="3275"/>
      <c r="M193" s="3275"/>
      <c r="N193" s="3275"/>
      <c r="O193" s="3275"/>
      <c r="P193" s="3275"/>
      <c r="Q193" s="3275"/>
      <c r="R193" s="3275"/>
      <c r="S193" s="3275"/>
      <c r="T193" s="3275"/>
      <c r="U193" s="3275"/>
      <c r="V193" s="3275"/>
      <c r="W193" s="3275"/>
      <c r="X193" s="3275"/>
      <c r="Y193" s="3275"/>
      <c r="Z193" s="3275"/>
      <c r="AA193" s="3275"/>
      <c r="AB193" s="3275"/>
      <c r="AC193" s="3264">
        <f t="shared" si="96"/>
        <v>0</v>
      </c>
      <c r="AD193" s="3285"/>
      <c r="AE193" s="3285"/>
      <c r="AF193" s="3285"/>
      <c r="AG193" s="3285"/>
      <c r="AH193" s="3285"/>
      <c r="AI193" s="3285"/>
      <c r="AJ193" s="3285"/>
      <c r="AK193" s="3285"/>
      <c r="AL193" s="3285"/>
      <c r="AM193" s="3285"/>
      <c r="AN193" s="3285"/>
      <c r="AO193" s="3285"/>
      <c r="AP193" s="3285"/>
      <c r="AQ193" s="3285"/>
      <c r="AR193" s="3285"/>
      <c r="AS193" s="3285"/>
      <c r="AT193" s="3295"/>
      <c r="AU193" s="3296"/>
      <c r="AV193" s="830">
        <f t="shared" si="120"/>
        <v>0</v>
      </c>
      <c r="AW193" s="830">
        <f t="shared" si="121"/>
        <v>0</v>
      </c>
      <c r="AX193" s="830">
        <f t="shared" si="122"/>
        <v>0</v>
      </c>
      <c r="AY193" s="3310">
        <f t="shared" si="97"/>
        <v>0</v>
      </c>
      <c r="AZ193" s="3264">
        <f t="shared" si="98"/>
        <v>0</v>
      </c>
      <c r="BA193" s="3264">
        <f t="shared" si="99"/>
        <v>0</v>
      </c>
      <c r="BB193" s="3264">
        <f t="shared" si="100"/>
        <v>0</v>
      </c>
      <c r="BC193" s="3264">
        <f t="shared" si="101"/>
        <v>0</v>
      </c>
      <c r="BD193" s="3264">
        <f t="shared" si="102"/>
        <v>0</v>
      </c>
      <c r="BE193" s="3264">
        <f t="shared" si="103"/>
        <v>0</v>
      </c>
      <c r="BF193" s="3264">
        <f t="shared" si="104"/>
        <v>0</v>
      </c>
      <c r="BG193" s="3264">
        <f t="shared" si="105"/>
        <v>0</v>
      </c>
      <c r="BH193" s="3264">
        <f t="shared" si="106"/>
        <v>0</v>
      </c>
      <c r="BI193" s="3264">
        <f t="shared" si="107"/>
        <v>0</v>
      </c>
      <c r="BJ193" s="3264">
        <f t="shared" si="108"/>
        <v>0</v>
      </c>
      <c r="BK193" s="3264">
        <f t="shared" si="109"/>
        <v>0</v>
      </c>
      <c r="BL193" s="3264">
        <f t="shared" si="110"/>
        <v>0</v>
      </c>
      <c r="BM193" s="3264">
        <f t="shared" si="111"/>
        <v>0</v>
      </c>
      <c r="BN193" s="3264">
        <f t="shared" si="112"/>
        <v>0</v>
      </c>
      <c r="BO193" s="3264">
        <f t="shared" si="113"/>
        <v>0</v>
      </c>
      <c r="BP193" s="3264">
        <f t="shared" si="114"/>
        <v>0</v>
      </c>
      <c r="BQ193" s="3264">
        <f t="shared" si="115"/>
        <v>0</v>
      </c>
      <c r="BR193" s="3264">
        <f t="shared" si="116"/>
        <v>0</v>
      </c>
      <c r="BS193" s="3264">
        <f t="shared" si="117"/>
        <v>0</v>
      </c>
      <c r="BT193" s="3317">
        <f t="shared" si="118"/>
        <v>0</v>
      </c>
    </row>
    <row r="194" spans="1:72">
      <c r="A194" s="3262"/>
      <c r="B194" s="3263"/>
      <c r="C194" s="3263"/>
      <c r="D194" s="3268"/>
      <c r="E194" s="3264">
        <f t="shared" si="119"/>
        <v>0</v>
      </c>
      <c r="F194" s="3265"/>
      <c r="G194" s="3266">
        <f t="shared" si="94"/>
        <v>0</v>
      </c>
      <c r="H194" s="3267">
        <f t="shared" si="95"/>
        <v>0</v>
      </c>
      <c r="I194" s="3275"/>
      <c r="J194" s="3275"/>
      <c r="K194" s="3275"/>
      <c r="L194" s="3275"/>
      <c r="M194" s="3275"/>
      <c r="N194" s="3275"/>
      <c r="O194" s="3275"/>
      <c r="P194" s="3275"/>
      <c r="Q194" s="3275"/>
      <c r="R194" s="3275"/>
      <c r="S194" s="3275"/>
      <c r="T194" s="3275"/>
      <c r="U194" s="3275"/>
      <c r="V194" s="3275"/>
      <c r="W194" s="3275"/>
      <c r="X194" s="3275"/>
      <c r="Y194" s="3275"/>
      <c r="Z194" s="3275"/>
      <c r="AA194" s="3275"/>
      <c r="AB194" s="3275"/>
      <c r="AC194" s="3264">
        <f t="shared" si="96"/>
        <v>0</v>
      </c>
      <c r="AD194" s="3285"/>
      <c r="AE194" s="3285"/>
      <c r="AF194" s="3285"/>
      <c r="AG194" s="3285"/>
      <c r="AH194" s="3285"/>
      <c r="AI194" s="3285"/>
      <c r="AJ194" s="3285"/>
      <c r="AK194" s="3285"/>
      <c r="AL194" s="3285"/>
      <c r="AM194" s="3285"/>
      <c r="AN194" s="3285"/>
      <c r="AO194" s="3285"/>
      <c r="AP194" s="3285"/>
      <c r="AQ194" s="3285"/>
      <c r="AR194" s="3285"/>
      <c r="AS194" s="3285"/>
      <c r="AT194" s="3295"/>
      <c r="AU194" s="3296"/>
      <c r="AV194" s="830">
        <f t="shared" si="120"/>
        <v>0</v>
      </c>
      <c r="AW194" s="830">
        <f t="shared" si="121"/>
        <v>0</v>
      </c>
      <c r="AX194" s="830">
        <f t="shared" si="122"/>
        <v>0</v>
      </c>
      <c r="AY194" s="3310">
        <f t="shared" si="97"/>
        <v>0</v>
      </c>
      <c r="AZ194" s="3264">
        <f t="shared" si="98"/>
        <v>0</v>
      </c>
      <c r="BA194" s="3264">
        <f t="shared" si="99"/>
        <v>0</v>
      </c>
      <c r="BB194" s="3264">
        <f t="shared" si="100"/>
        <v>0</v>
      </c>
      <c r="BC194" s="3264">
        <f t="shared" si="101"/>
        <v>0</v>
      </c>
      <c r="BD194" s="3264">
        <f t="shared" si="102"/>
        <v>0</v>
      </c>
      <c r="BE194" s="3264">
        <f t="shared" si="103"/>
        <v>0</v>
      </c>
      <c r="BF194" s="3264">
        <f t="shared" si="104"/>
        <v>0</v>
      </c>
      <c r="BG194" s="3264">
        <f t="shared" si="105"/>
        <v>0</v>
      </c>
      <c r="BH194" s="3264">
        <f t="shared" si="106"/>
        <v>0</v>
      </c>
      <c r="BI194" s="3264">
        <f t="shared" si="107"/>
        <v>0</v>
      </c>
      <c r="BJ194" s="3264">
        <f t="shared" si="108"/>
        <v>0</v>
      </c>
      <c r="BK194" s="3264">
        <f t="shared" si="109"/>
        <v>0</v>
      </c>
      <c r="BL194" s="3264">
        <f t="shared" si="110"/>
        <v>0</v>
      </c>
      <c r="BM194" s="3264">
        <f t="shared" si="111"/>
        <v>0</v>
      </c>
      <c r="BN194" s="3264">
        <f t="shared" si="112"/>
        <v>0</v>
      </c>
      <c r="BO194" s="3264">
        <f t="shared" si="113"/>
        <v>0</v>
      </c>
      <c r="BP194" s="3264">
        <f t="shared" si="114"/>
        <v>0</v>
      </c>
      <c r="BQ194" s="3264">
        <f t="shared" si="115"/>
        <v>0</v>
      </c>
      <c r="BR194" s="3264">
        <f t="shared" si="116"/>
        <v>0</v>
      </c>
      <c r="BS194" s="3264">
        <f t="shared" si="117"/>
        <v>0</v>
      </c>
      <c r="BT194" s="3317">
        <f t="shared" si="118"/>
        <v>0</v>
      </c>
    </row>
    <row r="195" spans="1:72">
      <c r="A195" s="3262"/>
      <c r="B195" s="3263"/>
      <c r="C195" s="3263"/>
      <c r="D195" s="3268"/>
      <c r="E195" s="3264">
        <f t="shared" si="119"/>
        <v>0</v>
      </c>
      <c r="F195" s="3265"/>
      <c r="G195" s="3266">
        <f t="shared" si="94"/>
        <v>0</v>
      </c>
      <c r="H195" s="3267">
        <f t="shared" si="95"/>
        <v>0</v>
      </c>
      <c r="I195" s="3275"/>
      <c r="J195" s="3275"/>
      <c r="K195" s="3275"/>
      <c r="L195" s="3275"/>
      <c r="M195" s="3275"/>
      <c r="N195" s="3275"/>
      <c r="O195" s="3275"/>
      <c r="P195" s="3275"/>
      <c r="Q195" s="3275"/>
      <c r="R195" s="3275"/>
      <c r="S195" s="3275"/>
      <c r="T195" s="3275"/>
      <c r="U195" s="3275"/>
      <c r="V195" s="3275"/>
      <c r="W195" s="3275"/>
      <c r="X195" s="3275"/>
      <c r="Y195" s="3275"/>
      <c r="Z195" s="3275"/>
      <c r="AA195" s="3275"/>
      <c r="AB195" s="3275"/>
      <c r="AC195" s="3264">
        <f t="shared" si="96"/>
        <v>0</v>
      </c>
      <c r="AD195" s="3285"/>
      <c r="AE195" s="3285"/>
      <c r="AF195" s="3285"/>
      <c r="AG195" s="3285"/>
      <c r="AH195" s="3285"/>
      <c r="AI195" s="3285"/>
      <c r="AJ195" s="3285"/>
      <c r="AK195" s="3285"/>
      <c r="AL195" s="3285"/>
      <c r="AM195" s="3285"/>
      <c r="AN195" s="3285"/>
      <c r="AO195" s="3285"/>
      <c r="AP195" s="3285"/>
      <c r="AQ195" s="3285"/>
      <c r="AR195" s="3285"/>
      <c r="AS195" s="3285"/>
      <c r="AT195" s="3295"/>
      <c r="AU195" s="3296"/>
      <c r="AV195" s="830">
        <f t="shared" si="120"/>
        <v>0</v>
      </c>
      <c r="AW195" s="830">
        <f t="shared" si="121"/>
        <v>0</v>
      </c>
      <c r="AX195" s="830">
        <f t="shared" si="122"/>
        <v>0</v>
      </c>
      <c r="AY195" s="3310">
        <f t="shared" si="97"/>
        <v>0</v>
      </c>
      <c r="AZ195" s="3264">
        <f t="shared" si="98"/>
        <v>0</v>
      </c>
      <c r="BA195" s="3264">
        <f t="shared" si="99"/>
        <v>0</v>
      </c>
      <c r="BB195" s="3264">
        <f t="shared" si="100"/>
        <v>0</v>
      </c>
      <c r="BC195" s="3264">
        <f t="shared" si="101"/>
        <v>0</v>
      </c>
      <c r="BD195" s="3264">
        <f t="shared" si="102"/>
        <v>0</v>
      </c>
      <c r="BE195" s="3264">
        <f t="shared" si="103"/>
        <v>0</v>
      </c>
      <c r="BF195" s="3264">
        <f t="shared" si="104"/>
        <v>0</v>
      </c>
      <c r="BG195" s="3264">
        <f t="shared" si="105"/>
        <v>0</v>
      </c>
      <c r="BH195" s="3264">
        <f t="shared" si="106"/>
        <v>0</v>
      </c>
      <c r="BI195" s="3264">
        <f t="shared" si="107"/>
        <v>0</v>
      </c>
      <c r="BJ195" s="3264">
        <f t="shared" si="108"/>
        <v>0</v>
      </c>
      <c r="BK195" s="3264">
        <f t="shared" si="109"/>
        <v>0</v>
      </c>
      <c r="BL195" s="3264">
        <f t="shared" si="110"/>
        <v>0</v>
      </c>
      <c r="BM195" s="3264">
        <f t="shared" si="111"/>
        <v>0</v>
      </c>
      <c r="BN195" s="3264">
        <f t="shared" si="112"/>
        <v>0</v>
      </c>
      <c r="BO195" s="3264">
        <f t="shared" si="113"/>
        <v>0</v>
      </c>
      <c r="BP195" s="3264">
        <f t="shared" si="114"/>
        <v>0</v>
      </c>
      <c r="BQ195" s="3264">
        <f t="shared" si="115"/>
        <v>0</v>
      </c>
      <c r="BR195" s="3264">
        <f t="shared" si="116"/>
        <v>0</v>
      </c>
      <c r="BS195" s="3264">
        <f t="shared" si="117"/>
        <v>0</v>
      </c>
      <c r="BT195" s="3317">
        <f t="shared" si="118"/>
        <v>0</v>
      </c>
    </row>
    <row r="196" spans="1:72">
      <c r="A196" s="3262"/>
      <c r="B196" s="3263"/>
      <c r="C196" s="3263"/>
      <c r="D196" s="3268"/>
      <c r="E196" s="3264">
        <f t="shared" si="119"/>
        <v>0</v>
      </c>
      <c r="F196" s="3265"/>
      <c r="G196" s="3266">
        <f t="shared" si="94"/>
        <v>0</v>
      </c>
      <c r="H196" s="3267">
        <f t="shared" si="95"/>
        <v>0</v>
      </c>
      <c r="I196" s="3275"/>
      <c r="J196" s="3275"/>
      <c r="K196" s="3275"/>
      <c r="L196" s="3275"/>
      <c r="M196" s="3275"/>
      <c r="N196" s="3275"/>
      <c r="O196" s="3275"/>
      <c r="P196" s="3275"/>
      <c r="Q196" s="3275"/>
      <c r="R196" s="3275"/>
      <c r="S196" s="3275"/>
      <c r="T196" s="3275"/>
      <c r="U196" s="3275"/>
      <c r="V196" s="3275"/>
      <c r="W196" s="3275"/>
      <c r="X196" s="3275"/>
      <c r="Y196" s="3275"/>
      <c r="Z196" s="3275"/>
      <c r="AA196" s="3275"/>
      <c r="AB196" s="3275"/>
      <c r="AC196" s="3264">
        <f t="shared" si="96"/>
        <v>0</v>
      </c>
      <c r="AD196" s="3285"/>
      <c r="AE196" s="3285"/>
      <c r="AF196" s="3285"/>
      <c r="AG196" s="3285"/>
      <c r="AH196" s="3285"/>
      <c r="AI196" s="3285"/>
      <c r="AJ196" s="3285"/>
      <c r="AK196" s="3285"/>
      <c r="AL196" s="3285"/>
      <c r="AM196" s="3285"/>
      <c r="AN196" s="3285"/>
      <c r="AO196" s="3285"/>
      <c r="AP196" s="3285"/>
      <c r="AQ196" s="3285"/>
      <c r="AR196" s="3285"/>
      <c r="AS196" s="3285"/>
      <c r="AT196" s="3295"/>
      <c r="AU196" s="3296"/>
      <c r="AV196" s="830">
        <f t="shared" si="120"/>
        <v>0</v>
      </c>
      <c r="AW196" s="830">
        <f t="shared" si="121"/>
        <v>0</v>
      </c>
      <c r="AX196" s="830">
        <f t="shared" si="122"/>
        <v>0</v>
      </c>
      <c r="AY196" s="3310">
        <f t="shared" si="97"/>
        <v>0</v>
      </c>
      <c r="AZ196" s="3264">
        <f t="shared" si="98"/>
        <v>0</v>
      </c>
      <c r="BA196" s="3264">
        <f t="shared" si="99"/>
        <v>0</v>
      </c>
      <c r="BB196" s="3264">
        <f t="shared" si="100"/>
        <v>0</v>
      </c>
      <c r="BC196" s="3264">
        <f t="shared" si="101"/>
        <v>0</v>
      </c>
      <c r="BD196" s="3264">
        <f t="shared" si="102"/>
        <v>0</v>
      </c>
      <c r="BE196" s="3264">
        <f t="shared" si="103"/>
        <v>0</v>
      </c>
      <c r="BF196" s="3264">
        <f t="shared" si="104"/>
        <v>0</v>
      </c>
      <c r="BG196" s="3264">
        <f t="shared" si="105"/>
        <v>0</v>
      </c>
      <c r="BH196" s="3264">
        <f t="shared" si="106"/>
        <v>0</v>
      </c>
      <c r="BI196" s="3264">
        <f t="shared" si="107"/>
        <v>0</v>
      </c>
      <c r="BJ196" s="3264">
        <f t="shared" si="108"/>
        <v>0</v>
      </c>
      <c r="BK196" s="3264">
        <f t="shared" si="109"/>
        <v>0</v>
      </c>
      <c r="BL196" s="3264">
        <f t="shared" si="110"/>
        <v>0</v>
      </c>
      <c r="BM196" s="3264">
        <f t="shared" si="111"/>
        <v>0</v>
      </c>
      <c r="BN196" s="3264">
        <f t="shared" si="112"/>
        <v>0</v>
      </c>
      <c r="BO196" s="3264">
        <f t="shared" si="113"/>
        <v>0</v>
      </c>
      <c r="BP196" s="3264">
        <f t="shared" si="114"/>
        <v>0</v>
      </c>
      <c r="BQ196" s="3264">
        <f t="shared" si="115"/>
        <v>0</v>
      </c>
      <c r="BR196" s="3264">
        <f t="shared" si="116"/>
        <v>0</v>
      </c>
      <c r="BS196" s="3264">
        <f t="shared" si="117"/>
        <v>0</v>
      </c>
      <c r="BT196" s="3317">
        <f t="shared" si="118"/>
        <v>0</v>
      </c>
    </row>
    <row r="197" spans="1:72">
      <c r="A197" s="3262"/>
      <c r="B197" s="3263"/>
      <c r="C197" s="3263"/>
      <c r="D197" s="3268"/>
      <c r="E197" s="3264">
        <f t="shared" si="119"/>
        <v>0</v>
      </c>
      <c r="F197" s="3265"/>
      <c r="G197" s="3266">
        <f t="shared" si="94"/>
        <v>0</v>
      </c>
      <c r="H197" s="3267">
        <f t="shared" si="95"/>
        <v>0</v>
      </c>
      <c r="I197" s="3275"/>
      <c r="J197" s="3275"/>
      <c r="K197" s="3275"/>
      <c r="L197" s="3275"/>
      <c r="M197" s="3275"/>
      <c r="N197" s="3275"/>
      <c r="O197" s="3275"/>
      <c r="P197" s="3275"/>
      <c r="Q197" s="3275"/>
      <c r="R197" s="3275"/>
      <c r="S197" s="3275"/>
      <c r="T197" s="3275"/>
      <c r="U197" s="3275"/>
      <c r="V197" s="3275"/>
      <c r="W197" s="3275"/>
      <c r="X197" s="3275"/>
      <c r="Y197" s="3275"/>
      <c r="Z197" s="3275"/>
      <c r="AA197" s="3275"/>
      <c r="AB197" s="3275"/>
      <c r="AC197" s="3264">
        <f t="shared" si="96"/>
        <v>0</v>
      </c>
      <c r="AD197" s="3285"/>
      <c r="AE197" s="3285"/>
      <c r="AF197" s="3285"/>
      <c r="AG197" s="3285"/>
      <c r="AH197" s="3285"/>
      <c r="AI197" s="3285"/>
      <c r="AJ197" s="3285"/>
      <c r="AK197" s="3285"/>
      <c r="AL197" s="3285"/>
      <c r="AM197" s="3285"/>
      <c r="AN197" s="3285"/>
      <c r="AO197" s="3285"/>
      <c r="AP197" s="3285"/>
      <c r="AQ197" s="3285"/>
      <c r="AR197" s="3285"/>
      <c r="AS197" s="3285"/>
      <c r="AT197" s="3295"/>
      <c r="AU197" s="3296"/>
      <c r="AV197" s="830">
        <f t="shared" si="120"/>
        <v>0</v>
      </c>
      <c r="AW197" s="830">
        <f t="shared" si="121"/>
        <v>0</v>
      </c>
      <c r="AX197" s="830">
        <f t="shared" si="122"/>
        <v>0</v>
      </c>
      <c r="AY197" s="3310">
        <f t="shared" si="97"/>
        <v>0</v>
      </c>
      <c r="AZ197" s="3264">
        <f t="shared" si="98"/>
        <v>0</v>
      </c>
      <c r="BA197" s="3264">
        <f t="shared" si="99"/>
        <v>0</v>
      </c>
      <c r="BB197" s="3264">
        <f t="shared" si="100"/>
        <v>0</v>
      </c>
      <c r="BC197" s="3264">
        <f t="shared" si="101"/>
        <v>0</v>
      </c>
      <c r="BD197" s="3264">
        <f t="shared" si="102"/>
        <v>0</v>
      </c>
      <c r="BE197" s="3264">
        <f t="shared" si="103"/>
        <v>0</v>
      </c>
      <c r="BF197" s="3264">
        <f t="shared" si="104"/>
        <v>0</v>
      </c>
      <c r="BG197" s="3264">
        <f t="shared" si="105"/>
        <v>0</v>
      </c>
      <c r="BH197" s="3264">
        <f t="shared" si="106"/>
        <v>0</v>
      </c>
      <c r="BI197" s="3264">
        <f t="shared" si="107"/>
        <v>0</v>
      </c>
      <c r="BJ197" s="3264">
        <f t="shared" si="108"/>
        <v>0</v>
      </c>
      <c r="BK197" s="3264">
        <f t="shared" si="109"/>
        <v>0</v>
      </c>
      <c r="BL197" s="3264">
        <f t="shared" si="110"/>
        <v>0</v>
      </c>
      <c r="BM197" s="3264">
        <f t="shared" si="111"/>
        <v>0</v>
      </c>
      <c r="BN197" s="3264">
        <f t="shared" si="112"/>
        <v>0</v>
      </c>
      <c r="BO197" s="3264">
        <f t="shared" si="113"/>
        <v>0</v>
      </c>
      <c r="BP197" s="3264">
        <f t="shared" si="114"/>
        <v>0</v>
      </c>
      <c r="BQ197" s="3264">
        <f t="shared" si="115"/>
        <v>0</v>
      </c>
      <c r="BR197" s="3264">
        <f t="shared" si="116"/>
        <v>0</v>
      </c>
      <c r="BS197" s="3264">
        <f t="shared" si="117"/>
        <v>0</v>
      </c>
      <c r="BT197" s="3317">
        <f t="shared" si="118"/>
        <v>0</v>
      </c>
    </row>
    <row r="198" spans="1:72">
      <c r="A198" s="3262"/>
      <c r="B198" s="3263"/>
      <c r="C198" s="3263"/>
      <c r="D198" s="3268"/>
      <c r="E198" s="3264">
        <f t="shared" si="119"/>
        <v>0</v>
      </c>
      <c r="F198" s="3265"/>
      <c r="G198" s="3266">
        <f t="shared" si="94"/>
        <v>0</v>
      </c>
      <c r="H198" s="3267">
        <f t="shared" si="95"/>
        <v>0</v>
      </c>
      <c r="I198" s="3275"/>
      <c r="J198" s="3275"/>
      <c r="K198" s="3275"/>
      <c r="L198" s="3275"/>
      <c r="M198" s="3275"/>
      <c r="N198" s="3275"/>
      <c r="O198" s="3275"/>
      <c r="P198" s="3275"/>
      <c r="Q198" s="3275"/>
      <c r="R198" s="3275"/>
      <c r="S198" s="3275"/>
      <c r="T198" s="3275"/>
      <c r="U198" s="3275"/>
      <c r="V198" s="3275"/>
      <c r="W198" s="3275"/>
      <c r="X198" s="3275"/>
      <c r="Y198" s="3275"/>
      <c r="Z198" s="3275"/>
      <c r="AA198" s="3275"/>
      <c r="AB198" s="3275"/>
      <c r="AC198" s="3264">
        <f t="shared" si="96"/>
        <v>0</v>
      </c>
      <c r="AD198" s="3285"/>
      <c r="AE198" s="3285"/>
      <c r="AF198" s="3285"/>
      <c r="AG198" s="3285"/>
      <c r="AH198" s="3285"/>
      <c r="AI198" s="3285"/>
      <c r="AJ198" s="3285"/>
      <c r="AK198" s="3285"/>
      <c r="AL198" s="3285"/>
      <c r="AM198" s="3285"/>
      <c r="AN198" s="3285"/>
      <c r="AO198" s="3285"/>
      <c r="AP198" s="3285"/>
      <c r="AQ198" s="3285"/>
      <c r="AR198" s="3285"/>
      <c r="AS198" s="3285"/>
      <c r="AT198" s="3295"/>
      <c r="AU198" s="3296"/>
      <c r="AV198" s="830">
        <f t="shared" si="120"/>
        <v>0</v>
      </c>
      <c r="AW198" s="830">
        <f t="shared" si="121"/>
        <v>0</v>
      </c>
      <c r="AX198" s="830">
        <f t="shared" si="122"/>
        <v>0</v>
      </c>
      <c r="AY198" s="3310">
        <f t="shared" si="97"/>
        <v>0</v>
      </c>
      <c r="AZ198" s="3264">
        <f t="shared" si="98"/>
        <v>0</v>
      </c>
      <c r="BA198" s="3264">
        <f t="shared" si="99"/>
        <v>0</v>
      </c>
      <c r="BB198" s="3264">
        <f t="shared" si="100"/>
        <v>0</v>
      </c>
      <c r="BC198" s="3264">
        <f t="shared" si="101"/>
        <v>0</v>
      </c>
      <c r="BD198" s="3264">
        <f t="shared" si="102"/>
        <v>0</v>
      </c>
      <c r="BE198" s="3264">
        <f t="shared" si="103"/>
        <v>0</v>
      </c>
      <c r="BF198" s="3264">
        <f t="shared" si="104"/>
        <v>0</v>
      </c>
      <c r="BG198" s="3264">
        <f t="shared" si="105"/>
        <v>0</v>
      </c>
      <c r="BH198" s="3264">
        <f t="shared" si="106"/>
        <v>0</v>
      </c>
      <c r="BI198" s="3264">
        <f t="shared" si="107"/>
        <v>0</v>
      </c>
      <c r="BJ198" s="3264">
        <f t="shared" si="108"/>
        <v>0</v>
      </c>
      <c r="BK198" s="3264">
        <f t="shared" si="109"/>
        <v>0</v>
      </c>
      <c r="BL198" s="3264">
        <f t="shared" si="110"/>
        <v>0</v>
      </c>
      <c r="BM198" s="3264">
        <f t="shared" si="111"/>
        <v>0</v>
      </c>
      <c r="BN198" s="3264">
        <f t="shared" si="112"/>
        <v>0</v>
      </c>
      <c r="BO198" s="3264">
        <f t="shared" si="113"/>
        <v>0</v>
      </c>
      <c r="BP198" s="3264">
        <f t="shared" si="114"/>
        <v>0</v>
      </c>
      <c r="BQ198" s="3264">
        <f t="shared" si="115"/>
        <v>0</v>
      </c>
      <c r="BR198" s="3264">
        <f t="shared" si="116"/>
        <v>0</v>
      </c>
      <c r="BS198" s="3264">
        <f t="shared" si="117"/>
        <v>0</v>
      </c>
      <c r="BT198" s="3317">
        <f t="shared" si="118"/>
        <v>0</v>
      </c>
    </row>
    <row r="199" spans="1:72">
      <c r="A199" s="3262"/>
      <c r="B199" s="3263"/>
      <c r="C199" s="3263"/>
      <c r="D199" s="3268"/>
      <c r="E199" s="3264">
        <f t="shared" si="119"/>
        <v>0</v>
      </c>
      <c r="F199" s="3265"/>
      <c r="G199" s="3266">
        <f t="shared" si="94"/>
        <v>0</v>
      </c>
      <c r="H199" s="3267">
        <f t="shared" si="95"/>
        <v>0</v>
      </c>
      <c r="I199" s="3275"/>
      <c r="J199" s="3275"/>
      <c r="K199" s="3275"/>
      <c r="L199" s="3275"/>
      <c r="M199" s="3275"/>
      <c r="N199" s="3275"/>
      <c r="O199" s="3275"/>
      <c r="P199" s="3275"/>
      <c r="Q199" s="3275"/>
      <c r="R199" s="3275"/>
      <c r="S199" s="3275"/>
      <c r="T199" s="3275"/>
      <c r="U199" s="3275"/>
      <c r="V199" s="3275"/>
      <c r="W199" s="3275"/>
      <c r="X199" s="3275"/>
      <c r="Y199" s="3275"/>
      <c r="Z199" s="3275"/>
      <c r="AA199" s="3275"/>
      <c r="AB199" s="3275"/>
      <c r="AC199" s="3264">
        <f t="shared" si="96"/>
        <v>0</v>
      </c>
      <c r="AD199" s="3285"/>
      <c r="AE199" s="3285"/>
      <c r="AF199" s="3285"/>
      <c r="AG199" s="3285"/>
      <c r="AH199" s="3285"/>
      <c r="AI199" s="3285"/>
      <c r="AJ199" s="3285"/>
      <c r="AK199" s="3285"/>
      <c r="AL199" s="3285"/>
      <c r="AM199" s="3285"/>
      <c r="AN199" s="3285"/>
      <c r="AO199" s="3285"/>
      <c r="AP199" s="3285"/>
      <c r="AQ199" s="3285"/>
      <c r="AR199" s="3285"/>
      <c r="AS199" s="3285"/>
      <c r="AT199" s="3295"/>
      <c r="AU199" s="3296"/>
      <c r="AV199" s="830">
        <f t="shared" si="120"/>
        <v>0</v>
      </c>
      <c r="AW199" s="830">
        <f t="shared" si="121"/>
        <v>0</v>
      </c>
      <c r="AX199" s="830">
        <f t="shared" si="122"/>
        <v>0</v>
      </c>
      <c r="AY199" s="3310">
        <f t="shared" si="97"/>
        <v>0</v>
      </c>
      <c r="AZ199" s="3264">
        <f t="shared" si="98"/>
        <v>0</v>
      </c>
      <c r="BA199" s="3264">
        <f t="shared" si="99"/>
        <v>0</v>
      </c>
      <c r="BB199" s="3264">
        <f t="shared" si="100"/>
        <v>0</v>
      </c>
      <c r="BC199" s="3264">
        <f t="shared" si="101"/>
        <v>0</v>
      </c>
      <c r="BD199" s="3264">
        <f t="shared" si="102"/>
        <v>0</v>
      </c>
      <c r="BE199" s="3264">
        <f t="shared" si="103"/>
        <v>0</v>
      </c>
      <c r="BF199" s="3264">
        <f t="shared" si="104"/>
        <v>0</v>
      </c>
      <c r="BG199" s="3264">
        <f t="shared" si="105"/>
        <v>0</v>
      </c>
      <c r="BH199" s="3264">
        <f t="shared" si="106"/>
        <v>0</v>
      </c>
      <c r="BI199" s="3264">
        <f t="shared" si="107"/>
        <v>0</v>
      </c>
      <c r="BJ199" s="3264">
        <f t="shared" si="108"/>
        <v>0</v>
      </c>
      <c r="BK199" s="3264">
        <f t="shared" si="109"/>
        <v>0</v>
      </c>
      <c r="BL199" s="3264">
        <f t="shared" si="110"/>
        <v>0</v>
      </c>
      <c r="BM199" s="3264">
        <f t="shared" si="111"/>
        <v>0</v>
      </c>
      <c r="BN199" s="3264">
        <f t="shared" si="112"/>
        <v>0</v>
      </c>
      <c r="BO199" s="3264">
        <f t="shared" si="113"/>
        <v>0</v>
      </c>
      <c r="BP199" s="3264">
        <f t="shared" si="114"/>
        <v>0</v>
      </c>
      <c r="BQ199" s="3264">
        <f t="shared" si="115"/>
        <v>0</v>
      </c>
      <c r="BR199" s="3264">
        <f t="shared" si="116"/>
        <v>0</v>
      </c>
      <c r="BS199" s="3264">
        <f t="shared" si="117"/>
        <v>0</v>
      </c>
      <c r="BT199" s="3317">
        <f t="shared" si="118"/>
        <v>0</v>
      </c>
    </row>
    <row r="200" spans="1:72">
      <c r="A200" s="3262"/>
      <c r="B200" s="3263"/>
      <c r="C200" s="3263"/>
      <c r="D200" s="3268"/>
      <c r="E200" s="3264">
        <f t="shared" si="119"/>
        <v>0</v>
      </c>
      <c r="F200" s="3265"/>
      <c r="G200" s="3266">
        <f t="shared" si="94"/>
        <v>0</v>
      </c>
      <c r="H200" s="3267">
        <f t="shared" si="95"/>
        <v>0</v>
      </c>
      <c r="I200" s="3275"/>
      <c r="J200" s="3275"/>
      <c r="K200" s="3275"/>
      <c r="L200" s="3275"/>
      <c r="M200" s="3275"/>
      <c r="N200" s="3275"/>
      <c r="O200" s="3275"/>
      <c r="P200" s="3275"/>
      <c r="Q200" s="3275"/>
      <c r="R200" s="3275"/>
      <c r="S200" s="3275"/>
      <c r="T200" s="3275"/>
      <c r="U200" s="3275"/>
      <c r="V200" s="3275"/>
      <c r="W200" s="3275"/>
      <c r="X200" s="3275"/>
      <c r="Y200" s="3275"/>
      <c r="Z200" s="3275"/>
      <c r="AA200" s="3275"/>
      <c r="AB200" s="3275"/>
      <c r="AC200" s="3264">
        <f t="shared" si="96"/>
        <v>0</v>
      </c>
      <c r="AD200" s="3285"/>
      <c r="AE200" s="3285"/>
      <c r="AF200" s="3285"/>
      <c r="AG200" s="3285"/>
      <c r="AH200" s="3285"/>
      <c r="AI200" s="3285"/>
      <c r="AJ200" s="3285"/>
      <c r="AK200" s="3285"/>
      <c r="AL200" s="3285"/>
      <c r="AM200" s="3285"/>
      <c r="AN200" s="3285"/>
      <c r="AO200" s="3285"/>
      <c r="AP200" s="3285"/>
      <c r="AQ200" s="3285"/>
      <c r="AR200" s="3285"/>
      <c r="AS200" s="3285"/>
      <c r="AT200" s="3295"/>
      <c r="AU200" s="3296"/>
      <c r="AV200" s="830">
        <f t="shared" si="120"/>
        <v>0</v>
      </c>
      <c r="AW200" s="830">
        <f t="shared" si="121"/>
        <v>0</v>
      </c>
      <c r="AX200" s="830">
        <f t="shared" si="122"/>
        <v>0</v>
      </c>
      <c r="AY200" s="3310">
        <f t="shared" si="97"/>
        <v>0</v>
      </c>
      <c r="AZ200" s="3264">
        <f t="shared" si="98"/>
        <v>0</v>
      </c>
      <c r="BA200" s="3264">
        <f t="shared" si="99"/>
        <v>0</v>
      </c>
      <c r="BB200" s="3264">
        <f t="shared" si="100"/>
        <v>0</v>
      </c>
      <c r="BC200" s="3264">
        <f t="shared" si="101"/>
        <v>0</v>
      </c>
      <c r="BD200" s="3264">
        <f t="shared" si="102"/>
        <v>0</v>
      </c>
      <c r="BE200" s="3264">
        <f t="shared" si="103"/>
        <v>0</v>
      </c>
      <c r="BF200" s="3264">
        <f t="shared" si="104"/>
        <v>0</v>
      </c>
      <c r="BG200" s="3264">
        <f t="shared" si="105"/>
        <v>0</v>
      </c>
      <c r="BH200" s="3264">
        <f t="shared" si="106"/>
        <v>0</v>
      </c>
      <c r="BI200" s="3264">
        <f t="shared" si="107"/>
        <v>0</v>
      </c>
      <c r="BJ200" s="3264">
        <f t="shared" si="108"/>
        <v>0</v>
      </c>
      <c r="BK200" s="3264">
        <f t="shared" si="109"/>
        <v>0</v>
      </c>
      <c r="BL200" s="3264">
        <f t="shared" si="110"/>
        <v>0</v>
      </c>
      <c r="BM200" s="3264">
        <f t="shared" si="111"/>
        <v>0</v>
      </c>
      <c r="BN200" s="3264">
        <f t="shared" si="112"/>
        <v>0</v>
      </c>
      <c r="BO200" s="3264">
        <f t="shared" si="113"/>
        <v>0</v>
      </c>
      <c r="BP200" s="3264">
        <f t="shared" si="114"/>
        <v>0</v>
      </c>
      <c r="BQ200" s="3264">
        <f t="shared" si="115"/>
        <v>0</v>
      </c>
      <c r="BR200" s="3264">
        <f t="shared" si="116"/>
        <v>0</v>
      </c>
      <c r="BS200" s="3264">
        <f t="shared" si="117"/>
        <v>0</v>
      </c>
      <c r="BT200" s="3317">
        <f t="shared" si="118"/>
        <v>0</v>
      </c>
    </row>
    <row r="201" spans="1:72">
      <c r="A201" s="3262"/>
      <c r="B201" s="3263"/>
      <c r="C201" s="3263"/>
      <c r="D201" s="3268"/>
      <c r="E201" s="3264">
        <f t="shared" si="119"/>
        <v>0</v>
      </c>
      <c r="F201" s="3265"/>
      <c r="G201" s="3266">
        <f t="shared" si="94"/>
        <v>0</v>
      </c>
      <c r="H201" s="3267">
        <f t="shared" si="95"/>
        <v>0</v>
      </c>
      <c r="I201" s="3275"/>
      <c r="J201" s="3275"/>
      <c r="K201" s="3275"/>
      <c r="L201" s="3275"/>
      <c r="M201" s="3275"/>
      <c r="N201" s="3275"/>
      <c r="O201" s="3275"/>
      <c r="P201" s="3275"/>
      <c r="Q201" s="3275"/>
      <c r="R201" s="3275"/>
      <c r="S201" s="3275"/>
      <c r="T201" s="3275"/>
      <c r="U201" s="3275"/>
      <c r="V201" s="3275"/>
      <c r="W201" s="3275"/>
      <c r="X201" s="3275"/>
      <c r="Y201" s="3275"/>
      <c r="Z201" s="3275"/>
      <c r="AA201" s="3275"/>
      <c r="AB201" s="3275"/>
      <c r="AC201" s="3264">
        <f t="shared" si="96"/>
        <v>0</v>
      </c>
      <c r="AD201" s="3285"/>
      <c r="AE201" s="3285"/>
      <c r="AF201" s="3285"/>
      <c r="AG201" s="3285"/>
      <c r="AH201" s="3285"/>
      <c r="AI201" s="3285"/>
      <c r="AJ201" s="3285"/>
      <c r="AK201" s="3285"/>
      <c r="AL201" s="3285"/>
      <c r="AM201" s="3285"/>
      <c r="AN201" s="3285"/>
      <c r="AO201" s="3285"/>
      <c r="AP201" s="3285"/>
      <c r="AQ201" s="3285"/>
      <c r="AR201" s="3285"/>
      <c r="AS201" s="3285"/>
      <c r="AT201" s="3295"/>
      <c r="AU201" s="3296"/>
      <c r="AV201" s="830">
        <f t="shared" si="120"/>
        <v>0</v>
      </c>
      <c r="AW201" s="830">
        <f t="shared" si="121"/>
        <v>0</v>
      </c>
      <c r="AX201" s="830">
        <f t="shared" si="122"/>
        <v>0</v>
      </c>
      <c r="AY201" s="3310">
        <f t="shared" si="97"/>
        <v>0</v>
      </c>
      <c r="AZ201" s="3264">
        <f t="shared" si="98"/>
        <v>0</v>
      </c>
      <c r="BA201" s="3264">
        <f t="shared" si="99"/>
        <v>0</v>
      </c>
      <c r="BB201" s="3264">
        <f t="shared" si="100"/>
        <v>0</v>
      </c>
      <c r="BC201" s="3264">
        <f t="shared" si="101"/>
        <v>0</v>
      </c>
      <c r="BD201" s="3264">
        <f t="shared" si="102"/>
        <v>0</v>
      </c>
      <c r="BE201" s="3264">
        <f t="shared" si="103"/>
        <v>0</v>
      </c>
      <c r="BF201" s="3264">
        <f t="shared" si="104"/>
        <v>0</v>
      </c>
      <c r="BG201" s="3264">
        <f t="shared" si="105"/>
        <v>0</v>
      </c>
      <c r="BH201" s="3264">
        <f t="shared" si="106"/>
        <v>0</v>
      </c>
      <c r="BI201" s="3264">
        <f t="shared" si="107"/>
        <v>0</v>
      </c>
      <c r="BJ201" s="3264">
        <f t="shared" si="108"/>
        <v>0</v>
      </c>
      <c r="BK201" s="3264">
        <f t="shared" si="109"/>
        <v>0</v>
      </c>
      <c r="BL201" s="3264">
        <f t="shared" si="110"/>
        <v>0</v>
      </c>
      <c r="BM201" s="3264">
        <f t="shared" si="111"/>
        <v>0</v>
      </c>
      <c r="BN201" s="3264">
        <f t="shared" si="112"/>
        <v>0</v>
      </c>
      <c r="BO201" s="3264">
        <f t="shared" si="113"/>
        <v>0</v>
      </c>
      <c r="BP201" s="3264">
        <f t="shared" si="114"/>
        <v>0</v>
      </c>
      <c r="BQ201" s="3264">
        <f t="shared" si="115"/>
        <v>0</v>
      </c>
      <c r="BR201" s="3264">
        <f t="shared" si="116"/>
        <v>0</v>
      </c>
      <c r="BS201" s="3264">
        <f t="shared" si="117"/>
        <v>0</v>
      </c>
      <c r="BT201" s="3317">
        <f t="shared" si="118"/>
        <v>0</v>
      </c>
    </row>
    <row r="202" spans="1:72">
      <c r="A202" s="3262"/>
      <c r="B202" s="3263"/>
      <c r="C202" s="3263"/>
      <c r="D202" s="3268"/>
      <c r="E202" s="3264">
        <f t="shared" si="119"/>
        <v>0</v>
      </c>
      <c r="F202" s="3265"/>
      <c r="G202" s="3266">
        <f t="shared" si="94"/>
        <v>0</v>
      </c>
      <c r="H202" s="3267">
        <f t="shared" si="95"/>
        <v>0</v>
      </c>
      <c r="I202" s="3275"/>
      <c r="J202" s="3275"/>
      <c r="K202" s="3275"/>
      <c r="L202" s="3275"/>
      <c r="M202" s="3275"/>
      <c r="N202" s="3275"/>
      <c r="O202" s="3275"/>
      <c r="P202" s="3275"/>
      <c r="Q202" s="3275"/>
      <c r="R202" s="3275"/>
      <c r="S202" s="3275"/>
      <c r="T202" s="3275"/>
      <c r="U202" s="3275"/>
      <c r="V202" s="3275"/>
      <c r="W202" s="3275"/>
      <c r="X202" s="3275"/>
      <c r="Y202" s="3275"/>
      <c r="Z202" s="3275"/>
      <c r="AA202" s="3275"/>
      <c r="AB202" s="3275"/>
      <c r="AC202" s="3264">
        <f t="shared" si="96"/>
        <v>0</v>
      </c>
      <c r="AD202" s="3285"/>
      <c r="AE202" s="3285"/>
      <c r="AF202" s="3285"/>
      <c r="AG202" s="3285"/>
      <c r="AH202" s="3285"/>
      <c r="AI202" s="3285"/>
      <c r="AJ202" s="3285"/>
      <c r="AK202" s="3285"/>
      <c r="AL202" s="3285"/>
      <c r="AM202" s="3285"/>
      <c r="AN202" s="3285"/>
      <c r="AO202" s="3285"/>
      <c r="AP202" s="3285"/>
      <c r="AQ202" s="3285"/>
      <c r="AR202" s="3285"/>
      <c r="AS202" s="3285"/>
      <c r="AT202" s="3295"/>
      <c r="AU202" s="3296"/>
      <c r="AV202" s="830">
        <f t="shared" si="120"/>
        <v>0</v>
      </c>
      <c r="AW202" s="830">
        <f t="shared" si="121"/>
        <v>0</v>
      </c>
      <c r="AX202" s="830">
        <f t="shared" si="122"/>
        <v>0</v>
      </c>
      <c r="AY202" s="3310">
        <f t="shared" si="97"/>
        <v>0</v>
      </c>
      <c r="AZ202" s="3264">
        <f t="shared" si="98"/>
        <v>0</v>
      </c>
      <c r="BA202" s="3264">
        <f t="shared" si="99"/>
        <v>0</v>
      </c>
      <c r="BB202" s="3264">
        <f t="shared" si="100"/>
        <v>0</v>
      </c>
      <c r="BC202" s="3264">
        <f t="shared" si="101"/>
        <v>0</v>
      </c>
      <c r="BD202" s="3264">
        <f t="shared" si="102"/>
        <v>0</v>
      </c>
      <c r="BE202" s="3264">
        <f t="shared" si="103"/>
        <v>0</v>
      </c>
      <c r="BF202" s="3264">
        <f t="shared" si="104"/>
        <v>0</v>
      </c>
      <c r="BG202" s="3264">
        <f t="shared" si="105"/>
        <v>0</v>
      </c>
      <c r="BH202" s="3264">
        <f t="shared" si="106"/>
        <v>0</v>
      </c>
      <c r="BI202" s="3264">
        <f t="shared" si="107"/>
        <v>0</v>
      </c>
      <c r="BJ202" s="3264">
        <f t="shared" si="108"/>
        <v>0</v>
      </c>
      <c r="BK202" s="3264">
        <f t="shared" si="109"/>
        <v>0</v>
      </c>
      <c r="BL202" s="3264">
        <f t="shared" si="110"/>
        <v>0</v>
      </c>
      <c r="BM202" s="3264">
        <f t="shared" si="111"/>
        <v>0</v>
      </c>
      <c r="BN202" s="3264">
        <f t="shared" si="112"/>
        <v>0</v>
      </c>
      <c r="BO202" s="3264">
        <f t="shared" si="113"/>
        <v>0</v>
      </c>
      <c r="BP202" s="3264">
        <f t="shared" si="114"/>
        <v>0</v>
      </c>
      <c r="BQ202" s="3264">
        <f t="shared" si="115"/>
        <v>0</v>
      </c>
      <c r="BR202" s="3264">
        <f t="shared" si="116"/>
        <v>0</v>
      </c>
      <c r="BS202" s="3264">
        <f t="shared" si="117"/>
        <v>0</v>
      </c>
      <c r="BT202" s="3317">
        <f t="shared" si="118"/>
        <v>0</v>
      </c>
    </row>
    <row r="203" spans="1:72">
      <c r="A203" s="3262"/>
      <c r="B203" s="3263"/>
      <c r="C203" s="3263"/>
      <c r="D203" s="3268"/>
      <c r="E203" s="3264">
        <f t="shared" si="119"/>
        <v>0</v>
      </c>
      <c r="F203" s="3265"/>
      <c r="G203" s="3266">
        <f t="shared" si="94"/>
        <v>0</v>
      </c>
      <c r="H203" s="3267">
        <f t="shared" si="95"/>
        <v>0</v>
      </c>
      <c r="I203" s="3275"/>
      <c r="J203" s="3275"/>
      <c r="K203" s="3275"/>
      <c r="L203" s="3275"/>
      <c r="M203" s="3275"/>
      <c r="N203" s="3275"/>
      <c r="O203" s="3275"/>
      <c r="P203" s="3275"/>
      <c r="Q203" s="3275"/>
      <c r="R203" s="3275"/>
      <c r="S203" s="3275"/>
      <c r="T203" s="3275"/>
      <c r="U203" s="3275"/>
      <c r="V203" s="3275"/>
      <c r="W203" s="3275"/>
      <c r="X203" s="3275"/>
      <c r="Y203" s="3275"/>
      <c r="Z203" s="3275"/>
      <c r="AA203" s="3275"/>
      <c r="AB203" s="3275"/>
      <c r="AC203" s="3264">
        <f t="shared" si="96"/>
        <v>0</v>
      </c>
      <c r="AD203" s="3285"/>
      <c r="AE203" s="3285"/>
      <c r="AF203" s="3285"/>
      <c r="AG203" s="3285"/>
      <c r="AH203" s="3285"/>
      <c r="AI203" s="3285"/>
      <c r="AJ203" s="3285"/>
      <c r="AK203" s="3285"/>
      <c r="AL203" s="3285"/>
      <c r="AM203" s="3285"/>
      <c r="AN203" s="3285"/>
      <c r="AO203" s="3285"/>
      <c r="AP203" s="3285"/>
      <c r="AQ203" s="3285"/>
      <c r="AR203" s="3285"/>
      <c r="AS203" s="3285"/>
      <c r="AT203" s="3295"/>
      <c r="AU203" s="3296"/>
      <c r="AV203" s="830">
        <f t="shared" si="120"/>
        <v>0</v>
      </c>
      <c r="AW203" s="830">
        <f t="shared" si="121"/>
        <v>0</v>
      </c>
      <c r="AX203" s="830">
        <f t="shared" si="122"/>
        <v>0</v>
      </c>
      <c r="AY203" s="3310">
        <f t="shared" si="97"/>
        <v>0</v>
      </c>
      <c r="AZ203" s="3264">
        <f t="shared" si="98"/>
        <v>0</v>
      </c>
      <c r="BA203" s="3264">
        <f t="shared" si="99"/>
        <v>0</v>
      </c>
      <c r="BB203" s="3264">
        <f t="shared" si="100"/>
        <v>0</v>
      </c>
      <c r="BC203" s="3264">
        <f t="shared" si="101"/>
        <v>0</v>
      </c>
      <c r="BD203" s="3264">
        <f t="shared" si="102"/>
        <v>0</v>
      </c>
      <c r="BE203" s="3264">
        <f t="shared" si="103"/>
        <v>0</v>
      </c>
      <c r="BF203" s="3264">
        <f t="shared" si="104"/>
        <v>0</v>
      </c>
      <c r="BG203" s="3264">
        <f t="shared" si="105"/>
        <v>0</v>
      </c>
      <c r="BH203" s="3264">
        <f t="shared" si="106"/>
        <v>0</v>
      </c>
      <c r="BI203" s="3264">
        <f t="shared" si="107"/>
        <v>0</v>
      </c>
      <c r="BJ203" s="3264">
        <f t="shared" si="108"/>
        <v>0</v>
      </c>
      <c r="BK203" s="3264">
        <f t="shared" si="109"/>
        <v>0</v>
      </c>
      <c r="BL203" s="3264">
        <f t="shared" si="110"/>
        <v>0</v>
      </c>
      <c r="BM203" s="3264">
        <f t="shared" si="111"/>
        <v>0</v>
      </c>
      <c r="BN203" s="3264">
        <f t="shared" si="112"/>
        <v>0</v>
      </c>
      <c r="BO203" s="3264">
        <f t="shared" si="113"/>
        <v>0</v>
      </c>
      <c r="BP203" s="3264">
        <f t="shared" si="114"/>
        <v>0</v>
      </c>
      <c r="BQ203" s="3264">
        <f t="shared" si="115"/>
        <v>0</v>
      </c>
      <c r="BR203" s="3264">
        <f t="shared" si="116"/>
        <v>0</v>
      </c>
      <c r="BS203" s="3264">
        <f t="shared" si="117"/>
        <v>0</v>
      </c>
      <c r="BT203" s="3317">
        <f t="shared" si="118"/>
        <v>0</v>
      </c>
    </row>
    <row r="204" spans="1:72">
      <c r="A204" s="3262"/>
      <c r="B204" s="3263"/>
      <c r="C204" s="3263"/>
      <c r="D204" s="3268"/>
      <c r="E204" s="3264">
        <f t="shared" si="119"/>
        <v>0</v>
      </c>
      <c r="F204" s="3265"/>
      <c r="G204" s="3266">
        <f t="shared" si="94"/>
        <v>0</v>
      </c>
      <c r="H204" s="3267">
        <f t="shared" si="95"/>
        <v>0</v>
      </c>
      <c r="I204" s="3275"/>
      <c r="J204" s="3275"/>
      <c r="K204" s="3275"/>
      <c r="L204" s="3275"/>
      <c r="M204" s="3275"/>
      <c r="N204" s="3275"/>
      <c r="O204" s="3275"/>
      <c r="P204" s="3275"/>
      <c r="Q204" s="3275"/>
      <c r="R204" s="3275"/>
      <c r="S204" s="3275"/>
      <c r="T204" s="3275"/>
      <c r="U204" s="3275"/>
      <c r="V204" s="3275"/>
      <c r="W204" s="3275"/>
      <c r="X204" s="3275"/>
      <c r="Y204" s="3275"/>
      <c r="Z204" s="3275"/>
      <c r="AA204" s="3275"/>
      <c r="AB204" s="3275"/>
      <c r="AC204" s="3264">
        <f t="shared" si="96"/>
        <v>0</v>
      </c>
      <c r="AD204" s="3285"/>
      <c r="AE204" s="3285"/>
      <c r="AF204" s="3285"/>
      <c r="AG204" s="3285"/>
      <c r="AH204" s="3285"/>
      <c r="AI204" s="3285"/>
      <c r="AJ204" s="3285"/>
      <c r="AK204" s="3285"/>
      <c r="AL204" s="3285"/>
      <c r="AM204" s="3285"/>
      <c r="AN204" s="3285"/>
      <c r="AO204" s="3285"/>
      <c r="AP204" s="3285"/>
      <c r="AQ204" s="3285"/>
      <c r="AR204" s="3285"/>
      <c r="AS204" s="3285"/>
      <c r="AT204" s="3295"/>
      <c r="AU204" s="3296"/>
      <c r="AV204" s="830">
        <f t="shared" si="120"/>
        <v>0</v>
      </c>
      <c r="AW204" s="830">
        <f t="shared" si="121"/>
        <v>0</v>
      </c>
      <c r="AX204" s="830">
        <f t="shared" si="122"/>
        <v>0</v>
      </c>
      <c r="AY204" s="3310">
        <f t="shared" si="97"/>
        <v>0</v>
      </c>
      <c r="AZ204" s="3264">
        <f t="shared" si="98"/>
        <v>0</v>
      </c>
      <c r="BA204" s="3264">
        <f t="shared" si="99"/>
        <v>0</v>
      </c>
      <c r="BB204" s="3264">
        <f t="shared" si="100"/>
        <v>0</v>
      </c>
      <c r="BC204" s="3264">
        <f t="shared" si="101"/>
        <v>0</v>
      </c>
      <c r="BD204" s="3264">
        <f t="shared" si="102"/>
        <v>0</v>
      </c>
      <c r="BE204" s="3264">
        <f t="shared" si="103"/>
        <v>0</v>
      </c>
      <c r="BF204" s="3264">
        <f t="shared" si="104"/>
        <v>0</v>
      </c>
      <c r="BG204" s="3264">
        <f t="shared" si="105"/>
        <v>0</v>
      </c>
      <c r="BH204" s="3264">
        <f t="shared" si="106"/>
        <v>0</v>
      </c>
      <c r="BI204" s="3264">
        <f t="shared" si="107"/>
        <v>0</v>
      </c>
      <c r="BJ204" s="3264">
        <f t="shared" si="108"/>
        <v>0</v>
      </c>
      <c r="BK204" s="3264">
        <f t="shared" si="109"/>
        <v>0</v>
      </c>
      <c r="BL204" s="3264">
        <f t="shared" si="110"/>
        <v>0</v>
      </c>
      <c r="BM204" s="3264">
        <f t="shared" si="111"/>
        <v>0</v>
      </c>
      <c r="BN204" s="3264">
        <f t="shared" si="112"/>
        <v>0</v>
      </c>
      <c r="BO204" s="3264">
        <f t="shared" si="113"/>
        <v>0</v>
      </c>
      <c r="BP204" s="3264">
        <f t="shared" si="114"/>
        <v>0</v>
      </c>
      <c r="BQ204" s="3264">
        <f t="shared" si="115"/>
        <v>0</v>
      </c>
      <c r="BR204" s="3264">
        <f t="shared" si="116"/>
        <v>0</v>
      </c>
      <c r="BS204" s="3264">
        <f t="shared" si="117"/>
        <v>0</v>
      </c>
      <c r="BT204" s="3317">
        <f t="shared" si="118"/>
        <v>0</v>
      </c>
    </row>
    <row r="205" spans="1:72">
      <c r="A205" s="3262"/>
      <c r="B205" s="3262"/>
      <c r="C205" s="3262"/>
      <c r="D205" s="3268"/>
      <c r="E205" s="3264">
        <f t="shared" si="119"/>
        <v>0</v>
      </c>
      <c r="F205" s="3318"/>
      <c r="G205" s="3266">
        <f t="shared" si="94"/>
        <v>0</v>
      </c>
      <c r="H205" s="3267">
        <f t="shared" si="95"/>
        <v>0</v>
      </c>
      <c r="I205" s="3319"/>
      <c r="J205" s="3319"/>
      <c r="K205" s="3275"/>
      <c r="L205" s="3275"/>
      <c r="M205" s="3275"/>
      <c r="N205" s="3275"/>
      <c r="O205" s="3275"/>
      <c r="P205" s="3275"/>
      <c r="Q205" s="3275"/>
      <c r="R205" s="3275"/>
      <c r="S205" s="3275"/>
      <c r="T205" s="3275"/>
      <c r="U205" s="3275"/>
      <c r="V205" s="3275"/>
      <c r="W205" s="3275"/>
      <c r="X205" s="3275"/>
      <c r="Y205" s="3275"/>
      <c r="Z205" s="3275"/>
      <c r="AA205" s="3275"/>
      <c r="AB205" s="3275"/>
      <c r="AC205" s="3264">
        <f t="shared" si="96"/>
        <v>0</v>
      </c>
      <c r="AD205" s="3285"/>
      <c r="AE205" s="3285"/>
      <c r="AF205" s="3285"/>
      <c r="AG205" s="3285"/>
      <c r="AH205" s="3285"/>
      <c r="AI205" s="3285"/>
      <c r="AJ205" s="3285"/>
      <c r="AK205" s="3285"/>
      <c r="AL205" s="3285"/>
      <c r="AM205" s="3285"/>
      <c r="AN205" s="3285"/>
      <c r="AO205" s="3285"/>
      <c r="AP205" s="3285"/>
      <c r="AQ205" s="3285"/>
      <c r="AR205" s="3285"/>
      <c r="AS205" s="3285"/>
      <c r="AT205" s="3285"/>
      <c r="AU205" s="3320"/>
      <c r="AV205" s="830">
        <f t="shared" si="120"/>
        <v>0</v>
      </c>
      <c r="AW205" s="830">
        <f t="shared" si="121"/>
        <v>0</v>
      </c>
      <c r="AX205" s="830">
        <f t="shared" si="122"/>
        <v>0</v>
      </c>
      <c r="AY205" s="3310">
        <f t="shared" si="97"/>
        <v>0</v>
      </c>
      <c r="AZ205" s="3264">
        <f t="shared" si="98"/>
        <v>0</v>
      </c>
      <c r="BA205" s="3264">
        <f t="shared" si="99"/>
        <v>0</v>
      </c>
      <c r="BB205" s="3264">
        <f t="shared" si="100"/>
        <v>0</v>
      </c>
      <c r="BC205" s="3264">
        <f t="shared" si="101"/>
        <v>0</v>
      </c>
      <c r="BD205" s="3264">
        <f t="shared" si="102"/>
        <v>0</v>
      </c>
      <c r="BE205" s="3264">
        <f t="shared" si="103"/>
        <v>0</v>
      </c>
      <c r="BF205" s="3264">
        <f t="shared" si="104"/>
        <v>0</v>
      </c>
      <c r="BG205" s="3264">
        <f t="shared" si="105"/>
        <v>0</v>
      </c>
      <c r="BH205" s="3264">
        <f t="shared" si="106"/>
        <v>0</v>
      </c>
      <c r="BI205" s="3264">
        <f t="shared" si="107"/>
        <v>0</v>
      </c>
      <c r="BJ205" s="3264">
        <f t="shared" si="108"/>
        <v>0</v>
      </c>
      <c r="BK205" s="3264">
        <f t="shared" si="109"/>
        <v>0</v>
      </c>
      <c r="BL205" s="3264">
        <f t="shared" si="110"/>
        <v>0</v>
      </c>
      <c r="BM205" s="3264">
        <f t="shared" si="111"/>
        <v>0</v>
      </c>
      <c r="BN205" s="3264">
        <f t="shared" si="112"/>
        <v>0</v>
      </c>
      <c r="BO205" s="3264">
        <f t="shared" si="113"/>
        <v>0</v>
      </c>
      <c r="BP205" s="3264">
        <f t="shared" si="114"/>
        <v>0</v>
      </c>
      <c r="BQ205" s="3264">
        <f t="shared" si="115"/>
        <v>0</v>
      </c>
      <c r="BR205" s="3264">
        <f t="shared" si="116"/>
        <v>0</v>
      </c>
      <c r="BS205" s="3264">
        <f t="shared" si="117"/>
        <v>0</v>
      </c>
      <c r="BT205" s="3317">
        <f t="shared" si="118"/>
        <v>0</v>
      </c>
    </row>
    <row r="206" spans="1:72">
      <c r="A206" s="3262"/>
      <c r="B206" s="3262"/>
      <c r="C206" s="3262"/>
      <c r="D206" s="3268"/>
      <c r="E206" s="3264">
        <f t="shared" si="119"/>
        <v>0</v>
      </c>
      <c r="F206" s="3318"/>
      <c r="G206" s="3266">
        <f t="shared" si="94"/>
        <v>0</v>
      </c>
      <c r="H206" s="3267">
        <f t="shared" si="95"/>
        <v>0</v>
      </c>
      <c r="I206" s="3275"/>
      <c r="J206" s="3275"/>
      <c r="K206" s="3275"/>
      <c r="L206" s="3275"/>
      <c r="M206" s="3275"/>
      <c r="N206" s="3275"/>
      <c r="O206" s="3275"/>
      <c r="P206" s="3275"/>
      <c r="Q206" s="3275"/>
      <c r="R206" s="3275"/>
      <c r="S206" s="3275"/>
      <c r="T206" s="3275"/>
      <c r="U206" s="3275"/>
      <c r="V206" s="3275"/>
      <c r="W206" s="3275"/>
      <c r="X206" s="3275"/>
      <c r="Y206" s="3275"/>
      <c r="Z206" s="3275"/>
      <c r="AA206" s="3275"/>
      <c r="AB206" s="3275"/>
      <c r="AC206" s="3264">
        <f t="shared" si="96"/>
        <v>0</v>
      </c>
      <c r="AD206" s="3285"/>
      <c r="AE206" s="3285"/>
      <c r="AF206" s="3285"/>
      <c r="AG206" s="3285"/>
      <c r="AH206" s="3285"/>
      <c r="AI206" s="3285"/>
      <c r="AJ206" s="3285"/>
      <c r="AK206" s="3285"/>
      <c r="AL206" s="3285"/>
      <c r="AM206" s="3285"/>
      <c r="AN206" s="3285"/>
      <c r="AO206" s="3285"/>
      <c r="AP206" s="3285"/>
      <c r="AQ206" s="3285"/>
      <c r="AR206" s="3285"/>
      <c r="AS206" s="3285"/>
      <c r="AT206" s="3285"/>
      <c r="AU206" s="3320"/>
      <c r="AV206" s="830">
        <f t="shared" si="120"/>
        <v>0</v>
      </c>
      <c r="AW206" s="830">
        <f t="shared" si="121"/>
        <v>0</v>
      </c>
      <c r="AX206" s="830">
        <f t="shared" si="122"/>
        <v>0</v>
      </c>
      <c r="AY206" s="3310">
        <f t="shared" si="97"/>
        <v>0</v>
      </c>
      <c r="AZ206" s="3264">
        <f t="shared" si="98"/>
        <v>0</v>
      </c>
      <c r="BA206" s="3264">
        <f t="shared" si="99"/>
        <v>0</v>
      </c>
      <c r="BB206" s="3264">
        <f t="shared" si="100"/>
        <v>0</v>
      </c>
      <c r="BC206" s="3264">
        <f t="shared" si="101"/>
        <v>0</v>
      </c>
      <c r="BD206" s="3264">
        <f t="shared" si="102"/>
        <v>0</v>
      </c>
      <c r="BE206" s="3264">
        <f t="shared" si="103"/>
        <v>0</v>
      </c>
      <c r="BF206" s="3264">
        <f t="shared" si="104"/>
        <v>0</v>
      </c>
      <c r="BG206" s="3264">
        <f t="shared" si="105"/>
        <v>0</v>
      </c>
      <c r="BH206" s="3264">
        <f t="shared" si="106"/>
        <v>0</v>
      </c>
      <c r="BI206" s="3264">
        <f t="shared" si="107"/>
        <v>0</v>
      </c>
      <c r="BJ206" s="3264">
        <f t="shared" si="108"/>
        <v>0</v>
      </c>
      <c r="BK206" s="3264">
        <f t="shared" si="109"/>
        <v>0</v>
      </c>
      <c r="BL206" s="3264">
        <f t="shared" si="110"/>
        <v>0</v>
      </c>
      <c r="BM206" s="3264">
        <f t="shared" si="111"/>
        <v>0</v>
      </c>
      <c r="BN206" s="3264">
        <f t="shared" si="112"/>
        <v>0</v>
      </c>
      <c r="BO206" s="3264">
        <f t="shared" si="113"/>
        <v>0</v>
      </c>
      <c r="BP206" s="3264">
        <f t="shared" si="114"/>
        <v>0</v>
      </c>
      <c r="BQ206" s="3264">
        <f t="shared" si="115"/>
        <v>0</v>
      </c>
      <c r="BR206" s="3264">
        <f t="shared" si="116"/>
        <v>0</v>
      </c>
      <c r="BS206" s="3264">
        <f t="shared" si="117"/>
        <v>0</v>
      </c>
      <c r="BT206" s="3317">
        <f t="shared" si="118"/>
        <v>0</v>
      </c>
    </row>
    <row r="207" spans="1:72">
      <c r="A207" s="3262"/>
      <c r="B207" s="3262"/>
      <c r="C207" s="3262"/>
      <c r="D207" s="3268"/>
      <c r="E207" s="3264">
        <f t="shared" si="119"/>
        <v>0</v>
      </c>
      <c r="F207" s="3318"/>
      <c r="G207" s="3266">
        <f t="shared" si="94"/>
        <v>0</v>
      </c>
      <c r="H207" s="3267">
        <f t="shared" si="95"/>
        <v>0</v>
      </c>
      <c r="I207" s="3275"/>
      <c r="J207" s="3275"/>
      <c r="K207" s="3275"/>
      <c r="L207" s="3275"/>
      <c r="M207" s="3275"/>
      <c r="N207" s="3275"/>
      <c r="O207" s="3275"/>
      <c r="P207" s="3275"/>
      <c r="Q207" s="3275"/>
      <c r="R207" s="3275"/>
      <c r="S207" s="3275"/>
      <c r="T207" s="3275"/>
      <c r="U207" s="3275"/>
      <c r="V207" s="3275"/>
      <c r="W207" s="3275"/>
      <c r="X207" s="3275"/>
      <c r="Y207" s="3275"/>
      <c r="Z207" s="3275"/>
      <c r="AA207" s="3275"/>
      <c r="AB207" s="3275"/>
      <c r="AC207" s="3264">
        <f t="shared" si="96"/>
        <v>0</v>
      </c>
      <c r="AD207" s="3285"/>
      <c r="AE207" s="3285"/>
      <c r="AF207" s="3285"/>
      <c r="AG207" s="3285"/>
      <c r="AH207" s="3285"/>
      <c r="AI207" s="3285"/>
      <c r="AJ207" s="3285"/>
      <c r="AK207" s="3285"/>
      <c r="AL207" s="3285"/>
      <c r="AM207" s="3285"/>
      <c r="AN207" s="3285"/>
      <c r="AO207" s="3285"/>
      <c r="AP207" s="3285"/>
      <c r="AQ207" s="3285"/>
      <c r="AR207" s="3285"/>
      <c r="AS207" s="3285"/>
      <c r="AT207" s="3285"/>
      <c r="AU207" s="3320"/>
      <c r="AV207" s="830">
        <f t="shared" si="120"/>
        <v>0</v>
      </c>
      <c r="AW207" s="830">
        <f t="shared" si="121"/>
        <v>0</v>
      </c>
      <c r="AX207" s="830">
        <f t="shared" si="122"/>
        <v>0</v>
      </c>
      <c r="AY207" s="3310">
        <f t="shared" si="97"/>
        <v>0</v>
      </c>
      <c r="AZ207" s="3264">
        <f t="shared" si="98"/>
        <v>0</v>
      </c>
      <c r="BA207" s="3264">
        <f t="shared" si="99"/>
        <v>0</v>
      </c>
      <c r="BB207" s="3264">
        <f t="shared" si="100"/>
        <v>0</v>
      </c>
      <c r="BC207" s="3264">
        <f t="shared" si="101"/>
        <v>0</v>
      </c>
      <c r="BD207" s="3264">
        <f t="shared" si="102"/>
        <v>0</v>
      </c>
      <c r="BE207" s="3264">
        <f t="shared" si="103"/>
        <v>0</v>
      </c>
      <c r="BF207" s="3264">
        <f t="shared" si="104"/>
        <v>0</v>
      </c>
      <c r="BG207" s="3264">
        <f t="shared" si="105"/>
        <v>0</v>
      </c>
      <c r="BH207" s="3264">
        <f t="shared" si="106"/>
        <v>0</v>
      </c>
      <c r="BI207" s="3264">
        <f t="shared" si="107"/>
        <v>0</v>
      </c>
      <c r="BJ207" s="3264">
        <f t="shared" si="108"/>
        <v>0</v>
      </c>
      <c r="BK207" s="3264">
        <f t="shared" si="109"/>
        <v>0</v>
      </c>
      <c r="BL207" s="3264">
        <f t="shared" si="110"/>
        <v>0</v>
      </c>
      <c r="BM207" s="3264">
        <f t="shared" si="111"/>
        <v>0</v>
      </c>
      <c r="BN207" s="3264">
        <f t="shared" si="112"/>
        <v>0</v>
      </c>
      <c r="BO207" s="3264">
        <f t="shared" si="113"/>
        <v>0</v>
      </c>
      <c r="BP207" s="3264">
        <f t="shared" si="114"/>
        <v>0</v>
      </c>
      <c r="BQ207" s="3264">
        <f t="shared" si="115"/>
        <v>0</v>
      </c>
      <c r="BR207" s="3264">
        <f t="shared" si="116"/>
        <v>0</v>
      </c>
      <c r="BS207" s="3264">
        <f t="shared" si="117"/>
        <v>0</v>
      </c>
      <c r="BT207" s="3317">
        <f t="shared" si="118"/>
        <v>0</v>
      </c>
    </row>
    <row r="208" spans="1:72">
      <c r="A208" s="3262"/>
      <c r="B208" s="3263"/>
      <c r="C208" s="3263"/>
      <c r="D208" s="3268"/>
      <c r="E208" s="3264">
        <f t="shared" ref="E208:E302" si="123">IF($C$3="是",ROUND($A$3*G208/$B$3,2),ROUND($A$3*(G208-AT208)/$B$3,2))</f>
        <v>0</v>
      </c>
      <c r="F208" s="3265"/>
      <c r="G208" s="3266">
        <f t="shared" ref="G208:G299" si="124">H208+AC208+AT208</f>
        <v>0</v>
      </c>
      <c r="H208" s="3267">
        <f t="shared" ref="H208:H299" si="125">SUMIF(I$12:AB$12,"总值",I208:AB208)</f>
        <v>0</v>
      </c>
      <c r="I208" s="3275"/>
      <c r="J208" s="3275"/>
      <c r="K208" s="3275"/>
      <c r="L208" s="3275"/>
      <c r="M208" s="3275"/>
      <c r="N208" s="3275"/>
      <c r="O208" s="3275"/>
      <c r="P208" s="3275"/>
      <c r="Q208" s="3275"/>
      <c r="R208" s="3275"/>
      <c r="S208" s="3275"/>
      <c r="T208" s="3275"/>
      <c r="U208" s="3275"/>
      <c r="V208" s="3275"/>
      <c r="W208" s="3275"/>
      <c r="X208" s="3275"/>
      <c r="Y208" s="3275"/>
      <c r="Z208" s="3275"/>
      <c r="AA208" s="3275"/>
      <c r="AB208" s="3275"/>
      <c r="AC208" s="3264">
        <f t="shared" ref="AC208:AC299" si="126">SUMIF(AD$12:AS$12,"总值",AD208:AS208)</f>
        <v>0</v>
      </c>
      <c r="AD208" s="3285"/>
      <c r="AE208" s="3285"/>
      <c r="AF208" s="3285"/>
      <c r="AG208" s="3285"/>
      <c r="AH208" s="3285"/>
      <c r="AI208" s="3285"/>
      <c r="AJ208" s="3285"/>
      <c r="AK208" s="3285"/>
      <c r="AL208" s="3285"/>
      <c r="AM208" s="3285"/>
      <c r="AN208" s="3285"/>
      <c r="AO208" s="3285"/>
      <c r="AP208" s="3285"/>
      <c r="AQ208" s="3285"/>
      <c r="AR208" s="3285"/>
      <c r="AS208" s="3285"/>
      <c r="AT208" s="3295"/>
      <c r="AU208" s="3296"/>
      <c r="AV208" s="830">
        <f t="shared" ref="AV208:AV302" si="127">A208</f>
        <v>0</v>
      </c>
      <c r="AW208" s="830">
        <f t="shared" ref="AW208:AW302" si="128">B208</f>
        <v>0</v>
      </c>
      <c r="AX208" s="830">
        <f t="shared" ref="AX208:AX302" si="129">C208</f>
        <v>0</v>
      </c>
      <c r="AY208" s="3310">
        <f t="shared" ref="AY208:AY299" si="130">ROUND($AY$6*AZ208/$AZ$5,2)</f>
        <v>0</v>
      </c>
      <c r="AZ208" s="3264">
        <f t="shared" ref="AZ208:AZ299" si="131">BA208+BL208</f>
        <v>0</v>
      </c>
      <c r="BA208" s="3264">
        <f t="shared" ref="BA208:BA299" si="132">SUM(BB208:BK208)</f>
        <v>0</v>
      </c>
      <c r="BB208" s="3264">
        <f t="shared" ref="BB208:BB299" si="133">IF($D208="是",I208-J208,0)</f>
        <v>0</v>
      </c>
      <c r="BC208" s="3264">
        <f t="shared" ref="BC208:BC299" si="134">IF($D208="是",K208-L208,0)</f>
        <v>0</v>
      </c>
      <c r="BD208" s="3264">
        <f t="shared" ref="BD208:BD299" si="135">IF($D208="是",M208-N208,0)</f>
        <v>0</v>
      </c>
      <c r="BE208" s="3264">
        <f t="shared" ref="BE208:BE299" si="136">IF($D208="是",O208-P208,0)</f>
        <v>0</v>
      </c>
      <c r="BF208" s="3264">
        <f t="shared" ref="BF208:BF299" si="137">IF($D208="是",Q208-R208,0)</f>
        <v>0</v>
      </c>
      <c r="BG208" s="3264">
        <f t="shared" ref="BG208:BG299" si="138">IF($D208="是",S208-T208,0)</f>
        <v>0</v>
      </c>
      <c r="BH208" s="3264">
        <f t="shared" ref="BH208:BH299" si="139">IF($D208="是",U208-V208,0)</f>
        <v>0</v>
      </c>
      <c r="BI208" s="3264">
        <f t="shared" ref="BI208:BI299" si="140">IF($D208="是",W208-X208,0)</f>
        <v>0</v>
      </c>
      <c r="BJ208" s="3264">
        <f t="shared" ref="BJ208:BJ299" si="141">IF($D208="是",Y208-Z208,0)</f>
        <v>0</v>
      </c>
      <c r="BK208" s="3264">
        <f t="shared" ref="BK208:BK299" si="142">IF($D208="是",AA208-AB208,0)</f>
        <v>0</v>
      </c>
      <c r="BL208" s="3264">
        <f t="shared" ref="BL208:BL299" si="143">SUM(BM208:BT208)</f>
        <v>0</v>
      </c>
      <c r="BM208" s="3264">
        <f t="shared" ref="BM208:BM299" si="144">IF($D208="是",AD208-AE208,0)</f>
        <v>0</v>
      </c>
      <c r="BN208" s="3264">
        <f t="shared" ref="BN208:BN299" si="145">IF($D208="是",AF208-AG208,0)</f>
        <v>0</v>
      </c>
      <c r="BO208" s="3264">
        <f t="shared" ref="BO208:BO299" si="146">IF($D208="是",AH208-AI208,0)</f>
        <v>0</v>
      </c>
      <c r="BP208" s="3264">
        <f t="shared" ref="BP208:BP299" si="147">IF($D208="是",AJ208-AK208,0)</f>
        <v>0</v>
      </c>
      <c r="BQ208" s="3264">
        <f t="shared" ref="BQ208:BQ299" si="148">IF($D208="是",AL208-AM208,0)</f>
        <v>0</v>
      </c>
      <c r="BR208" s="3264">
        <f t="shared" ref="BR208:BR299" si="149">IF($D208="是",AN208-AO208,0)</f>
        <v>0</v>
      </c>
      <c r="BS208" s="3264">
        <f t="shared" ref="BS208:BS299" si="150">IF($D208="是",AP208-AQ208,0)</f>
        <v>0</v>
      </c>
      <c r="BT208" s="3317">
        <f t="shared" ref="BT208:BT299" si="151">IF($D208="是",AR208-AS208,0)</f>
        <v>0</v>
      </c>
    </row>
    <row r="209" spans="1:72">
      <c r="A209" s="3262"/>
      <c r="B209" s="3263"/>
      <c r="C209" s="3263"/>
      <c r="D209" s="3268"/>
      <c r="E209" s="3264">
        <f t="shared" si="123"/>
        <v>0</v>
      </c>
      <c r="F209" s="3265"/>
      <c r="G209" s="3266">
        <f t="shared" si="124"/>
        <v>0</v>
      </c>
      <c r="H209" s="3267">
        <f t="shared" si="125"/>
        <v>0</v>
      </c>
      <c r="I209" s="3275"/>
      <c r="J209" s="3275"/>
      <c r="K209" s="3275"/>
      <c r="L209" s="3275"/>
      <c r="M209" s="3275"/>
      <c r="N209" s="3275"/>
      <c r="O209" s="3275"/>
      <c r="P209" s="3275"/>
      <c r="Q209" s="3275"/>
      <c r="R209" s="3275"/>
      <c r="S209" s="3275"/>
      <c r="T209" s="3275"/>
      <c r="U209" s="3275"/>
      <c r="V209" s="3275"/>
      <c r="W209" s="3275"/>
      <c r="X209" s="3275"/>
      <c r="Y209" s="3275"/>
      <c r="Z209" s="3275"/>
      <c r="AA209" s="3275"/>
      <c r="AB209" s="3275"/>
      <c r="AC209" s="3264">
        <f t="shared" si="126"/>
        <v>0</v>
      </c>
      <c r="AD209" s="3285"/>
      <c r="AE209" s="3285"/>
      <c r="AF209" s="3285"/>
      <c r="AG209" s="3285"/>
      <c r="AH209" s="3285"/>
      <c r="AI209" s="3285"/>
      <c r="AJ209" s="3285"/>
      <c r="AK209" s="3285"/>
      <c r="AL209" s="3285"/>
      <c r="AM209" s="3285"/>
      <c r="AN209" s="3285"/>
      <c r="AO209" s="3285"/>
      <c r="AP209" s="3285"/>
      <c r="AQ209" s="3285"/>
      <c r="AR209" s="3285"/>
      <c r="AS209" s="3285"/>
      <c r="AT209" s="3295"/>
      <c r="AU209" s="3296"/>
      <c r="AV209" s="830">
        <f t="shared" si="127"/>
        <v>0</v>
      </c>
      <c r="AW209" s="830">
        <f t="shared" si="128"/>
        <v>0</v>
      </c>
      <c r="AX209" s="830">
        <f t="shared" si="129"/>
        <v>0</v>
      </c>
      <c r="AY209" s="3310">
        <f t="shared" si="130"/>
        <v>0</v>
      </c>
      <c r="AZ209" s="3264">
        <f t="shared" si="131"/>
        <v>0</v>
      </c>
      <c r="BA209" s="3264">
        <f t="shared" si="132"/>
        <v>0</v>
      </c>
      <c r="BB209" s="3264">
        <f t="shared" si="133"/>
        <v>0</v>
      </c>
      <c r="BC209" s="3264">
        <f t="shared" si="134"/>
        <v>0</v>
      </c>
      <c r="BD209" s="3264">
        <f t="shared" si="135"/>
        <v>0</v>
      </c>
      <c r="BE209" s="3264">
        <f t="shared" si="136"/>
        <v>0</v>
      </c>
      <c r="BF209" s="3264">
        <f t="shared" si="137"/>
        <v>0</v>
      </c>
      <c r="BG209" s="3264">
        <f t="shared" si="138"/>
        <v>0</v>
      </c>
      <c r="BH209" s="3264">
        <f t="shared" si="139"/>
        <v>0</v>
      </c>
      <c r="BI209" s="3264">
        <f t="shared" si="140"/>
        <v>0</v>
      </c>
      <c r="BJ209" s="3264">
        <f t="shared" si="141"/>
        <v>0</v>
      </c>
      <c r="BK209" s="3264">
        <f t="shared" si="142"/>
        <v>0</v>
      </c>
      <c r="BL209" s="3264">
        <f t="shared" si="143"/>
        <v>0</v>
      </c>
      <c r="BM209" s="3264">
        <f t="shared" si="144"/>
        <v>0</v>
      </c>
      <c r="BN209" s="3264">
        <f t="shared" si="145"/>
        <v>0</v>
      </c>
      <c r="BO209" s="3264">
        <f t="shared" si="146"/>
        <v>0</v>
      </c>
      <c r="BP209" s="3264">
        <f t="shared" si="147"/>
        <v>0</v>
      </c>
      <c r="BQ209" s="3264">
        <f t="shared" si="148"/>
        <v>0</v>
      </c>
      <c r="BR209" s="3264">
        <f t="shared" si="149"/>
        <v>0</v>
      </c>
      <c r="BS209" s="3264">
        <f t="shared" si="150"/>
        <v>0</v>
      </c>
      <c r="BT209" s="3317">
        <f t="shared" si="151"/>
        <v>0</v>
      </c>
    </row>
    <row r="210" spans="1:72">
      <c r="A210" s="3262"/>
      <c r="B210" s="3263"/>
      <c r="C210" s="3263"/>
      <c r="D210" s="3268"/>
      <c r="E210" s="3264">
        <f t="shared" si="123"/>
        <v>0</v>
      </c>
      <c r="F210" s="3265"/>
      <c r="G210" s="3266">
        <f t="shared" si="124"/>
        <v>0</v>
      </c>
      <c r="H210" s="3267">
        <f t="shared" si="125"/>
        <v>0</v>
      </c>
      <c r="I210" s="3275"/>
      <c r="J210" s="3275"/>
      <c r="K210" s="3275"/>
      <c r="L210" s="3275"/>
      <c r="M210" s="3275"/>
      <c r="N210" s="3275"/>
      <c r="O210" s="3275"/>
      <c r="P210" s="3275"/>
      <c r="Q210" s="3275"/>
      <c r="R210" s="3275"/>
      <c r="S210" s="3275"/>
      <c r="T210" s="3275"/>
      <c r="U210" s="3275"/>
      <c r="V210" s="3275"/>
      <c r="W210" s="3275"/>
      <c r="X210" s="3275"/>
      <c r="Y210" s="3275"/>
      <c r="Z210" s="3275"/>
      <c r="AA210" s="3275"/>
      <c r="AB210" s="3275"/>
      <c r="AC210" s="3264">
        <f t="shared" si="126"/>
        <v>0</v>
      </c>
      <c r="AD210" s="3285"/>
      <c r="AE210" s="3285"/>
      <c r="AF210" s="3285"/>
      <c r="AG210" s="3285"/>
      <c r="AH210" s="3285"/>
      <c r="AI210" s="3285"/>
      <c r="AJ210" s="3285"/>
      <c r="AK210" s="3285"/>
      <c r="AL210" s="3285"/>
      <c r="AM210" s="3285"/>
      <c r="AN210" s="3285"/>
      <c r="AO210" s="3285"/>
      <c r="AP210" s="3285"/>
      <c r="AQ210" s="3285"/>
      <c r="AR210" s="3285"/>
      <c r="AS210" s="3285"/>
      <c r="AT210" s="3295"/>
      <c r="AU210" s="3296"/>
      <c r="AV210" s="830">
        <f t="shared" si="127"/>
        <v>0</v>
      </c>
      <c r="AW210" s="830">
        <f t="shared" si="128"/>
        <v>0</v>
      </c>
      <c r="AX210" s="830">
        <f t="shared" si="129"/>
        <v>0</v>
      </c>
      <c r="AY210" s="3310">
        <f t="shared" si="130"/>
        <v>0</v>
      </c>
      <c r="AZ210" s="3264">
        <f t="shared" si="131"/>
        <v>0</v>
      </c>
      <c r="BA210" s="3264">
        <f t="shared" si="132"/>
        <v>0</v>
      </c>
      <c r="BB210" s="3264">
        <f t="shared" si="133"/>
        <v>0</v>
      </c>
      <c r="BC210" s="3264">
        <f t="shared" si="134"/>
        <v>0</v>
      </c>
      <c r="BD210" s="3264">
        <f t="shared" si="135"/>
        <v>0</v>
      </c>
      <c r="BE210" s="3264">
        <f t="shared" si="136"/>
        <v>0</v>
      </c>
      <c r="BF210" s="3264">
        <f t="shared" si="137"/>
        <v>0</v>
      </c>
      <c r="BG210" s="3264">
        <f t="shared" si="138"/>
        <v>0</v>
      </c>
      <c r="BH210" s="3264">
        <f t="shared" si="139"/>
        <v>0</v>
      </c>
      <c r="BI210" s="3264">
        <f t="shared" si="140"/>
        <v>0</v>
      </c>
      <c r="BJ210" s="3264">
        <f t="shared" si="141"/>
        <v>0</v>
      </c>
      <c r="BK210" s="3264">
        <f t="shared" si="142"/>
        <v>0</v>
      </c>
      <c r="BL210" s="3264">
        <f t="shared" si="143"/>
        <v>0</v>
      </c>
      <c r="BM210" s="3264">
        <f t="shared" si="144"/>
        <v>0</v>
      </c>
      <c r="BN210" s="3264">
        <f t="shared" si="145"/>
        <v>0</v>
      </c>
      <c r="BO210" s="3264">
        <f t="shared" si="146"/>
        <v>0</v>
      </c>
      <c r="BP210" s="3264">
        <f t="shared" si="147"/>
        <v>0</v>
      </c>
      <c r="BQ210" s="3264">
        <f t="shared" si="148"/>
        <v>0</v>
      </c>
      <c r="BR210" s="3264">
        <f t="shared" si="149"/>
        <v>0</v>
      </c>
      <c r="BS210" s="3264">
        <f t="shared" si="150"/>
        <v>0</v>
      </c>
      <c r="BT210" s="3317">
        <f t="shared" si="151"/>
        <v>0</v>
      </c>
    </row>
    <row r="211" spans="1:72">
      <c r="A211" s="3262"/>
      <c r="B211" s="3263"/>
      <c r="C211" s="3263"/>
      <c r="D211" s="3268"/>
      <c r="E211" s="3264">
        <f t="shared" si="123"/>
        <v>0</v>
      </c>
      <c r="F211" s="3265"/>
      <c r="G211" s="3266">
        <f t="shared" si="124"/>
        <v>0</v>
      </c>
      <c r="H211" s="3267">
        <f t="shared" si="125"/>
        <v>0</v>
      </c>
      <c r="I211" s="3275"/>
      <c r="J211" s="3275"/>
      <c r="K211" s="3275"/>
      <c r="L211" s="3275"/>
      <c r="M211" s="3275"/>
      <c r="N211" s="3275"/>
      <c r="O211" s="3275"/>
      <c r="P211" s="3275"/>
      <c r="Q211" s="3275"/>
      <c r="R211" s="3275"/>
      <c r="S211" s="3275"/>
      <c r="T211" s="3275"/>
      <c r="U211" s="3275"/>
      <c r="V211" s="3275"/>
      <c r="W211" s="3275"/>
      <c r="X211" s="3275"/>
      <c r="Y211" s="3275"/>
      <c r="Z211" s="3275"/>
      <c r="AA211" s="3275"/>
      <c r="AB211" s="3275"/>
      <c r="AC211" s="3264">
        <f t="shared" si="126"/>
        <v>0</v>
      </c>
      <c r="AD211" s="3285"/>
      <c r="AE211" s="3285"/>
      <c r="AF211" s="3285"/>
      <c r="AG211" s="3285"/>
      <c r="AH211" s="3285"/>
      <c r="AI211" s="3285"/>
      <c r="AJ211" s="3285"/>
      <c r="AK211" s="3285"/>
      <c r="AL211" s="3285"/>
      <c r="AM211" s="3285"/>
      <c r="AN211" s="3285"/>
      <c r="AO211" s="3285"/>
      <c r="AP211" s="3285"/>
      <c r="AQ211" s="3285"/>
      <c r="AR211" s="3285"/>
      <c r="AS211" s="3285"/>
      <c r="AT211" s="3295"/>
      <c r="AU211" s="3296"/>
      <c r="AV211" s="830">
        <f t="shared" si="127"/>
        <v>0</v>
      </c>
      <c r="AW211" s="830">
        <f t="shared" si="128"/>
        <v>0</v>
      </c>
      <c r="AX211" s="830">
        <f t="shared" si="129"/>
        <v>0</v>
      </c>
      <c r="AY211" s="3310">
        <f t="shared" si="130"/>
        <v>0</v>
      </c>
      <c r="AZ211" s="3264">
        <f t="shared" si="131"/>
        <v>0</v>
      </c>
      <c r="BA211" s="3264">
        <f t="shared" si="132"/>
        <v>0</v>
      </c>
      <c r="BB211" s="3264">
        <f t="shared" si="133"/>
        <v>0</v>
      </c>
      <c r="BC211" s="3264">
        <f t="shared" si="134"/>
        <v>0</v>
      </c>
      <c r="BD211" s="3264">
        <f t="shared" si="135"/>
        <v>0</v>
      </c>
      <c r="BE211" s="3264">
        <f t="shared" si="136"/>
        <v>0</v>
      </c>
      <c r="BF211" s="3264">
        <f t="shared" si="137"/>
        <v>0</v>
      </c>
      <c r="BG211" s="3264">
        <f t="shared" si="138"/>
        <v>0</v>
      </c>
      <c r="BH211" s="3264">
        <f t="shared" si="139"/>
        <v>0</v>
      </c>
      <c r="BI211" s="3264">
        <f t="shared" si="140"/>
        <v>0</v>
      </c>
      <c r="BJ211" s="3264">
        <f t="shared" si="141"/>
        <v>0</v>
      </c>
      <c r="BK211" s="3264">
        <f t="shared" si="142"/>
        <v>0</v>
      </c>
      <c r="BL211" s="3264">
        <f t="shared" si="143"/>
        <v>0</v>
      </c>
      <c r="BM211" s="3264">
        <f t="shared" si="144"/>
        <v>0</v>
      </c>
      <c r="BN211" s="3264">
        <f t="shared" si="145"/>
        <v>0</v>
      </c>
      <c r="BO211" s="3264">
        <f t="shared" si="146"/>
        <v>0</v>
      </c>
      <c r="BP211" s="3264">
        <f t="shared" si="147"/>
        <v>0</v>
      </c>
      <c r="BQ211" s="3264">
        <f t="shared" si="148"/>
        <v>0</v>
      </c>
      <c r="BR211" s="3264">
        <f t="shared" si="149"/>
        <v>0</v>
      </c>
      <c r="BS211" s="3264">
        <f t="shared" si="150"/>
        <v>0</v>
      </c>
      <c r="BT211" s="3317">
        <f t="shared" si="151"/>
        <v>0</v>
      </c>
    </row>
    <row r="212" spans="1:72">
      <c r="A212" s="3262"/>
      <c r="B212" s="3263"/>
      <c r="C212" s="3263"/>
      <c r="D212" s="3268"/>
      <c r="E212" s="3264">
        <f t="shared" si="123"/>
        <v>0</v>
      </c>
      <c r="F212" s="3265"/>
      <c r="G212" s="3266">
        <f t="shared" si="124"/>
        <v>0</v>
      </c>
      <c r="H212" s="3267">
        <f t="shared" si="125"/>
        <v>0</v>
      </c>
      <c r="I212" s="3275"/>
      <c r="J212" s="3275"/>
      <c r="K212" s="3275"/>
      <c r="L212" s="3275"/>
      <c r="M212" s="3275"/>
      <c r="N212" s="3275"/>
      <c r="O212" s="3275"/>
      <c r="P212" s="3275"/>
      <c r="Q212" s="3275"/>
      <c r="R212" s="3275"/>
      <c r="S212" s="3275"/>
      <c r="T212" s="3275"/>
      <c r="U212" s="3275"/>
      <c r="V212" s="3275"/>
      <c r="W212" s="3275"/>
      <c r="X212" s="3275"/>
      <c r="Y212" s="3275"/>
      <c r="Z212" s="3275"/>
      <c r="AA212" s="3275"/>
      <c r="AB212" s="3275"/>
      <c r="AC212" s="3264">
        <f t="shared" si="126"/>
        <v>0</v>
      </c>
      <c r="AD212" s="3285"/>
      <c r="AE212" s="3285"/>
      <c r="AF212" s="3285"/>
      <c r="AG212" s="3285"/>
      <c r="AH212" s="3285"/>
      <c r="AI212" s="3285"/>
      <c r="AJ212" s="3285"/>
      <c r="AK212" s="3285"/>
      <c r="AL212" s="3285"/>
      <c r="AM212" s="3285"/>
      <c r="AN212" s="3285"/>
      <c r="AO212" s="3285"/>
      <c r="AP212" s="3285"/>
      <c r="AQ212" s="3285"/>
      <c r="AR212" s="3285"/>
      <c r="AS212" s="3285"/>
      <c r="AT212" s="3295"/>
      <c r="AU212" s="3296"/>
      <c r="AV212" s="830">
        <f t="shared" si="127"/>
        <v>0</v>
      </c>
      <c r="AW212" s="830">
        <f t="shared" si="128"/>
        <v>0</v>
      </c>
      <c r="AX212" s="830">
        <f t="shared" si="129"/>
        <v>0</v>
      </c>
      <c r="AY212" s="3310">
        <f t="shared" si="130"/>
        <v>0</v>
      </c>
      <c r="AZ212" s="3264">
        <f t="shared" si="131"/>
        <v>0</v>
      </c>
      <c r="BA212" s="3264">
        <f t="shared" si="132"/>
        <v>0</v>
      </c>
      <c r="BB212" s="3264">
        <f t="shared" si="133"/>
        <v>0</v>
      </c>
      <c r="BC212" s="3264">
        <f t="shared" si="134"/>
        <v>0</v>
      </c>
      <c r="BD212" s="3264">
        <f t="shared" si="135"/>
        <v>0</v>
      </c>
      <c r="BE212" s="3264">
        <f t="shared" si="136"/>
        <v>0</v>
      </c>
      <c r="BF212" s="3264">
        <f t="shared" si="137"/>
        <v>0</v>
      </c>
      <c r="BG212" s="3264">
        <f t="shared" si="138"/>
        <v>0</v>
      </c>
      <c r="BH212" s="3264">
        <f t="shared" si="139"/>
        <v>0</v>
      </c>
      <c r="BI212" s="3264">
        <f t="shared" si="140"/>
        <v>0</v>
      </c>
      <c r="BJ212" s="3264">
        <f t="shared" si="141"/>
        <v>0</v>
      </c>
      <c r="BK212" s="3264">
        <f t="shared" si="142"/>
        <v>0</v>
      </c>
      <c r="BL212" s="3264">
        <f t="shared" si="143"/>
        <v>0</v>
      </c>
      <c r="BM212" s="3264">
        <f t="shared" si="144"/>
        <v>0</v>
      </c>
      <c r="BN212" s="3264">
        <f t="shared" si="145"/>
        <v>0</v>
      </c>
      <c r="BO212" s="3264">
        <f t="shared" si="146"/>
        <v>0</v>
      </c>
      <c r="BP212" s="3264">
        <f t="shared" si="147"/>
        <v>0</v>
      </c>
      <c r="BQ212" s="3264">
        <f t="shared" si="148"/>
        <v>0</v>
      </c>
      <c r="BR212" s="3264">
        <f t="shared" si="149"/>
        <v>0</v>
      </c>
      <c r="BS212" s="3264">
        <f t="shared" si="150"/>
        <v>0</v>
      </c>
      <c r="BT212" s="3317">
        <f t="shared" si="151"/>
        <v>0</v>
      </c>
    </row>
    <row r="213" spans="1:72">
      <c r="A213" s="3262"/>
      <c r="B213" s="3263"/>
      <c r="C213" s="3263"/>
      <c r="D213" s="3268"/>
      <c r="E213" s="3264">
        <f t="shared" si="123"/>
        <v>0</v>
      </c>
      <c r="F213" s="3265"/>
      <c r="G213" s="3266">
        <f t="shared" si="124"/>
        <v>0</v>
      </c>
      <c r="H213" s="3267">
        <f t="shared" si="125"/>
        <v>0</v>
      </c>
      <c r="I213" s="3275"/>
      <c r="J213" s="3275"/>
      <c r="K213" s="3275"/>
      <c r="L213" s="3275"/>
      <c r="M213" s="3275"/>
      <c r="N213" s="3275"/>
      <c r="O213" s="3275"/>
      <c r="P213" s="3275"/>
      <c r="Q213" s="3275"/>
      <c r="R213" s="3275"/>
      <c r="S213" s="3275"/>
      <c r="T213" s="3275"/>
      <c r="U213" s="3275"/>
      <c r="V213" s="3275"/>
      <c r="W213" s="3275"/>
      <c r="X213" s="3275"/>
      <c r="Y213" s="3275"/>
      <c r="Z213" s="3275"/>
      <c r="AA213" s="3275"/>
      <c r="AB213" s="3275"/>
      <c r="AC213" s="3264">
        <f t="shared" si="126"/>
        <v>0</v>
      </c>
      <c r="AD213" s="3285"/>
      <c r="AE213" s="3285"/>
      <c r="AF213" s="3285"/>
      <c r="AG213" s="3285"/>
      <c r="AH213" s="3285"/>
      <c r="AI213" s="3285"/>
      <c r="AJ213" s="3285"/>
      <c r="AK213" s="3285"/>
      <c r="AL213" s="3285"/>
      <c r="AM213" s="3285"/>
      <c r="AN213" s="3285"/>
      <c r="AO213" s="3285"/>
      <c r="AP213" s="3285"/>
      <c r="AQ213" s="3285"/>
      <c r="AR213" s="3285"/>
      <c r="AS213" s="3285"/>
      <c r="AT213" s="3295"/>
      <c r="AU213" s="3296"/>
      <c r="AV213" s="830">
        <f t="shared" si="127"/>
        <v>0</v>
      </c>
      <c r="AW213" s="830">
        <f t="shared" si="128"/>
        <v>0</v>
      </c>
      <c r="AX213" s="830">
        <f t="shared" si="129"/>
        <v>0</v>
      </c>
      <c r="AY213" s="3310">
        <f t="shared" si="130"/>
        <v>0</v>
      </c>
      <c r="AZ213" s="3264">
        <f t="shared" si="131"/>
        <v>0</v>
      </c>
      <c r="BA213" s="3264">
        <f t="shared" si="132"/>
        <v>0</v>
      </c>
      <c r="BB213" s="3264">
        <f t="shared" si="133"/>
        <v>0</v>
      </c>
      <c r="BC213" s="3264">
        <f t="shared" si="134"/>
        <v>0</v>
      </c>
      <c r="BD213" s="3264">
        <f t="shared" si="135"/>
        <v>0</v>
      </c>
      <c r="BE213" s="3264">
        <f t="shared" si="136"/>
        <v>0</v>
      </c>
      <c r="BF213" s="3264">
        <f t="shared" si="137"/>
        <v>0</v>
      </c>
      <c r="BG213" s="3264">
        <f t="shared" si="138"/>
        <v>0</v>
      </c>
      <c r="BH213" s="3264">
        <f t="shared" si="139"/>
        <v>0</v>
      </c>
      <c r="BI213" s="3264">
        <f t="shared" si="140"/>
        <v>0</v>
      </c>
      <c r="BJ213" s="3264">
        <f t="shared" si="141"/>
        <v>0</v>
      </c>
      <c r="BK213" s="3264">
        <f t="shared" si="142"/>
        <v>0</v>
      </c>
      <c r="BL213" s="3264">
        <f t="shared" si="143"/>
        <v>0</v>
      </c>
      <c r="BM213" s="3264">
        <f t="shared" si="144"/>
        <v>0</v>
      </c>
      <c r="BN213" s="3264">
        <f t="shared" si="145"/>
        <v>0</v>
      </c>
      <c r="BO213" s="3264">
        <f t="shared" si="146"/>
        <v>0</v>
      </c>
      <c r="BP213" s="3264">
        <f t="shared" si="147"/>
        <v>0</v>
      </c>
      <c r="BQ213" s="3264">
        <f t="shared" si="148"/>
        <v>0</v>
      </c>
      <c r="BR213" s="3264">
        <f t="shared" si="149"/>
        <v>0</v>
      </c>
      <c r="BS213" s="3264">
        <f t="shared" si="150"/>
        <v>0</v>
      </c>
      <c r="BT213" s="3317">
        <f t="shared" si="151"/>
        <v>0</v>
      </c>
    </row>
    <row r="214" spans="1:72">
      <c r="A214" s="3262"/>
      <c r="B214" s="3263"/>
      <c r="C214" s="3263"/>
      <c r="D214" s="3268"/>
      <c r="E214" s="3264">
        <f t="shared" si="123"/>
        <v>0</v>
      </c>
      <c r="F214" s="3265"/>
      <c r="G214" s="3266">
        <f t="shared" si="124"/>
        <v>0</v>
      </c>
      <c r="H214" s="3267">
        <f t="shared" si="125"/>
        <v>0</v>
      </c>
      <c r="I214" s="3275"/>
      <c r="J214" s="3275"/>
      <c r="K214" s="3275"/>
      <c r="L214" s="3275"/>
      <c r="M214" s="3275"/>
      <c r="N214" s="3275"/>
      <c r="O214" s="3275"/>
      <c r="P214" s="3275"/>
      <c r="Q214" s="3275"/>
      <c r="R214" s="3275"/>
      <c r="S214" s="3275"/>
      <c r="T214" s="3275"/>
      <c r="U214" s="3275"/>
      <c r="V214" s="3275"/>
      <c r="W214" s="3275"/>
      <c r="X214" s="3275"/>
      <c r="Y214" s="3275"/>
      <c r="Z214" s="3275"/>
      <c r="AA214" s="3275"/>
      <c r="AB214" s="3275"/>
      <c r="AC214" s="3264">
        <f t="shared" si="126"/>
        <v>0</v>
      </c>
      <c r="AD214" s="3285"/>
      <c r="AE214" s="3285"/>
      <c r="AF214" s="3285"/>
      <c r="AG214" s="3285"/>
      <c r="AH214" s="3285"/>
      <c r="AI214" s="3285"/>
      <c r="AJ214" s="3285"/>
      <c r="AK214" s="3285"/>
      <c r="AL214" s="3285"/>
      <c r="AM214" s="3285"/>
      <c r="AN214" s="3285"/>
      <c r="AO214" s="3285"/>
      <c r="AP214" s="3285"/>
      <c r="AQ214" s="3285"/>
      <c r="AR214" s="3285"/>
      <c r="AS214" s="3285"/>
      <c r="AT214" s="3295"/>
      <c r="AU214" s="3296"/>
      <c r="AV214" s="830">
        <f t="shared" si="127"/>
        <v>0</v>
      </c>
      <c r="AW214" s="830">
        <f t="shared" si="128"/>
        <v>0</v>
      </c>
      <c r="AX214" s="830">
        <f t="shared" si="129"/>
        <v>0</v>
      </c>
      <c r="AY214" s="3310">
        <f t="shared" si="130"/>
        <v>0</v>
      </c>
      <c r="AZ214" s="3264">
        <f t="shared" si="131"/>
        <v>0</v>
      </c>
      <c r="BA214" s="3264">
        <f t="shared" si="132"/>
        <v>0</v>
      </c>
      <c r="BB214" s="3264">
        <f t="shared" si="133"/>
        <v>0</v>
      </c>
      <c r="BC214" s="3264">
        <f t="shared" si="134"/>
        <v>0</v>
      </c>
      <c r="BD214" s="3264">
        <f t="shared" si="135"/>
        <v>0</v>
      </c>
      <c r="BE214" s="3264">
        <f t="shared" si="136"/>
        <v>0</v>
      </c>
      <c r="BF214" s="3264">
        <f t="shared" si="137"/>
        <v>0</v>
      </c>
      <c r="BG214" s="3264">
        <f t="shared" si="138"/>
        <v>0</v>
      </c>
      <c r="BH214" s="3264">
        <f t="shared" si="139"/>
        <v>0</v>
      </c>
      <c r="BI214" s="3264">
        <f t="shared" si="140"/>
        <v>0</v>
      </c>
      <c r="BJ214" s="3264">
        <f t="shared" si="141"/>
        <v>0</v>
      </c>
      <c r="BK214" s="3264">
        <f t="shared" si="142"/>
        <v>0</v>
      </c>
      <c r="BL214" s="3264">
        <f t="shared" si="143"/>
        <v>0</v>
      </c>
      <c r="BM214" s="3264">
        <f t="shared" si="144"/>
        <v>0</v>
      </c>
      <c r="BN214" s="3264">
        <f t="shared" si="145"/>
        <v>0</v>
      </c>
      <c r="BO214" s="3264">
        <f t="shared" si="146"/>
        <v>0</v>
      </c>
      <c r="BP214" s="3264">
        <f t="shared" si="147"/>
        <v>0</v>
      </c>
      <c r="BQ214" s="3264">
        <f t="shared" si="148"/>
        <v>0</v>
      </c>
      <c r="BR214" s="3264">
        <f t="shared" si="149"/>
        <v>0</v>
      </c>
      <c r="BS214" s="3264">
        <f t="shared" si="150"/>
        <v>0</v>
      </c>
      <c r="BT214" s="3317">
        <f t="shared" si="151"/>
        <v>0</v>
      </c>
    </row>
    <row r="215" spans="1:72">
      <c r="A215" s="3262"/>
      <c r="B215" s="3263"/>
      <c r="C215" s="3263"/>
      <c r="D215" s="3268"/>
      <c r="E215" s="3264">
        <f t="shared" si="123"/>
        <v>0</v>
      </c>
      <c r="F215" s="3265"/>
      <c r="G215" s="3266">
        <f t="shared" si="124"/>
        <v>0</v>
      </c>
      <c r="H215" s="3267">
        <f t="shared" si="125"/>
        <v>0</v>
      </c>
      <c r="I215" s="3275"/>
      <c r="J215" s="3275"/>
      <c r="K215" s="3275"/>
      <c r="L215" s="3275"/>
      <c r="M215" s="3275"/>
      <c r="N215" s="3275"/>
      <c r="O215" s="3275"/>
      <c r="P215" s="3275"/>
      <c r="Q215" s="3275"/>
      <c r="R215" s="3275"/>
      <c r="S215" s="3275"/>
      <c r="T215" s="3275"/>
      <c r="U215" s="3275"/>
      <c r="V215" s="3275"/>
      <c r="W215" s="3275"/>
      <c r="X215" s="3275"/>
      <c r="Y215" s="3275"/>
      <c r="Z215" s="3275"/>
      <c r="AA215" s="3275"/>
      <c r="AB215" s="3275"/>
      <c r="AC215" s="3264">
        <f t="shared" si="126"/>
        <v>0</v>
      </c>
      <c r="AD215" s="3285"/>
      <c r="AE215" s="3285"/>
      <c r="AF215" s="3285"/>
      <c r="AG215" s="3285"/>
      <c r="AH215" s="3285"/>
      <c r="AI215" s="3285"/>
      <c r="AJ215" s="3285"/>
      <c r="AK215" s="3285"/>
      <c r="AL215" s="3285"/>
      <c r="AM215" s="3285"/>
      <c r="AN215" s="3285"/>
      <c r="AO215" s="3285"/>
      <c r="AP215" s="3285"/>
      <c r="AQ215" s="3285"/>
      <c r="AR215" s="3285"/>
      <c r="AS215" s="3285"/>
      <c r="AT215" s="3295"/>
      <c r="AU215" s="3296"/>
      <c r="AV215" s="830">
        <f t="shared" si="127"/>
        <v>0</v>
      </c>
      <c r="AW215" s="830">
        <f t="shared" si="128"/>
        <v>0</v>
      </c>
      <c r="AX215" s="830">
        <f t="shared" si="129"/>
        <v>0</v>
      </c>
      <c r="AY215" s="3310">
        <f t="shared" si="130"/>
        <v>0</v>
      </c>
      <c r="AZ215" s="3264">
        <f t="shared" si="131"/>
        <v>0</v>
      </c>
      <c r="BA215" s="3264">
        <f t="shared" si="132"/>
        <v>0</v>
      </c>
      <c r="BB215" s="3264">
        <f t="shared" si="133"/>
        <v>0</v>
      </c>
      <c r="BC215" s="3264">
        <f t="shared" si="134"/>
        <v>0</v>
      </c>
      <c r="BD215" s="3264">
        <f t="shared" si="135"/>
        <v>0</v>
      </c>
      <c r="BE215" s="3264">
        <f t="shared" si="136"/>
        <v>0</v>
      </c>
      <c r="BF215" s="3264">
        <f t="shared" si="137"/>
        <v>0</v>
      </c>
      <c r="BG215" s="3264">
        <f t="shared" si="138"/>
        <v>0</v>
      </c>
      <c r="BH215" s="3264">
        <f t="shared" si="139"/>
        <v>0</v>
      </c>
      <c r="BI215" s="3264">
        <f t="shared" si="140"/>
        <v>0</v>
      </c>
      <c r="BJ215" s="3264">
        <f t="shared" si="141"/>
        <v>0</v>
      </c>
      <c r="BK215" s="3264">
        <f t="shared" si="142"/>
        <v>0</v>
      </c>
      <c r="BL215" s="3264">
        <f t="shared" si="143"/>
        <v>0</v>
      </c>
      <c r="BM215" s="3264">
        <f t="shared" si="144"/>
        <v>0</v>
      </c>
      <c r="BN215" s="3264">
        <f t="shared" si="145"/>
        <v>0</v>
      </c>
      <c r="BO215" s="3264">
        <f t="shared" si="146"/>
        <v>0</v>
      </c>
      <c r="BP215" s="3264">
        <f t="shared" si="147"/>
        <v>0</v>
      </c>
      <c r="BQ215" s="3264">
        <f t="shared" si="148"/>
        <v>0</v>
      </c>
      <c r="BR215" s="3264">
        <f t="shared" si="149"/>
        <v>0</v>
      </c>
      <c r="BS215" s="3264">
        <f t="shared" si="150"/>
        <v>0</v>
      </c>
      <c r="BT215" s="3317">
        <f t="shared" si="151"/>
        <v>0</v>
      </c>
    </row>
    <row r="216" spans="1:72">
      <c r="A216" s="3262"/>
      <c r="B216" s="3263"/>
      <c r="C216" s="3263"/>
      <c r="D216" s="3268"/>
      <c r="E216" s="3264">
        <f t="shared" si="123"/>
        <v>0</v>
      </c>
      <c r="F216" s="3265"/>
      <c r="G216" s="3266">
        <f t="shared" si="124"/>
        <v>0</v>
      </c>
      <c r="H216" s="3267">
        <f t="shared" si="125"/>
        <v>0</v>
      </c>
      <c r="I216" s="3275"/>
      <c r="J216" s="3275"/>
      <c r="K216" s="3275"/>
      <c r="L216" s="3275"/>
      <c r="M216" s="3275"/>
      <c r="N216" s="3275"/>
      <c r="O216" s="3275"/>
      <c r="P216" s="3275"/>
      <c r="Q216" s="3275"/>
      <c r="R216" s="3275"/>
      <c r="S216" s="3275"/>
      <c r="T216" s="3275"/>
      <c r="U216" s="3275"/>
      <c r="V216" s="3275"/>
      <c r="W216" s="3275"/>
      <c r="X216" s="3275"/>
      <c r="Y216" s="3275"/>
      <c r="Z216" s="3275"/>
      <c r="AA216" s="3275"/>
      <c r="AB216" s="3275"/>
      <c r="AC216" s="3264">
        <f t="shared" si="126"/>
        <v>0</v>
      </c>
      <c r="AD216" s="3285"/>
      <c r="AE216" s="3285"/>
      <c r="AF216" s="3285"/>
      <c r="AG216" s="3285"/>
      <c r="AH216" s="3285"/>
      <c r="AI216" s="3285"/>
      <c r="AJ216" s="3285"/>
      <c r="AK216" s="3285"/>
      <c r="AL216" s="3285"/>
      <c r="AM216" s="3285"/>
      <c r="AN216" s="3285"/>
      <c r="AO216" s="3285"/>
      <c r="AP216" s="3285"/>
      <c r="AQ216" s="3285"/>
      <c r="AR216" s="3285"/>
      <c r="AS216" s="3285"/>
      <c r="AT216" s="3295"/>
      <c r="AU216" s="3296"/>
      <c r="AV216" s="830">
        <f t="shared" si="127"/>
        <v>0</v>
      </c>
      <c r="AW216" s="830">
        <f t="shared" si="128"/>
        <v>0</v>
      </c>
      <c r="AX216" s="830">
        <f t="shared" si="129"/>
        <v>0</v>
      </c>
      <c r="AY216" s="3310">
        <f t="shared" si="130"/>
        <v>0</v>
      </c>
      <c r="AZ216" s="3264">
        <f t="shared" si="131"/>
        <v>0</v>
      </c>
      <c r="BA216" s="3264">
        <f t="shared" si="132"/>
        <v>0</v>
      </c>
      <c r="BB216" s="3264">
        <f t="shared" si="133"/>
        <v>0</v>
      </c>
      <c r="BC216" s="3264">
        <f t="shared" si="134"/>
        <v>0</v>
      </c>
      <c r="BD216" s="3264">
        <f t="shared" si="135"/>
        <v>0</v>
      </c>
      <c r="BE216" s="3264">
        <f t="shared" si="136"/>
        <v>0</v>
      </c>
      <c r="BF216" s="3264">
        <f t="shared" si="137"/>
        <v>0</v>
      </c>
      <c r="BG216" s="3264">
        <f t="shared" si="138"/>
        <v>0</v>
      </c>
      <c r="BH216" s="3264">
        <f t="shared" si="139"/>
        <v>0</v>
      </c>
      <c r="BI216" s="3264">
        <f t="shared" si="140"/>
        <v>0</v>
      </c>
      <c r="BJ216" s="3264">
        <f t="shared" si="141"/>
        <v>0</v>
      </c>
      <c r="BK216" s="3264">
        <f t="shared" si="142"/>
        <v>0</v>
      </c>
      <c r="BL216" s="3264">
        <f t="shared" si="143"/>
        <v>0</v>
      </c>
      <c r="BM216" s="3264">
        <f t="shared" si="144"/>
        <v>0</v>
      </c>
      <c r="BN216" s="3264">
        <f t="shared" si="145"/>
        <v>0</v>
      </c>
      <c r="BO216" s="3264">
        <f t="shared" si="146"/>
        <v>0</v>
      </c>
      <c r="BP216" s="3264">
        <f t="shared" si="147"/>
        <v>0</v>
      </c>
      <c r="BQ216" s="3264">
        <f t="shared" si="148"/>
        <v>0</v>
      </c>
      <c r="BR216" s="3264">
        <f t="shared" si="149"/>
        <v>0</v>
      </c>
      <c r="BS216" s="3264">
        <f t="shared" si="150"/>
        <v>0</v>
      </c>
      <c r="BT216" s="3317">
        <f t="shared" si="151"/>
        <v>0</v>
      </c>
    </row>
    <row r="217" spans="1:72">
      <c r="A217" s="3262"/>
      <c r="B217" s="3263"/>
      <c r="C217" s="3263"/>
      <c r="D217" s="3268"/>
      <c r="E217" s="3264">
        <f t="shared" si="123"/>
        <v>0</v>
      </c>
      <c r="F217" s="3265"/>
      <c r="G217" s="3266">
        <f t="shared" si="124"/>
        <v>0</v>
      </c>
      <c r="H217" s="3267">
        <f t="shared" si="125"/>
        <v>0</v>
      </c>
      <c r="I217" s="3275"/>
      <c r="J217" s="3275"/>
      <c r="K217" s="3275"/>
      <c r="L217" s="3275"/>
      <c r="M217" s="3275"/>
      <c r="N217" s="3275"/>
      <c r="O217" s="3275"/>
      <c r="P217" s="3275"/>
      <c r="Q217" s="3275"/>
      <c r="R217" s="3275"/>
      <c r="S217" s="3275"/>
      <c r="T217" s="3275"/>
      <c r="U217" s="3275"/>
      <c r="V217" s="3275"/>
      <c r="W217" s="3275"/>
      <c r="X217" s="3275"/>
      <c r="Y217" s="3275"/>
      <c r="Z217" s="3275"/>
      <c r="AA217" s="3275"/>
      <c r="AB217" s="3275"/>
      <c r="AC217" s="3264">
        <f t="shared" si="126"/>
        <v>0</v>
      </c>
      <c r="AD217" s="3285"/>
      <c r="AE217" s="3285"/>
      <c r="AF217" s="3285"/>
      <c r="AG217" s="3285"/>
      <c r="AH217" s="3285"/>
      <c r="AI217" s="3285"/>
      <c r="AJ217" s="3285"/>
      <c r="AK217" s="3285"/>
      <c r="AL217" s="3285"/>
      <c r="AM217" s="3285"/>
      <c r="AN217" s="3285"/>
      <c r="AO217" s="3285"/>
      <c r="AP217" s="3285"/>
      <c r="AQ217" s="3285"/>
      <c r="AR217" s="3285"/>
      <c r="AS217" s="3285"/>
      <c r="AT217" s="3295"/>
      <c r="AU217" s="3296"/>
      <c r="AV217" s="830">
        <f t="shared" si="127"/>
        <v>0</v>
      </c>
      <c r="AW217" s="830">
        <f t="shared" si="128"/>
        <v>0</v>
      </c>
      <c r="AX217" s="830">
        <f t="shared" si="129"/>
        <v>0</v>
      </c>
      <c r="AY217" s="3310">
        <f t="shared" si="130"/>
        <v>0</v>
      </c>
      <c r="AZ217" s="3264">
        <f t="shared" si="131"/>
        <v>0</v>
      </c>
      <c r="BA217" s="3264">
        <f t="shared" si="132"/>
        <v>0</v>
      </c>
      <c r="BB217" s="3264">
        <f t="shared" si="133"/>
        <v>0</v>
      </c>
      <c r="BC217" s="3264">
        <f t="shared" si="134"/>
        <v>0</v>
      </c>
      <c r="BD217" s="3264">
        <f t="shared" si="135"/>
        <v>0</v>
      </c>
      <c r="BE217" s="3264">
        <f t="shared" si="136"/>
        <v>0</v>
      </c>
      <c r="BF217" s="3264">
        <f t="shared" si="137"/>
        <v>0</v>
      </c>
      <c r="BG217" s="3264">
        <f t="shared" si="138"/>
        <v>0</v>
      </c>
      <c r="BH217" s="3264">
        <f t="shared" si="139"/>
        <v>0</v>
      </c>
      <c r="BI217" s="3264">
        <f t="shared" si="140"/>
        <v>0</v>
      </c>
      <c r="BJ217" s="3264">
        <f t="shared" si="141"/>
        <v>0</v>
      </c>
      <c r="BK217" s="3264">
        <f t="shared" si="142"/>
        <v>0</v>
      </c>
      <c r="BL217" s="3264">
        <f t="shared" si="143"/>
        <v>0</v>
      </c>
      <c r="BM217" s="3264">
        <f t="shared" si="144"/>
        <v>0</v>
      </c>
      <c r="BN217" s="3264">
        <f t="shared" si="145"/>
        <v>0</v>
      </c>
      <c r="BO217" s="3264">
        <f t="shared" si="146"/>
        <v>0</v>
      </c>
      <c r="BP217" s="3264">
        <f t="shared" si="147"/>
        <v>0</v>
      </c>
      <c r="BQ217" s="3264">
        <f t="shared" si="148"/>
        <v>0</v>
      </c>
      <c r="BR217" s="3264">
        <f t="shared" si="149"/>
        <v>0</v>
      </c>
      <c r="BS217" s="3264">
        <f t="shared" si="150"/>
        <v>0</v>
      </c>
      <c r="BT217" s="3317">
        <f t="shared" si="151"/>
        <v>0</v>
      </c>
    </row>
    <row r="218" spans="1:72">
      <c r="A218" s="3262"/>
      <c r="B218" s="3263"/>
      <c r="C218" s="3263"/>
      <c r="D218" s="3268"/>
      <c r="E218" s="3264">
        <f t="shared" si="123"/>
        <v>0</v>
      </c>
      <c r="F218" s="3265"/>
      <c r="G218" s="3266">
        <f t="shared" si="124"/>
        <v>0</v>
      </c>
      <c r="H218" s="3267">
        <f t="shared" si="125"/>
        <v>0</v>
      </c>
      <c r="I218" s="3275"/>
      <c r="J218" s="3275"/>
      <c r="K218" s="3275"/>
      <c r="L218" s="3275"/>
      <c r="M218" s="3275"/>
      <c r="N218" s="3275"/>
      <c r="O218" s="3275"/>
      <c r="P218" s="3275"/>
      <c r="Q218" s="3275"/>
      <c r="R218" s="3275"/>
      <c r="S218" s="3275"/>
      <c r="T218" s="3275"/>
      <c r="U218" s="3275"/>
      <c r="V218" s="3275"/>
      <c r="W218" s="3275"/>
      <c r="X218" s="3275"/>
      <c r="Y218" s="3275"/>
      <c r="Z218" s="3275"/>
      <c r="AA218" s="3275"/>
      <c r="AB218" s="3275"/>
      <c r="AC218" s="3264">
        <f t="shared" si="126"/>
        <v>0</v>
      </c>
      <c r="AD218" s="3285"/>
      <c r="AE218" s="3285"/>
      <c r="AF218" s="3285"/>
      <c r="AG218" s="3285"/>
      <c r="AH218" s="3285"/>
      <c r="AI218" s="3285"/>
      <c r="AJ218" s="3285"/>
      <c r="AK218" s="3285"/>
      <c r="AL218" s="3285"/>
      <c r="AM218" s="3285"/>
      <c r="AN218" s="3285"/>
      <c r="AO218" s="3285"/>
      <c r="AP218" s="3285"/>
      <c r="AQ218" s="3285"/>
      <c r="AR218" s="3285"/>
      <c r="AS218" s="3285"/>
      <c r="AT218" s="3295"/>
      <c r="AU218" s="3296"/>
      <c r="AV218" s="830">
        <f t="shared" si="127"/>
        <v>0</v>
      </c>
      <c r="AW218" s="830">
        <f t="shared" si="128"/>
        <v>0</v>
      </c>
      <c r="AX218" s="830">
        <f t="shared" si="129"/>
        <v>0</v>
      </c>
      <c r="AY218" s="3310">
        <f t="shared" si="130"/>
        <v>0</v>
      </c>
      <c r="AZ218" s="3264">
        <f t="shared" si="131"/>
        <v>0</v>
      </c>
      <c r="BA218" s="3264">
        <f t="shared" si="132"/>
        <v>0</v>
      </c>
      <c r="BB218" s="3264">
        <f t="shared" si="133"/>
        <v>0</v>
      </c>
      <c r="BC218" s="3264">
        <f t="shared" si="134"/>
        <v>0</v>
      </c>
      <c r="BD218" s="3264">
        <f t="shared" si="135"/>
        <v>0</v>
      </c>
      <c r="BE218" s="3264">
        <f t="shared" si="136"/>
        <v>0</v>
      </c>
      <c r="BF218" s="3264">
        <f t="shared" si="137"/>
        <v>0</v>
      </c>
      <c r="BG218" s="3264">
        <f t="shared" si="138"/>
        <v>0</v>
      </c>
      <c r="BH218" s="3264">
        <f t="shared" si="139"/>
        <v>0</v>
      </c>
      <c r="BI218" s="3264">
        <f t="shared" si="140"/>
        <v>0</v>
      </c>
      <c r="BJ218" s="3264">
        <f t="shared" si="141"/>
        <v>0</v>
      </c>
      <c r="BK218" s="3264">
        <f t="shared" si="142"/>
        <v>0</v>
      </c>
      <c r="BL218" s="3264">
        <f t="shared" si="143"/>
        <v>0</v>
      </c>
      <c r="BM218" s="3264">
        <f t="shared" si="144"/>
        <v>0</v>
      </c>
      <c r="BN218" s="3264">
        <f t="shared" si="145"/>
        <v>0</v>
      </c>
      <c r="BO218" s="3264">
        <f t="shared" si="146"/>
        <v>0</v>
      </c>
      <c r="BP218" s="3264">
        <f t="shared" si="147"/>
        <v>0</v>
      </c>
      <c r="BQ218" s="3264">
        <f t="shared" si="148"/>
        <v>0</v>
      </c>
      <c r="BR218" s="3264">
        <f t="shared" si="149"/>
        <v>0</v>
      </c>
      <c r="BS218" s="3264">
        <f t="shared" si="150"/>
        <v>0</v>
      </c>
      <c r="BT218" s="3317">
        <f t="shared" si="151"/>
        <v>0</v>
      </c>
    </row>
    <row r="219" spans="1:72">
      <c r="A219" s="3262"/>
      <c r="B219" s="3263"/>
      <c r="C219" s="3263"/>
      <c r="D219" s="3268"/>
      <c r="E219" s="3264">
        <f t="shared" si="123"/>
        <v>0</v>
      </c>
      <c r="F219" s="3265"/>
      <c r="G219" s="3266">
        <f t="shared" si="124"/>
        <v>0</v>
      </c>
      <c r="H219" s="3267">
        <f t="shared" si="125"/>
        <v>0</v>
      </c>
      <c r="I219" s="3275"/>
      <c r="J219" s="3275"/>
      <c r="K219" s="3275"/>
      <c r="L219" s="3275"/>
      <c r="M219" s="3275"/>
      <c r="N219" s="3275"/>
      <c r="O219" s="3275"/>
      <c r="P219" s="3275"/>
      <c r="Q219" s="3275"/>
      <c r="R219" s="3275"/>
      <c r="S219" s="3275"/>
      <c r="T219" s="3275"/>
      <c r="U219" s="3275"/>
      <c r="V219" s="3275"/>
      <c r="W219" s="3275"/>
      <c r="X219" s="3275"/>
      <c r="Y219" s="3275"/>
      <c r="Z219" s="3275"/>
      <c r="AA219" s="3275"/>
      <c r="AB219" s="3275"/>
      <c r="AC219" s="3264">
        <f t="shared" si="126"/>
        <v>0</v>
      </c>
      <c r="AD219" s="3285"/>
      <c r="AE219" s="3285"/>
      <c r="AF219" s="3285"/>
      <c r="AG219" s="3285"/>
      <c r="AH219" s="3285"/>
      <c r="AI219" s="3285"/>
      <c r="AJ219" s="3285"/>
      <c r="AK219" s="3285"/>
      <c r="AL219" s="3285"/>
      <c r="AM219" s="3285"/>
      <c r="AN219" s="3285"/>
      <c r="AO219" s="3285"/>
      <c r="AP219" s="3285"/>
      <c r="AQ219" s="3285"/>
      <c r="AR219" s="3285"/>
      <c r="AS219" s="3285"/>
      <c r="AT219" s="3295"/>
      <c r="AU219" s="3296"/>
      <c r="AV219" s="830">
        <f t="shared" si="127"/>
        <v>0</v>
      </c>
      <c r="AW219" s="830">
        <f t="shared" si="128"/>
        <v>0</v>
      </c>
      <c r="AX219" s="830">
        <f t="shared" si="129"/>
        <v>0</v>
      </c>
      <c r="AY219" s="3310">
        <f t="shared" si="130"/>
        <v>0</v>
      </c>
      <c r="AZ219" s="3264">
        <f t="shared" si="131"/>
        <v>0</v>
      </c>
      <c r="BA219" s="3264">
        <f t="shared" si="132"/>
        <v>0</v>
      </c>
      <c r="BB219" s="3264">
        <f t="shared" si="133"/>
        <v>0</v>
      </c>
      <c r="BC219" s="3264">
        <f t="shared" si="134"/>
        <v>0</v>
      </c>
      <c r="BD219" s="3264">
        <f t="shared" si="135"/>
        <v>0</v>
      </c>
      <c r="BE219" s="3264">
        <f t="shared" si="136"/>
        <v>0</v>
      </c>
      <c r="BF219" s="3264">
        <f t="shared" si="137"/>
        <v>0</v>
      </c>
      <c r="BG219" s="3264">
        <f t="shared" si="138"/>
        <v>0</v>
      </c>
      <c r="BH219" s="3264">
        <f t="shared" si="139"/>
        <v>0</v>
      </c>
      <c r="BI219" s="3264">
        <f t="shared" si="140"/>
        <v>0</v>
      </c>
      <c r="BJ219" s="3264">
        <f t="shared" si="141"/>
        <v>0</v>
      </c>
      <c r="BK219" s="3264">
        <f t="shared" si="142"/>
        <v>0</v>
      </c>
      <c r="BL219" s="3264">
        <f t="shared" si="143"/>
        <v>0</v>
      </c>
      <c r="BM219" s="3264">
        <f t="shared" si="144"/>
        <v>0</v>
      </c>
      <c r="BN219" s="3264">
        <f t="shared" si="145"/>
        <v>0</v>
      </c>
      <c r="BO219" s="3264">
        <f t="shared" si="146"/>
        <v>0</v>
      </c>
      <c r="BP219" s="3264">
        <f t="shared" si="147"/>
        <v>0</v>
      </c>
      <c r="BQ219" s="3264">
        <f t="shared" si="148"/>
        <v>0</v>
      </c>
      <c r="BR219" s="3264">
        <f t="shared" si="149"/>
        <v>0</v>
      </c>
      <c r="BS219" s="3264">
        <f t="shared" si="150"/>
        <v>0</v>
      </c>
      <c r="BT219" s="3317">
        <f t="shared" si="151"/>
        <v>0</v>
      </c>
    </row>
    <row r="220" spans="1:72">
      <c r="A220" s="3262"/>
      <c r="B220" s="3263"/>
      <c r="C220" s="3263"/>
      <c r="D220" s="3268"/>
      <c r="E220" s="3264">
        <f t="shared" si="123"/>
        <v>0</v>
      </c>
      <c r="F220" s="3265"/>
      <c r="G220" s="3266">
        <f t="shared" si="124"/>
        <v>0</v>
      </c>
      <c r="H220" s="3267">
        <f t="shared" si="125"/>
        <v>0</v>
      </c>
      <c r="I220" s="3275"/>
      <c r="J220" s="3275"/>
      <c r="K220" s="3275"/>
      <c r="L220" s="3275"/>
      <c r="M220" s="3275"/>
      <c r="N220" s="3275"/>
      <c r="O220" s="3275"/>
      <c r="P220" s="3275"/>
      <c r="Q220" s="3275"/>
      <c r="R220" s="3275"/>
      <c r="S220" s="3275"/>
      <c r="T220" s="3275"/>
      <c r="U220" s="3275"/>
      <c r="V220" s="3275"/>
      <c r="W220" s="3275"/>
      <c r="X220" s="3275"/>
      <c r="Y220" s="3275"/>
      <c r="Z220" s="3275"/>
      <c r="AA220" s="3275"/>
      <c r="AB220" s="3275"/>
      <c r="AC220" s="3264">
        <f t="shared" si="126"/>
        <v>0</v>
      </c>
      <c r="AD220" s="3285"/>
      <c r="AE220" s="3285"/>
      <c r="AF220" s="3285"/>
      <c r="AG220" s="3285"/>
      <c r="AH220" s="3285"/>
      <c r="AI220" s="3285"/>
      <c r="AJ220" s="3285"/>
      <c r="AK220" s="3285"/>
      <c r="AL220" s="3285"/>
      <c r="AM220" s="3285"/>
      <c r="AN220" s="3285"/>
      <c r="AO220" s="3285"/>
      <c r="AP220" s="3285"/>
      <c r="AQ220" s="3285"/>
      <c r="AR220" s="3285"/>
      <c r="AS220" s="3285"/>
      <c r="AT220" s="3295"/>
      <c r="AU220" s="3296"/>
      <c r="AV220" s="830">
        <f t="shared" si="127"/>
        <v>0</v>
      </c>
      <c r="AW220" s="830">
        <f t="shared" si="128"/>
        <v>0</v>
      </c>
      <c r="AX220" s="830">
        <f t="shared" si="129"/>
        <v>0</v>
      </c>
      <c r="AY220" s="3310">
        <f t="shared" si="130"/>
        <v>0</v>
      </c>
      <c r="AZ220" s="3264">
        <f t="shared" si="131"/>
        <v>0</v>
      </c>
      <c r="BA220" s="3264">
        <f t="shared" si="132"/>
        <v>0</v>
      </c>
      <c r="BB220" s="3264">
        <f t="shared" si="133"/>
        <v>0</v>
      </c>
      <c r="BC220" s="3264">
        <f t="shared" si="134"/>
        <v>0</v>
      </c>
      <c r="BD220" s="3264">
        <f t="shared" si="135"/>
        <v>0</v>
      </c>
      <c r="BE220" s="3264">
        <f t="shared" si="136"/>
        <v>0</v>
      </c>
      <c r="BF220" s="3264">
        <f t="shared" si="137"/>
        <v>0</v>
      </c>
      <c r="BG220" s="3264">
        <f t="shared" si="138"/>
        <v>0</v>
      </c>
      <c r="BH220" s="3264">
        <f t="shared" si="139"/>
        <v>0</v>
      </c>
      <c r="BI220" s="3264">
        <f t="shared" si="140"/>
        <v>0</v>
      </c>
      <c r="BJ220" s="3264">
        <f t="shared" si="141"/>
        <v>0</v>
      </c>
      <c r="BK220" s="3264">
        <f t="shared" si="142"/>
        <v>0</v>
      </c>
      <c r="BL220" s="3264">
        <f t="shared" si="143"/>
        <v>0</v>
      </c>
      <c r="BM220" s="3264">
        <f t="shared" si="144"/>
        <v>0</v>
      </c>
      <c r="BN220" s="3264">
        <f t="shared" si="145"/>
        <v>0</v>
      </c>
      <c r="BO220" s="3264">
        <f t="shared" si="146"/>
        <v>0</v>
      </c>
      <c r="BP220" s="3264">
        <f t="shared" si="147"/>
        <v>0</v>
      </c>
      <c r="BQ220" s="3264">
        <f t="shared" si="148"/>
        <v>0</v>
      </c>
      <c r="BR220" s="3264">
        <f t="shared" si="149"/>
        <v>0</v>
      </c>
      <c r="BS220" s="3264">
        <f t="shared" si="150"/>
        <v>0</v>
      </c>
      <c r="BT220" s="3317">
        <f t="shared" si="151"/>
        <v>0</v>
      </c>
    </row>
    <row r="221" spans="1:72">
      <c r="A221" s="3262"/>
      <c r="B221" s="3263"/>
      <c r="C221" s="3263"/>
      <c r="D221" s="3268"/>
      <c r="E221" s="3264">
        <f t="shared" si="123"/>
        <v>0</v>
      </c>
      <c r="F221" s="3265"/>
      <c r="G221" s="3266">
        <f t="shared" si="124"/>
        <v>0</v>
      </c>
      <c r="H221" s="3267">
        <f t="shared" si="125"/>
        <v>0</v>
      </c>
      <c r="I221" s="3275"/>
      <c r="J221" s="3275"/>
      <c r="K221" s="3275"/>
      <c r="L221" s="3275"/>
      <c r="M221" s="3275"/>
      <c r="N221" s="3275"/>
      <c r="O221" s="3275"/>
      <c r="P221" s="3275"/>
      <c r="Q221" s="3275"/>
      <c r="R221" s="3275"/>
      <c r="S221" s="3275"/>
      <c r="T221" s="3275"/>
      <c r="U221" s="3275"/>
      <c r="V221" s="3275"/>
      <c r="W221" s="3275"/>
      <c r="X221" s="3275"/>
      <c r="Y221" s="3275"/>
      <c r="Z221" s="3275"/>
      <c r="AA221" s="3275"/>
      <c r="AB221" s="3275"/>
      <c r="AC221" s="3264">
        <f t="shared" si="126"/>
        <v>0</v>
      </c>
      <c r="AD221" s="3285"/>
      <c r="AE221" s="3285"/>
      <c r="AF221" s="3285"/>
      <c r="AG221" s="3285"/>
      <c r="AH221" s="3285"/>
      <c r="AI221" s="3285"/>
      <c r="AJ221" s="3285"/>
      <c r="AK221" s="3285"/>
      <c r="AL221" s="3285"/>
      <c r="AM221" s="3285"/>
      <c r="AN221" s="3285"/>
      <c r="AO221" s="3285"/>
      <c r="AP221" s="3285"/>
      <c r="AQ221" s="3285"/>
      <c r="AR221" s="3285"/>
      <c r="AS221" s="3285"/>
      <c r="AT221" s="3295"/>
      <c r="AU221" s="3296"/>
      <c r="AV221" s="830">
        <f t="shared" si="127"/>
        <v>0</v>
      </c>
      <c r="AW221" s="830">
        <f t="shared" si="128"/>
        <v>0</v>
      </c>
      <c r="AX221" s="830">
        <f t="shared" si="129"/>
        <v>0</v>
      </c>
      <c r="AY221" s="3310">
        <f t="shared" si="130"/>
        <v>0</v>
      </c>
      <c r="AZ221" s="3264">
        <f t="shared" si="131"/>
        <v>0</v>
      </c>
      <c r="BA221" s="3264">
        <f t="shared" si="132"/>
        <v>0</v>
      </c>
      <c r="BB221" s="3264">
        <f t="shared" si="133"/>
        <v>0</v>
      </c>
      <c r="BC221" s="3264">
        <f t="shared" si="134"/>
        <v>0</v>
      </c>
      <c r="BD221" s="3264">
        <f t="shared" si="135"/>
        <v>0</v>
      </c>
      <c r="BE221" s="3264">
        <f t="shared" si="136"/>
        <v>0</v>
      </c>
      <c r="BF221" s="3264">
        <f t="shared" si="137"/>
        <v>0</v>
      </c>
      <c r="BG221" s="3264">
        <f t="shared" si="138"/>
        <v>0</v>
      </c>
      <c r="BH221" s="3264">
        <f t="shared" si="139"/>
        <v>0</v>
      </c>
      <c r="BI221" s="3264">
        <f t="shared" si="140"/>
        <v>0</v>
      </c>
      <c r="BJ221" s="3264">
        <f t="shared" si="141"/>
        <v>0</v>
      </c>
      <c r="BK221" s="3264">
        <f t="shared" si="142"/>
        <v>0</v>
      </c>
      <c r="BL221" s="3264">
        <f t="shared" si="143"/>
        <v>0</v>
      </c>
      <c r="BM221" s="3264">
        <f t="shared" si="144"/>
        <v>0</v>
      </c>
      <c r="BN221" s="3264">
        <f t="shared" si="145"/>
        <v>0</v>
      </c>
      <c r="BO221" s="3264">
        <f t="shared" si="146"/>
        <v>0</v>
      </c>
      <c r="BP221" s="3264">
        <f t="shared" si="147"/>
        <v>0</v>
      </c>
      <c r="BQ221" s="3264">
        <f t="shared" si="148"/>
        <v>0</v>
      </c>
      <c r="BR221" s="3264">
        <f t="shared" si="149"/>
        <v>0</v>
      </c>
      <c r="BS221" s="3264">
        <f t="shared" si="150"/>
        <v>0</v>
      </c>
      <c r="BT221" s="3317">
        <f t="shared" si="151"/>
        <v>0</v>
      </c>
    </row>
    <row r="222" spans="1:72">
      <c r="A222" s="3262"/>
      <c r="B222" s="3263"/>
      <c r="C222" s="3263"/>
      <c r="D222" s="3268"/>
      <c r="E222" s="3264">
        <f t="shared" si="123"/>
        <v>0</v>
      </c>
      <c r="F222" s="3265"/>
      <c r="G222" s="3266">
        <f t="shared" si="124"/>
        <v>0</v>
      </c>
      <c r="H222" s="3267">
        <f t="shared" si="125"/>
        <v>0</v>
      </c>
      <c r="I222" s="3275"/>
      <c r="J222" s="3275"/>
      <c r="K222" s="3275"/>
      <c r="L222" s="3275"/>
      <c r="M222" s="3275"/>
      <c r="N222" s="3275"/>
      <c r="O222" s="3275"/>
      <c r="P222" s="3275"/>
      <c r="Q222" s="3275"/>
      <c r="R222" s="3275"/>
      <c r="S222" s="3275"/>
      <c r="T222" s="3275"/>
      <c r="U222" s="3275"/>
      <c r="V222" s="3275"/>
      <c r="W222" s="3275"/>
      <c r="X222" s="3275"/>
      <c r="Y222" s="3275"/>
      <c r="Z222" s="3275"/>
      <c r="AA222" s="3275"/>
      <c r="AB222" s="3275"/>
      <c r="AC222" s="3264">
        <f t="shared" si="126"/>
        <v>0</v>
      </c>
      <c r="AD222" s="3285"/>
      <c r="AE222" s="3285"/>
      <c r="AF222" s="3285"/>
      <c r="AG222" s="3285"/>
      <c r="AH222" s="3285"/>
      <c r="AI222" s="3285"/>
      <c r="AJ222" s="3285"/>
      <c r="AK222" s="3285"/>
      <c r="AL222" s="3285"/>
      <c r="AM222" s="3285"/>
      <c r="AN222" s="3285"/>
      <c r="AO222" s="3285"/>
      <c r="AP222" s="3285"/>
      <c r="AQ222" s="3285"/>
      <c r="AR222" s="3285"/>
      <c r="AS222" s="3285"/>
      <c r="AT222" s="3295"/>
      <c r="AU222" s="3296"/>
      <c r="AV222" s="830">
        <f t="shared" si="127"/>
        <v>0</v>
      </c>
      <c r="AW222" s="830">
        <f t="shared" si="128"/>
        <v>0</v>
      </c>
      <c r="AX222" s="830">
        <f t="shared" si="129"/>
        <v>0</v>
      </c>
      <c r="AY222" s="3310">
        <f t="shared" si="130"/>
        <v>0</v>
      </c>
      <c r="AZ222" s="3264">
        <f t="shared" si="131"/>
        <v>0</v>
      </c>
      <c r="BA222" s="3264">
        <f t="shared" si="132"/>
        <v>0</v>
      </c>
      <c r="BB222" s="3264">
        <f t="shared" si="133"/>
        <v>0</v>
      </c>
      <c r="BC222" s="3264">
        <f t="shared" si="134"/>
        <v>0</v>
      </c>
      <c r="BD222" s="3264">
        <f t="shared" si="135"/>
        <v>0</v>
      </c>
      <c r="BE222" s="3264">
        <f t="shared" si="136"/>
        <v>0</v>
      </c>
      <c r="BF222" s="3264">
        <f t="shared" si="137"/>
        <v>0</v>
      </c>
      <c r="BG222" s="3264">
        <f t="shared" si="138"/>
        <v>0</v>
      </c>
      <c r="BH222" s="3264">
        <f t="shared" si="139"/>
        <v>0</v>
      </c>
      <c r="BI222" s="3264">
        <f t="shared" si="140"/>
        <v>0</v>
      </c>
      <c r="BJ222" s="3264">
        <f t="shared" si="141"/>
        <v>0</v>
      </c>
      <c r="BK222" s="3264">
        <f t="shared" si="142"/>
        <v>0</v>
      </c>
      <c r="BL222" s="3264">
        <f t="shared" si="143"/>
        <v>0</v>
      </c>
      <c r="BM222" s="3264">
        <f t="shared" si="144"/>
        <v>0</v>
      </c>
      <c r="BN222" s="3264">
        <f t="shared" si="145"/>
        <v>0</v>
      </c>
      <c r="BO222" s="3264">
        <f t="shared" si="146"/>
        <v>0</v>
      </c>
      <c r="BP222" s="3264">
        <f t="shared" si="147"/>
        <v>0</v>
      </c>
      <c r="BQ222" s="3264">
        <f t="shared" si="148"/>
        <v>0</v>
      </c>
      <c r="BR222" s="3264">
        <f t="shared" si="149"/>
        <v>0</v>
      </c>
      <c r="BS222" s="3264">
        <f t="shared" si="150"/>
        <v>0</v>
      </c>
      <c r="BT222" s="3317">
        <f t="shared" si="151"/>
        <v>0</v>
      </c>
    </row>
    <row r="223" spans="1:72">
      <c r="A223" s="3262"/>
      <c r="B223" s="3263"/>
      <c r="C223" s="3263"/>
      <c r="D223" s="3268"/>
      <c r="E223" s="3264">
        <f t="shared" si="123"/>
        <v>0</v>
      </c>
      <c r="F223" s="3265"/>
      <c r="G223" s="3266">
        <f t="shared" si="124"/>
        <v>0</v>
      </c>
      <c r="H223" s="3267">
        <f t="shared" si="125"/>
        <v>0</v>
      </c>
      <c r="I223" s="3275"/>
      <c r="J223" s="3275"/>
      <c r="K223" s="3275"/>
      <c r="L223" s="3275"/>
      <c r="M223" s="3275"/>
      <c r="N223" s="3275"/>
      <c r="O223" s="3275"/>
      <c r="P223" s="3275"/>
      <c r="Q223" s="3275"/>
      <c r="R223" s="3275"/>
      <c r="S223" s="3275"/>
      <c r="T223" s="3275"/>
      <c r="U223" s="3275"/>
      <c r="V223" s="3275"/>
      <c r="W223" s="3275"/>
      <c r="X223" s="3275"/>
      <c r="Y223" s="3275"/>
      <c r="Z223" s="3275"/>
      <c r="AA223" s="3275"/>
      <c r="AB223" s="3275"/>
      <c r="AC223" s="3264">
        <f t="shared" si="126"/>
        <v>0</v>
      </c>
      <c r="AD223" s="3285"/>
      <c r="AE223" s="3285"/>
      <c r="AF223" s="3285"/>
      <c r="AG223" s="3285"/>
      <c r="AH223" s="3285"/>
      <c r="AI223" s="3285"/>
      <c r="AJ223" s="3285"/>
      <c r="AK223" s="3285"/>
      <c r="AL223" s="3285"/>
      <c r="AM223" s="3285"/>
      <c r="AN223" s="3285"/>
      <c r="AO223" s="3285"/>
      <c r="AP223" s="3285"/>
      <c r="AQ223" s="3285"/>
      <c r="AR223" s="3285"/>
      <c r="AS223" s="3285"/>
      <c r="AT223" s="3295"/>
      <c r="AU223" s="3296"/>
      <c r="AV223" s="830">
        <f t="shared" si="127"/>
        <v>0</v>
      </c>
      <c r="AW223" s="830">
        <f t="shared" si="128"/>
        <v>0</v>
      </c>
      <c r="AX223" s="830">
        <f t="shared" si="129"/>
        <v>0</v>
      </c>
      <c r="AY223" s="3310">
        <f t="shared" si="130"/>
        <v>0</v>
      </c>
      <c r="AZ223" s="3264">
        <f t="shared" si="131"/>
        <v>0</v>
      </c>
      <c r="BA223" s="3264">
        <f t="shared" si="132"/>
        <v>0</v>
      </c>
      <c r="BB223" s="3264">
        <f t="shared" si="133"/>
        <v>0</v>
      </c>
      <c r="BC223" s="3264">
        <f t="shared" si="134"/>
        <v>0</v>
      </c>
      <c r="BD223" s="3264">
        <f t="shared" si="135"/>
        <v>0</v>
      </c>
      <c r="BE223" s="3264">
        <f t="shared" si="136"/>
        <v>0</v>
      </c>
      <c r="BF223" s="3264">
        <f t="shared" si="137"/>
        <v>0</v>
      </c>
      <c r="BG223" s="3264">
        <f t="shared" si="138"/>
        <v>0</v>
      </c>
      <c r="BH223" s="3264">
        <f t="shared" si="139"/>
        <v>0</v>
      </c>
      <c r="BI223" s="3264">
        <f t="shared" si="140"/>
        <v>0</v>
      </c>
      <c r="BJ223" s="3264">
        <f t="shared" si="141"/>
        <v>0</v>
      </c>
      <c r="BK223" s="3264">
        <f t="shared" si="142"/>
        <v>0</v>
      </c>
      <c r="BL223" s="3264">
        <f t="shared" si="143"/>
        <v>0</v>
      </c>
      <c r="BM223" s="3264">
        <f t="shared" si="144"/>
        <v>0</v>
      </c>
      <c r="BN223" s="3264">
        <f t="shared" si="145"/>
        <v>0</v>
      </c>
      <c r="BO223" s="3264">
        <f t="shared" si="146"/>
        <v>0</v>
      </c>
      <c r="BP223" s="3264">
        <f t="shared" si="147"/>
        <v>0</v>
      </c>
      <c r="BQ223" s="3264">
        <f t="shared" si="148"/>
        <v>0</v>
      </c>
      <c r="BR223" s="3264">
        <f t="shared" si="149"/>
        <v>0</v>
      </c>
      <c r="BS223" s="3264">
        <f t="shared" si="150"/>
        <v>0</v>
      </c>
      <c r="BT223" s="3317">
        <f t="shared" si="151"/>
        <v>0</v>
      </c>
    </row>
    <row r="224" spans="1:72">
      <c r="A224" s="3262"/>
      <c r="B224" s="3263"/>
      <c r="C224" s="3263"/>
      <c r="D224" s="3268"/>
      <c r="E224" s="3264">
        <f t="shared" si="123"/>
        <v>0</v>
      </c>
      <c r="F224" s="3265"/>
      <c r="G224" s="3266">
        <f t="shared" si="124"/>
        <v>0</v>
      </c>
      <c r="H224" s="3267">
        <f t="shared" si="125"/>
        <v>0</v>
      </c>
      <c r="I224" s="3275"/>
      <c r="J224" s="3275"/>
      <c r="K224" s="3275"/>
      <c r="L224" s="3275"/>
      <c r="M224" s="3275"/>
      <c r="N224" s="3275"/>
      <c r="O224" s="3275"/>
      <c r="P224" s="3275"/>
      <c r="Q224" s="3275"/>
      <c r="R224" s="3275"/>
      <c r="S224" s="3275"/>
      <c r="T224" s="3275"/>
      <c r="U224" s="3275"/>
      <c r="V224" s="3275"/>
      <c r="W224" s="3275"/>
      <c r="X224" s="3275"/>
      <c r="Y224" s="3275"/>
      <c r="Z224" s="3275"/>
      <c r="AA224" s="3275"/>
      <c r="AB224" s="3275"/>
      <c r="AC224" s="3264">
        <f t="shared" si="126"/>
        <v>0</v>
      </c>
      <c r="AD224" s="3285"/>
      <c r="AE224" s="3285"/>
      <c r="AF224" s="3285"/>
      <c r="AG224" s="3285"/>
      <c r="AH224" s="3285"/>
      <c r="AI224" s="3285"/>
      <c r="AJ224" s="3285"/>
      <c r="AK224" s="3285"/>
      <c r="AL224" s="3285"/>
      <c r="AM224" s="3285"/>
      <c r="AN224" s="3285"/>
      <c r="AO224" s="3285"/>
      <c r="AP224" s="3285"/>
      <c r="AQ224" s="3285"/>
      <c r="AR224" s="3285"/>
      <c r="AS224" s="3285"/>
      <c r="AT224" s="3295"/>
      <c r="AU224" s="3296"/>
      <c r="AV224" s="830">
        <f t="shared" si="127"/>
        <v>0</v>
      </c>
      <c r="AW224" s="830">
        <f t="shared" si="128"/>
        <v>0</v>
      </c>
      <c r="AX224" s="830">
        <f t="shared" si="129"/>
        <v>0</v>
      </c>
      <c r="AY224" s="3310">
        <f t="shared" si="130"/>
        <v>0</v>
      </c>
      <c r="AZ224" s="3264">
        <f t="shared" si="131"/>
        <v>0</v>
      </c>
      <c r="BA224" s="3264">
        <f t="shared" si="132"/>
        <v>0</v>
      </c>
      <c r="BB224" s="3264">
        <f t="shared" si="133"/>
        <v>0</v>
      </c>
      <c r="BC224" s="3264">
        <f t="shared" si="134"/>
        <v>0</v>
      </c>
      <c r="BD224" s="3264">
        <f t="shared" si="135"/>
        <v>0</v>
      </c>
      <c r="BE224" s="3264">
        <f t="shared" si="136"/>
        <v>0</v>
      </c>
      <c r="BF224" s="3264">
        <f t="shared" si="137"/>
        <v>0</v>
      </c>
      <c r="BG224" s="3264">
        <f t="shared" si="138"/>
        <v>0</v>
      </c>
      <c r="BH224" s="3264">
        <f t="shared" si="139"/>
        <v>0</v>
      </c>
      <c r="BI224" s="3264">
        <f t="shared" si="140"/>
        <v>0</v>
      </c>
      <c r="BJ224" s="3264">
        <f t="shared" si="141"/>
        <v>0</v>
      </c>
      <c r="BK224" s="3264">
        <f t="shared" si="142"/>
        <v>0</v>
      </c>
      <c r="BL224" s="3264">
        <f t="shared" si="143"/>
        <v>0</v>
      </c>
      <c r="BM224" s="3264">
        <f t="shared" si="144"/>
        <v>0</v>
      </c>
      <c r="BN224" s="3264">
        <f t="shared" si="145"/>
        <v>0</v>
      </c>
      <c r="BO224" s="3264">
        <f t="shared" si="146"/>
        <v>0</v>
      </c>
      <c r="BP224" s="3264">
        <f t="shared" si="147"/>
        <v>0</v>
      </c>
      <c r="BQ224" s="3264">
        <f t="shared" si="148"/>
        <v>0</v>
      </c>
      <c r="BR224" s="3264">
        <f t="shared" si="149"/>
        <v>0</v>
      </c>
      <c r="BS224" s="3264">
        <f t="shared" si="150"/>
        <v>0</v>
      </c>
      <c r="BT224" s="3317">
        <f t="shared" si="151"/>
        <v>0</v>
      </c>
    </row>
    <row r="225" spans="1:72">
      <c r="A225" s="3262"/>
      <c r="B225" s="3263"/>
      <c r="C225" s="3263"/>
      <c r="D225" s="3268"/>
      <c r="E225" s="3264">
        <f t="shared" si="123"/>
        <v>0</v>
      </c>
      <c r="F225" s="3265"/>
      <c r="G225" s="3266">
        <f t="shared" si="124"/>
        <v>0</v>
      </c>
      <c r="H225" s="3267">
        <f t="shared" si="125"/>
        <v>0</v>
      </c>
      <c r="I225" s="3275"/>
      <c r="J225" s="3275"/>
      <c r="K225" s="3275"/>
      <c r="L225" s="3275"/>
      <c r="M225" s="3275"/>
      <c r="N225" s="3275"/>
      <c r="O225" s="3275"/>
      <c r="P225" s="3275"/>
      <c r="Q225" s="3275"/>
      <c r="R225" s="3275"/>
      <c r="S225" s="3275"/>
      <c r="T225" s="3275"/>
      <c r="U225" s="3275"/>
      <c r="V225" s="3275"/>
      <c r="W225" s="3275"/>
      <c r="X225" s="3275"/>
      <c r="Y225" s="3275"/>
      <c r="Z225" s="3275"/>
      <c r="AA225" s="3275"/>
      <c r="AB225" s="3275"/>
      <c r="AC225" s="3264">
        <f t="shared" si="126"/>
        <v>0</v>
      </c>
      <c r="AD225" s="3285"/>
      <c r="AE225" s="3285"/>
      <c r="AF225" s="3285"/>
      <c r="AG225" s="3285"/>
      <c r="AH225" s="3285"/>
      <c r="AI225" s="3285"/>
      <c r="AJ225" s="3285"/>
      <c r="AK225" s="3285"/>
      <c r="AL225" s="3285"/>
      <c r="AM225" s="3285"/>
      <c r="AN225" s="3285"/>
      <c r="AO225" s="3285"/>
      <c r="AP225" s="3285"/>
      <c r="AQ225" s="3285"/>
      <c r="AR225" s="3285"/>
      <c r="AS225" s="3285"/>
      <c r="AT225" s="3295"/>
      <c r="AU225" s="3296"/>
      <c r="AV225" s="830">
        <f t="shared" si="127"/>
        <v>0</v>
      </c>
      <c r="AW225" s="830">
        <f t="shared" si="128"/>
        <v>0</v>
      </c>
      <c r="AX225" s="830">
        <f t="shared" si="129"/>
        <v>0</v>
      </c>
      <c r="AY225" s="3310">
        <f t="shared" si="130"/>
        <v>0</v>
      </c>
      <c r="AZ225" s="3264">
        <f t="shared" si="131"/>
        <v>0</v>
      </c>
      <c r="BA225" s="3264">
        <f t="shared" si="132"/>
        <v>0</v>
      </c>
      <c r="BB225" s="3264">
        <f t="shared" si="133"/>
        <v>0</v>
      </c>
      <c r="BC225" s="3264">
        <f t="shared" si="134"/>
        <v>0</v>
      </c>
      <c r="BD225" s="3264">
        <f t="shared" si="135"/>
        <v>0</v>
      </c>
      <c r="BE225" s="3264">
        <f t="shared" si="136"/>
        <v>0</v>
      </c>
      <c r="BF225" s="3264">
        <f t="shared" si="137"/>
        <v>0</v>
      </c>
      <c r="BG225" s="3264">
        <f t="shared" si="138"/>
        <v>0</v>
      </c>
      <c r="BH225" s="3264">
        <f t="shared" si="139"/>
        <v>0</v>
      </c>
      <c r="BI225" s="3264">
        <f t="shared" si="140"/>
        <v>0</v>
      </c>
      <c r="BJ225" s="3264">
        <f t="shared" si="141"/>
        <v>0</v>
      </c>
      <c r="BK225" s="3264">
        <f t="shared" si="142"/>
        <v>0</v>
      </c>
      <c r="BL225" s="3264">
        <f t="shared" si="143"/>
        <v>0</v>
      </c>
      <c r="BM225" s="3264">
        <f t="shared" si="144"/>
        <v>0</v>
      </c>
      <c r="BN225" s="3264">
        <f t="shared" si="145"/>
        <v>0</v>
      </c>
      <c r="BO225" s="3264">
        <f t="shared" si="146"/>
        <v>0</v>
      </c>
      <c r="BP225" s="3264">
        <f t="shared" si="147"/>
        <v>0</v>
      </c>
      <c r="BQ225" s="3264">
        <f t="shared" si="148"/>
        <v>0</v>
      </c>
      <c r="BR225" s="3264">
        <f t="shared" si="149"/>
        <v>0</v>
      </c>
      <c r="BS225" s="3264">
        <f t="shared" si="150"/>
        <v>0</v>
      </c>
      <c r="BT225" s="3317">
        <f t="shared" si="151"/>
        <v>0</v>
      </c>
    </row>
    <row r="226" spans="1:72">
      <c r="A226" s="3262"/>
      <c r="B226" s="3263"/>
      <c r="C226" s="3263"/>
      <c r="D226" s="3268"/>
      <c r="E226" s="3264">
        <f t="shared" si="123"/>
        <v>0</v>
      </c>
      <c r="F226" s="3265"/>
      <c r="G226" s="3266">
        <f t="shared" si="124"/>
        <v>0</v>
      </c>
      <c r="H226" s="3267">
        <f t="shared" si="125"/>
        <v>0</v>
      </c>
      <c r="I226" s="3275"/>
      <c r="J226" s="3275"/>
      <c r="K226" s="3275"/>
      <c r="L226" s="3275"/>
      <c r="M226" s="3275"/>
      <c r="N226" s="3275"/>
      <c r="O226" s="3275"/>
      <c r="P226" s="3275"/>
      <c r="Q226" s="3275"/>
      <c r="R226" s="3275"/>
      <c r="S226" s="3275"/>
      <c r="T226" s="3275"/>
      <c r="U226" s="3275"/>
      <c r="V226" s="3275"/>
      <c r="W226" s="3275"/>
      <c r="X226" s="3275"/>
      <c r="Y226" s="3275"/>
      <c r="Z226" s="3275"/>
      <c r="AA226" s="3275"/>
      <c r="AB226" s="3275"/>
      <c r="AC226" s="3264">
        <f t="shared" si="126"/>
        <v>0</v>
      </c>
      <c r="AD226" s="3285"/>
      <c r="AE226" s="3285"/>
      <c r="AF226" s="3285"/>
      <c r="AG226" s="3285"/>
      <c r="AH226" s="3285"/>
      <c r="AI226" s="3285"/>
      <c r="AJ226" s="3285"/>
      <c r="AK226" s="3285"/>
      <c r="AL226" s="3285"/>
      <c r="AM226" s="3285"/>
      <c r="AN226" s="3285"/>
      <c r="AO226" s="3285"/>
      <c r="AP226" s="3285"/>
      <c r="AQ226" s="3285"/>
      <c r="AR226" s="3285"/>
      <c r="AS226" s="3285"/>
      <c r="AT226" s="3295"/>
      <c r="AU226" s="3296"/>
      <c r="AV226" s="830">
        <f t="shared" si="127"/>
        <v>0</v>
      </c>
      <c r="AW226" s="830">
        <f t="shared" si="128"/>
        <v>0</v>
      </c>
      <c r="AX226" s="830">
        <f t="shared" si="129"/>
        <v>0</v>
      </c>
      <c r="AY226" s="3310">
        <f t="shared" si="130"/>
        <v>0</v>
      </c>
      <c r="AZ226" s="3264">
        <f t="shared" si="131"/>
        <v>0</v>
      </c>
      <c r="BA226" s="3264">
        <f t="shared" si="132"/>
        <v>0</v>
      </c>
      <c r="BB226" s="3264">
        <f t="shared" si="133"/>
        <v>0</v>
      </c>
      <c r="BC226" s="3264">
        <f t="shared" si="134"/>
        <v>0</v>
      </c>
      <c r="BD226" s="3264">
        <f t="shared" si="135"/>
        <v>0</v>
      </c>
      <c r="BE226" s="3264">
        <f t="shared" si="136"/>
        <v>0</v>
      </c>
      <c r="BF226" s="3264">
        <f t="shared" si="137"/>
        <v>0</v>
      </c>
      <c r="BG226" s="3264">
        <f t="shared" si="138"/>
        <v>0</v>
      </c>
      <c r="BH226" s="3264">
        <f t="shared" si="139"/>
        <v>0</v>
      </c>
      <c r="BI226" s="3264">
        <f t="shared" si="140"/>
        <v>0</v>
      </c>
      <c r="BJ226" s="3264">
        <f t="shared" si="141"/>
        <v>0</v>
      </c>
      <c r="BK226" s="3264">
        <f t="shared" si="142"/>
        <v>0</v>
      </c>
      <c r="BL226" s="3264">
        <f t="shared" si="143"/>
        <v>0</v>
      </c>
      <c r="BM226" s="3264">
        <f t="shared" si="144"/>
        <v>0</v>
      </c>
      <c r="BN226" s="3264">
        <f t="shared" si="145"/>
        <v>0</v>
      </c>
      <c r="BO226" s="3264">
        <f t="shared" si="146"/>
        <v>0</v>
      </c>
      <c r="BP226" s="3264">
        <f t="shared" si="147"/>
        <v>0</v>
      </c>
      <c r="BQ226" s="3264">
        <f t="shared" si="148"/>
        <v>0</v>
      </c>
      <c r="BR226" s="3264">
        <f t="shared" si="149"/>
        <v>0</v>
      </c>
      <c r="BS226" s="3264">
        <f t="shared" si="150"/>
        <v>0</v>
      </c>
      <c r="BT226" s="3317">
        <f t="shared" si="151"/>
        <v>0</v>
      </c>
    </row>
    <row r="227" spans="1:72">
      <c r="A227" s="3262"/>
      <c r="B227" s="3263"/>
      <c r="C227" s="3263"/>
      <c r="D227" s="3268"/>
      <c r="E227" s="3264">
        <f t="shared" si="123"/>
        <v>0</v>
      </c>
      <c r="F227" s="3265"/>
      <c r="G227" s="3266">
        <f t="shared" si="124"/>
        <v>0</v>
      </c>
      <c r="H227" s="3267">
        <f t="shared" si="125"/>
        <v>0</v>
      </c>
      <c r="I227" s="3275"/>
      <c r="J227" s="3275"/>
      <c r="K227" s="3275"/>
      <c r="L227" s="3275"/>
      <c r="M227" s="3275"/>
      <c r="N227" s="3275"/>
      <c r="O227" s="3275"/>
      <c r="P227" s="3275"/>
      <c r="Q227" s="3275"/>
      <c r="R227" s="3275"/>
      <c r="S227" s="3275"/>
      <c r="T227" s="3275"/>
      <c r="U227" s="3275"/>
      <c r="V227" s="3275"/>
      <c r="W227" s="3275"/>
      <c r="X227" s="3275"/>
      <c r="Y227" s="3275"/>
      <c r="Z227" s="3275"/>
      <c r="AA227" s="3275"/>
      <c r="AB227" s="3275"/>
      <c r="AC227" s="3264">
        <f t="shared" si="126"/>
        <v>0</v>
      </c>
      <c r="AD227" s="3285"/>
      <c r="AE227" s="3285"/>
      <c r="AF227" s="3285"/>
      <c r="AG227" s="3285"/>
      <c r="AH227" s="3285"/>
      <c r="AI227" s="3285"/>
      <c r="AJ227" s="3285"/>
      <c r="AK227" s="3285"/>
      <c r="AL227" s="3285"/>
      <c r="AM227" s="3285"/>
      <c r="AN227" s="3285"/>
      <c r="AO227" s="3285"/>
      <c r="AP227" s="3285"/>
      <c r="AQ227" s="3285"/>
      <c r="AR227" s="3285"/>
      <c r="AS227" s="3285"/>
      <c r="AT227" s="3295"/>
      <c r="AU227" s="3296"/>
      <c r="AV227" s="830">
        <f t="shared" si="127"/>
        <v>0</v>
      </c>
      <c r="AW227" s="830">
        <f t="shared" si="128"/>
        <v>0</v>
      </c>
      <c r="AX227" s="830">
        <f t="shared" si="129"/>
        <v>0</v>
      </c>
      <c r="AY227" s="3310">
        <f t="shared" si="130"/>
        <v>0</v>
      </c>
      <c r="AZ227" s="3264">
        <f t="shared" si="131"/>
        <v>0</v>
      </c>
      <c r="BA227" s="3264">
        <f t="shared" si="132"/>
        <v>0</v>
      </c>
      <c r="BB227" s="3264">
        <f t="shared" si="133"/>
        <v>0</v>
      </c>
      <c r="BC227" s="3264">
        <f t="shared" si="134"/>
        <v>0</v>
      </c>
      <c r="BD227" s="3264">
        <f t="shared" si="135"/>
        <v>0</v>
      </c>
      <c r="BE227" s="3264">
        <f t="shared" si="136"/>
        <v>0</v>
      </c>
      <c r="BF227" s="3264">
        <f t="shared" si="137"/>
        <v>0</v>
      </c>
      <c r="BG227" s="3264">
        <f t="shared" si="138"/>
        <v>0</v>
      </c>
      <c r="BH227" s="3264">
        <f t="shared" si="139"/>
        <v>0</v>
      </c>
      <c r="BI227" s="3264">
        <f t="shared" si="140"/>
        <v>0</v>
      </c>
      <c r="BJ227" s="3264">
        <f t="shared" si="141"/>
        <v>0</v>
      </c>
      <c r="BK227" s="3264">
        <f t="shared" si="142"/>
        <v>0</v>
      </c>
      <c r="BL227" s="3264">
        <f t="shared" si="143"/>
        <v>0</v>
      </c>
      <c r="BM227" s="3264">
        <f t="shared" si="144"/>
        <v>0</v>
      </c>
      <c r="BN227" s="3264">
        <f t="shared" si="145"/>
        <v>0</v>
      </c>
      <c r="BO227" s="3264">
        <f t="shared" si="146"/>
        <v>0</v>
      </c>
      <c r="BP227" s="3264">
        <f t="shared" si="147"/>
        <v>0</v>
      </c>
      <c r="BQ227" s="3264">
        <f t="shared" si="148"/>
        <v>0</v>
      </c>
      <c r="BR227" s="3264">
        <f t="shared" si="149"/>
        <v>0</v>
      </c>
      <c r="BS227" s="3264">
        <f t="shared" si="150"/>
        <v>0</v>
      </c>
      <c r="BT227" s="3317">
        <f t="shared" si="151"/>
        <v>0</v>
      </c>
    </row>
    <row r="228" spans="1:72">
      <c r="A228" s="3262"/>
      <c r="B228" s="3263"/>
      <c r="C228" s="3263"/>
      <c r="D228" s="3268"/>
      <c r="E228" s="3264">
        <f t="shared" si="123"/>
        <v>0</v>
      </c>
      <c r="F228" s="3265"/>
      <c r="G228" s="3266">
        <f t="shared" si="124"/>
        <v>0</v>
      </c>
      <c r="H228" s="3267">
        <f t="shared" si="125"/>
        <v>0</v>
      </c>
      <c r="I228" s="3275"/>
      <c r="J228" s="3275"/>
      <c r="K228" s="3275"/>
      <c r="L228" s="3275"/>
      <c r="M228" s="3275"/>
      <c r="N228" s="3275"/>
      <c r="O228" s="3275"/>
      <c r="P228" s="3275"/>
      <c r="Q228" s="3275"/>
      <c r="R228" s="3275"/>
      <c r="S228" s="3275"/>
      <c r="T228" s="3275"/>
      <c r="U228" s="3275"/>
      <c r="V228" s="3275"/>
      <c r="W228" s="3275"/>
      <c r="X228" s="3275"/>
      <c r="Y228" s="3275"/>
      <c r="Z228" s="3275"/>
      <c r="AA228" s="3275"/>
      <c r="AB228" s="3275"/>
      <c r="AC228" s="3264">
        <f t="shared" si="126"/>
        <v>0</v>
      </c>
      <c r="AD228" s="3285"/>
      <c r="AE228" s="3285"/>
      <c r="AF228" s="3285"/>
      <c r="AG228" s="3285"/>
      <c r="AH228" s="3285"/>
      <c r="AI228" s="3285"/>
      <c r="AJ228" s="3285"/>
      <c r="AK228" s="3285"/>
      <c r="AL228" s="3285"/>
      <c r="AM228" s="3285"/>
      <c r="AN228" s="3285"/>
      <c r="AO228" s="3285"/>
      <c r="AP228" s="3285"/>
      <c r="AQ228" s="3285"/>
      <c r="AR228" s="3285"/>
      <c r="AS228" s="3285"/>
      <c r="AT228" s="3295"/>
      <c r="AU228" s="3296"/>
      <c r="AV228" s="830">
        <f t="shared" si="127"/>
        <v>0</v>
      </c>
      <c r="AW228" s="830">
        <f t="shared" si="128"/>
        <v>0</v>
      </c>
      <c r="AX228" s="830">
        <f t="shared" si="129"/>
        <v>0</v>
      </c>
      <c r="AY228" s="3310">
        <f t="shared" si="130"/>
        <v>0</v>
      </c>
      <c r="AZ228" s="3264">
        <f t="shared" si="131"/>
        <v>0</v>
      </c>
      <c r="BA228" s="3264">
        <f t="shared" si="132"/>
        <v>0</v>
      </c>
      <c r="BB228" s="3264">
        <f t="shared" si="133"/>
        <v>0</v>
      </c>
      <c r="BC228" s="3264">
        <f t="shared" si="134"/>
        <v>0</v>
      </c>
      <c r="BD228" s="3264">
        <f t="shared" si="135"/>
        <v>0</v>
      </c>
      <c r="BE228" s="3264">
        <f t="shared" si="136"/>
        <v>0</v>
      </c>
      <c r="BF228" s="3264">
        <f t="shared" si="137"/>
        <v>0</v>
      </c>
      <c r="BG228" s="3264">
        <f t="shared" si="138"/>
        <v>0</v>
      </c>
      <c r="BH228" s="3264">
        <f t="shared" si="139"/>
        <v>0</v>
      </c>
      <c r="BI228" s="3264">
        <f t="shared" si="140"/>
        <v>0</v>
      </c>
      <c r="BJ228" s="3264">
        <f t="shared" si="141"/>
        <v>0</v>
      </c>
      <c r="BK228" s="3264">
        <f t="shared" si="142"/>
        <v>0</v>
      </c>
      <c r="BL228" s="3264">
        <f t="shared" si="143"/>
        <v>0</v>
      </c>
      <c r="BM228" s="3264">
        <f t="shared" si="144"/>
        <v>0</v>
      </c>
      <c r="BN228" s="3264">
        <f t="shared" si="145"/>
        <v>0</v>
      </c>
      <c r="BO228" s="3264">
        <f t="shared" si="146"/>
        <v>0</v>
      </c>
      <c r="BP228" s="3264">
        <f t="shared" si="147"/>
        <v>0</v>
      </c>
      <c r="BQ228" s="3264">
        <f t="shared" si="148"/>
        <v>0</v>
      </c>
      <c r="BR228" s="3264">
        <f t="shared" si="149"/>
        <v>0</v>
      </c>
      <c r="BS228" s="3264">
        <f t="shared" si="150"/>
        <v>0</v>
      </c>
      <c r="BT228" s="3317">
        <f t="shared" si="151"/>
        <v>0</v>
      </c>
    </row>
    <row r="229" spans="1:72">
      <c r="A229" s="3262"/>
      <c r="B229" s="3263"/>
      <c r="C229" s="3263"/>
      <c r="D229" s="3268"/>
      <c r="E229" s="3264">
        <f t="shared" si="123"/>
        <v>0</v>
      </c>
      <c r="F229" s="3265"/>
      <c r="G229" s="3266">
        <f t="shared" si="124"/>
        <v>0</v>
      </c>
      <c r="H229" s="3267">
        <f t="shared" si="125"/>
        <v>0</v>
      </c>
      <c r="I229" s="3275"/>
      <c r="J229" s="3275"/>
      <c r="K229" s="3275"/>
      <c r="L229" s="3275"/>
      <c r="M229" s="3275"/>
      <c r="N229" s="3275"/>
      <c r="O229" s="3275"/>
      <c r="P229" s="3275"/>
      <c r="Q229" s="3275"/>
      <c r="R229" s="3275"/>
      <c r="S229" s="3275"/>
      <c r="T229" s="3275"/>
      <c r="U229" s="3275"/>
      <c r="V229" s="3275"/>
      <c r="W229" s="3275"/>
      <c r="X229" s="3275"/>
      <c r="Y229" s="3275"/>
      <c r="Z229" s="3275"/>
      <c r="AA229" s="3275"/>
      <c r="AB229" s="3275"/>
      <c r="AC229" s="3264">
        <f t="shared" si="126"/>
        <v>0</v>
      </c>
      <c r="AD229" s="3285"/>
      <c r="AE229" s="3285"/>
      <c r="AF229" s="3285"/>
      <c r="AG229" s="3285"/>
      <c r="AH229" s="3285"/>
      <c r="AI229" s="3285"/>
      <c r="AJ229" s="3285"/>
      <c r="AK229" s="3285"/>
      <c r="AL229" s="3285"/>
      <c r="AM229" s="3285"/>
      <c r="AN229" s="3285"/>
      <c r="AO229" s="3285"/>
      <c r="AP229" s="3285"/>
      <c r="AQ229" s="3285"/>
      <c r="AR229" s="3285"/>
      <c r="AS229" s="3285"/>
      <c r="AT229" s="3295"/>
      <c r="AU229" s="3296"/>
      <c r="AV229" s="830">
        <f t="shared" si="127"/>
        <v>0</v>
      </c>
      <c r="AW229" s="830">
        <f t="shared" si="128"/>
        <v>0</v>
      </c>
      <c r="AX229" s="830">
        <f t="shared" si="129"/>
        <v>0</v>
      </c>
      <c r="AY229" s="3310">
        <f t="shared" si="130"/>
        <v>0</v>
      </c>
      <c r="AZ229" s="3264">
        <f t="shared" si="131"/>
        <v>0</v>
      </c>
      <c r="BA229" s="3264">
        <f t="shared" si="132"/>
        <v>0</v>
      </c>
      <c r="BB229" s="3264">
        <f t="shared" si="133"/>
        <v>0</v>
      </c>
      <c r="BC229" s="3264">
        <f t="shared" si="134"/>
        <v>0</v>
      </c>
      <c r="BD229" s="3264">
        <f t="shared" si="135"/>
        <v>0</v>
      </c>
      <c r="BE229" s="3264">
        <f t="shared" si="136"/>
        <v>0</v>
      </c>
      <c r="BF229" s="3264">
        <f t="shared" si="137"/>
        <v>0</v>
      </c>
      <c r="BG229" s="3264">
        <f t="shared" si="138"/>
        <v>0</v>
      </c>
      <c r="BH229" s="3264">
        <f t="shared" si="139"/>
        <v>0</v>
      </c>
      <c r="BI229" s="3264">
        <f t="shared" si="140"/>
        <v>0</v>
      </c>
      <c r="BJ229" s="3264">
        <f t="shared" si="141"/>
        <v>0</v>
      </c>
      <c r="BK229" s="3264">
        <f t="shared" si="142"/>
        <v>0</v>
      </c>
      <c r="BL229" s="3264">
        <f t="shared" si="143"/>
        <v>0</v>
      </c>
      <c r="BM229" s="3264">
        <f t="shared" si="144"/>
        <v>0</v>
      </c>
      <c r="BN229" s="3264">
        <f t="shared" si="145"/>
        <v>0</v>
      </c>
      <c r="BO229" s="3264">
        <f t="shared" si="146"/>
        <v>0</v>
      </c>
      <c r="BP229" s="3264">
        <f t="shared" si="147"/>
        <v>0</v>
      </c>
      <c r="BQ229" s="3264">
        <f t="shared" si="148"/>
        <v>0</v>
      </c>
      <c r="BR229" s="3264">
        <f t="shared" si="149"/>
        <v>0</v>
      </c>
      <c r="BS229" s="3264">
        <f t="shared" si="150"/>
        <v>0</v>
      </c>
      <c r="BT229" s="3317">
        <f t="shared" si="151"/>
        <v>0</v>
      </c>
    </row>
    <row r="230" spans="1:72">
      <c r="A230" s="3262"/>
      <c r="B230" s="3263"/>
      <c r="C230" s="3263"/>
      <c r="D230" s="3268"/>
      <c r="E230" s="3264">
        <f t="shared" si="123"/>
        <v>0</v>
      </c>
      <c r="F230" s="3265"/>
      <c r="G230" s="3266">
        <f t="shared" si="124"/>
        <v>0</v>
      </c>
      <c r="H230" s="3267">
        <f t="shared" si="125"/>
        <v>0</v>
      </c>
      <c r="I230" s="3275"/>
      <c r="J230" s="3275"/>
      <c r="K230" s="3275"/>
      <c r="L230" s="3275"/>
      <c r="M230" s="3275"/>
      <c r="N230" s="3275"/>
      <c r="O230" s="3275"/>
      <c r="P230" s="3275"/>
      <c r="Q230" s="3275"/>
      <c r="R230" s="3275"/>
      <c r="S230" s="3275"/>
      <c r="T230" s="3275"/>
      <c r="U230" s="3275"/>
      <c r="V230" s="3275"/>
      <c r="W230" s="3275"/>
      <c r="X230" s="3275"/>
      <c r="Y230" s="3275"/>
      <c r="Z230" s="3275"/>
      <c r="AA230" s="3275"/>
      <c r="AB230" s="3275"/>
      <c r="AC230" s="3264">
        <f t="shared" si="126"/>
        <v>0</v>
      </c>
      <c r="AD230" s="3285"/>
      <c r="AE230" s="3285"/>
      <c r="AF230" s="3285"/>
      <c r="AG230" s="3285"/>
      <c r="AH230" s="3285"/>
      <c r="AI230" s="3285"/>
      <c r="AJ230" s="3285"/>
      <c r="AK230" s="3285"/>
      <c r="AL230" s="3285"/>
      <c r="AM230" s="3285"/>
      <c r="AN230" s="3285"/>
      <c r="AO230" s="3285"/>
      <c r="AP230" s="3285"/>
      <c r="AQ230" s="3285"/>
      <c r="AR230" s="3285"/>
      <c r="AS230" s="3285"/>
      <c r="AT230" s="3295"/>
      <c r="AU230" s="3296"/>
      <c r="AV230" s="830">
        <f t="shared" si="127"/>
        <v>0</v>
      </c>
      <c r="AW230" s="830">
        <f t="shared" si="128"/>
        <v>0</v>
      </c>
      <c r="AX230" s="830">
        <f t="shared" si="129"/>
        <v>0</v>
      </c>
      <c r="AY230" s="3310">
        <f t="shared" si="130"/>
        <v>0</v>
      </c>
      <c r="AZ230" s="3264">
        <f t="shared" si="131"/>
        <v>0</v>
      </c>
      <c r="BA230" s="3264">
        <f t="shared" si="132"/>
        <v>0</v>
      </c>
      <c r="BB230" s="3264">
        <f t="shared" si="133"/>
        <v>0</v>
      </c>
      <c r="BC230" s="3264">
        <f t="shared" si="134"/>
        <v>0</v>
      </c>
      <c r="BD230" s="3264">
        <f t="shared" si="135"/>
        <v>0</v>
      </c>
      <c r="BE230" s="3264">
        <f t="shared" si="136"/>
        <v>0</v>
      </c>
      <c r="BF230" s="3264">
        <f t="shared" si="137"/>
        <v>0</v>
      </c>
      <c r="BG230" s="3264">
        <f t="shared" si="138"/>
        <v>0</v>
      </c>
      <c r="BH230" s="3264">
        <f t="shared" si="139"/>
        <v>0</v>
      </c>
      <c r="BI230" s="3264">
        <f t="shared" si="140"/>
        <v>0</v>
      </c>
      <c r="BJ230" s="3264">
        <f t="shared" si="141"/>
        <v>0</v>
      </c>
      <c r="BK230" s="3264">
        <f t="shared" si="142"/>
        <v>0</v>
      </c>
      <c r="BL230" s="3264">
        <f t="shared" si="143"/>
        <v>0</v>
      </c>
      <c r="BM230" s="3264">
        <f t="shared" si="144"/>
        <v>0</v>
      </c>
      <c r="BN230" s="3264">
        <f t="shared" si="145"/>
        <v>0</v>
      </c>
      <c r="BO230" s="3264">
        <f t="shared" si="146"/>
        <v>0</v>
      </c>
      <c r="BP230" s="3264">
        <f t="shared" si="147"/>
        <v>0</v>
      </c>
      <c r="BQ230" s="3264">
        <f t="shared" si="148"/>
        <v>0</v>
      </c>
      <c r="BR230" s="3264">
        <f t="shared" si="149"/>
        <v>0</v>
      </c>
      <c r="BS230" s="3264">
        <f t="shared" si="150"/>
        <v>0</v>
      </c>
      <c r="BT230" s="3317">
        <f t="shared" si="151"/>
        <v>0</v>
      </c>
    </row>
    <row r="231" spans="1:72">
      <c r="A231" s="3262"/>
      <c r="B231" s="3263"/>
      <c r="C231" s="3263"/>
      <c r="D231" s="3268"/>
      <c r="E231" s="3264">
        <f t="shared" si="123"/>
        <v>0</v>
      </c>
      <c r="F231" s="3265"/>
      <c r="G231" s="3266">
        <f t="shared" si="124"/>
        <v>0</v>
      </c>
      <c r="H231" s="3267">
        <f t="shared" si="125"/>
        <v>0</v>
      </c>
      <c r="I231" s="3275"/>
      <c r="J231" s="3275"/>
      <c r="K231" s="3275"/>
      <c r="L231" s="3275"/>
      <c r="M231" s="3275"/>
      <c r="N231" s="3275"/>
      <c r="O231" s="3275"/>
      <c r="P231" s="3275"/>
      <c r="Q231" s="3275"/>
      <c r="R231" s="3275"/>
      <c r="S231" s="3275"/>
      <c r="T231" s="3275"/>
      <c r="U231" s="3275"/>
      <c r="V231" s="3275"/>
      <c r="W231" s="3275"/>
      <c r="X231" s="3275"/>
      <c r="Y231" s="3275"/>
      <c r="Z231" s="3275"/>
      <c r="AA231" s="3275"/>
      <c r="AB231" s="3275"/>
      <c r="AC231" s="3264">
        <f t="shared" si="126"/>
        <v>0</v>
      </c>
      <c r="AD231" s="3285"/>
      <c r="AE231" s="3285"/>
      <c r="AF231" s="3285"/>
      <c r="AG231" s="3285"/>
      <c r="AH231" s="3285"/>
      <c r="AI231" s="3285"/>
      <c r="AJ231" s="3285"/>
      <c r="AK231" s="3285"/>
      <c r="AL231" s="3285"/>
      <c r="AM231" s="3285"/>
      <c r="AN231" s="3285"/>
      <c r="AO231" s="3285"/>
      <c r="AP231" s="3285"/>
      <c r="AQ231" s="3285"/>
      <c r="AR231" s="3285"/>
      <c r="AS231" s="3285"/>
      <c r="AT231" s="3295"/>
      <c r="AU231" s="3296"/>
      <c r="AV231" s="830">
        <f t="shared" si="127"/>
        <v>0</v>
      </c>
      <c r="AW231" s="830">
        <f t="shared" si="128"/>
        <v>0</v>
      </c>
      <c r="AX231" s="830">
        <f t="shared" si="129"/>
        <v>0</v>
      </c>
      <c r="AY231" s="3310">
        <f t="shared" si="130"/>
        <v>0</v>
      </c>
      <c r="AZ231" s="3264">
        <f t="shared" si="131"/>
        <v>0</v>
      </c>
      <c r="BA231" s="3264">
        <f t="shared" si="132"/>
        <v>0</v>
      </c>
      <c r="BB231" s="3264">
        <f t="shared" si="133"/>
        <v>0</v>
      </c>
      <c r="BC231" s="3264">
        <f t="shared" si="134"/>
        <v>0</v>
      </c>
      <c r="BD231" s="3264">
        <f t="shared" si="135"/>
        <v>0</v>
      </c>
      <c r="BE231" s="3264">
        <f t="shared" si="136"/>
        <v>0</v>
      </c>
      <c r="BF231" s="3264">
        <f t="shared" si="137"/>
        <v>0</v>
      </c>
      <c r="BG231" s="3264">
        <f t="shared" si="138"/>
        <v>0</v>
      </c>
      <c r="BH231" s="3264">
        <f t="shared" si="139"/>
        <v>0</v>
      </c>
      <c r="BI231" s="3264">
        <f t="shared" si="140"/>
        <v>0</v>
      </c>
      <c r="BJ231" s="3264">
        <f t="shared" si="141"/>
        <v>0</v>
      </c>
      <c r="BK231" s="3264">
        <f t="shared" si="142"/>
        <v>0</v>
      </c>
      <c r="BL231" s="3264">
        <f t="shared" si="143"/>
        <v>0</v>
      </c>
      <c r="BM231" s="3264">
        <f t="shared" si="144"/>
        <v>0</v>
      </c>
      <c r="BN231" s="3264">
        <f t="shared" si="145"/>
        <v>0</v>
      </c>
      <c r="BO231" s="3264">
        <f t="shared" si="146"/>
        <v>0</v>
      </c>
      <c r="BP231" s="3264">
        <f t="shared" si="147"/>
        <v>0</v>
      </c>
      <c r="BQ231" s="3264">
        <f t="shared" si="148"/>
        <v>0</v>
      </c>
      <c r="BR231" s="3264">
        <f t="shared" si="149"/>
        <v>0</v>
      </c>
      <c r="BS231" s="3264">
        <f t="shared" si="150"/>
        <v>0</v>
      </c>
      <c r="BT231" s="3317">
        <f t="shared" si="151"/>
        <v>0</v>
      </c>
    </row>
    <row r="232" spans="1:72">
      <c r="A232" s="3262"/>
      <c r="B232" s="3263"/>
      <c r="C232" s="3263"/>
      <c r="D232" s="3268"/>
      <c r="E232" s="3264">
        <f t="shared" si="123"/>
        <v>0</v>
      </c>
      <c r="F232" s="3265"/>
      <c r="G232" s="3266">
        <f t="shared" si="124"/>
        <v>0</v>
      </c>
      <c r="H232" s="3267">
        <f t="shared" si="125"/>
        <v>0</v>
      </c>
      <c r="I232" s="3275"/>
      <c r="J232" s="3275"/>
      <c r="K232" s="3275"/>
      <c r="L232" s="3275"/>
      <c r="M232" s="3275"/>
      <c r="N232" s="3275"/>
      <c r="O232" s="3275"/>
      <c r="P232" s="3275"/>
      <c r="Q232" s="3275"/>
      <c r="R232" s="3275"/>
      <c r="S232" s="3275"/>
      <c r="T232" s="3275"/>
      <c r="U232" s="3275"/>
      <c r="V232" s="3275"/>
      <c r="W232" s="3275"/>
      <c r="X232" s="3275"/>
      <c r="Y232" s="3275"/>
      <c r="Z232" s="3275"/>
      <c r="AA232" s="3275"/>
      <c r="AB232" s="3275"/>
      <c r="AC232" s="3264">
        <f t="shared" si="126"/>
        <v>0</v>
      </c>
      <c r="AD232" s="3285"/>
      <c r="AE232" s="3285"/>
      <c r="AF232" s="3285"/>
      <c r="AG232" s="3285"/>
      <c r="AH232" s="3285"/>
      <c r="AI232" s="3285"/>
      <c r="AJ232" s="3285"/>
      <c r="AK232" s="3285"/>
      <c r="AL232" s="3285"/>
      <c r="AM232" s="3285"/>
      <c r="AN232" s="3285"/>
      <c r="AO232" s="3285"/>
      <c r="AP232" s="3285"/>
      <c r="AQ232" s="3285"/>
      <c r="AR232" s="3285"/>
      <c r="AS232" s="3285"/>
      <c r="AT232" s="3295"/>
      <c r="AU232" s="3296"/>
      <c r="AV232" s="830">
        <f t="shared" si="127"/>
        <v>0</v>
      </c>
      <c r="AW232" s="830">
        <f t="shared" si="128"/>
        <v>0</v>
      </c>
      <c r="AX232" s="830">
        <f t="shared" si="129"/>
        <v>0</v>
      </c>
      <c r="AY232" s="3310">
        <f t="shared" si="130"/>
        <v>0</v>
      </c>
      <c r="AZ232" s="3264">
        <f t="shared" si="131"/>
        <v>0</v>
      </c>
      <c r="BA232" s="3264">
        <f t="shared" si="132"/>
        <v>0</v>
      </c>
      <c r="BB232" s="3264">
        <f t="shared" si="133"/>
        <v>0</v>
      </c>
      <c r="BC232" s="3264">
        <f t="shared" si="134"/>
        <v>0</v>
      </c>
      <c r="BD232" s="3264">
        <f t="shared" si="135"/>
        <v>0</v>
      </c>
      <c r="BE232" s="3264">
        <f t="shared" si="136"/>
        <v>0</v>
      </c>
      <c r="BF232" s="3264">
        <f t="shared" si="137"/>
        <v>0</v>
      </c>
      <c r="BG232" s="3264">
        <f t="shared" si="138"/>
        <v>0</v>
      </c>
      <c r="BH232" s="3264">
        <f t="shared" si="139"/>
        <v>0</v>
      </c>
      <c r="BI232" s="3264">
        <f t="shared" si="140"/>
        <v>0</v>
      </c>
      <c r="BJ232" s="3264">
        <f t="shared" si="141"/>
        <v>0</v>
      </c>
      <c r="BK232" s="3264">
        <f t="shared" si="142"/>
        <v>0</v>
      </c>
      <c r="BL232" s="3264">
        <f t="shared" si="143"/>
        <v>0</v>
      </c>
      <c r="BM232" s="3264">
        <f t="shared" si="144"/>
        <v>0</v>
      </c>
      <c r="BN232" s="3264">
        <f t="shared" si="145"/>
        <v>0</v>
      </c>
      <c r="BO232" s="3264">
        <f t="shared" si="146"/>
        <v>0</v>
      </c>
      <c r="BP232" s="3264">
        <f t="shared" si="147"/>
        <v>0</v>
      </c>
      <c r="BQ232" s="3264">
        <f t="shared" si="148"/>
        <v>0</v>
      </c>
      <c r="BR232" s="3264">
        <f t="shared" si="149"/>
        <v>0</v>
      </c>
      <c r="BS232" s="3264">
        <f t="shared" si="150"/>
        <v>0</v>
      </c>
      <c r="BT232" s="3317">
        <f t="shared" si="151"/>
        <v>0</v>
      </c>
    </row>
    <row r="233" spans="1:72">
      <c r="A233" s="3262"/>
      <c r="B233" s="3263"/>
      <c r="C233" s="3263"/>
      <c r="D233" s="3268"/>
      <c r="E233" s="3264">
        <f t="shared" si="123"/>
        <v>0</v>
      </c>
      <c r="F233" s="3265"/>
      <c r="G233" s="3266">
        <f t="shared" si="124"/>
        <v>0</v>
      </c>
      <c r="H233" s="3267">
        <f t="shared" si="125"/>
        <v>0</v>
      </c>
      <c r="I233" s="3275"/>
      <c r="J233" s="3275"/>
      <c r="K233" s="3275"/>
      <c r="L233" s="3275"/>
      <c r="M233" s="3275"/>
      <c r="N233" s="3275"/>
      <c r="O233" s="3275"/>
      <c r="P233" s="3275"/>
      <c r="Q233" s="3275"/>
      <c r="R233" s="3275"/>
      <c r="S233" s="3275"/>
      <c r="T233" s="3275"/>
      <c r="U233" s="3275"/>
      <c r="V233" s="3275"/>
      <c r="W233" s="3275"/>
      <c r="X233" s="3275"/>
      <c r="Y233" s="3275"/>
      <c r="Z233" s="3275"/>
      <c r="AA233" s="3275"/>
      <c r="AB233" s="3275"/>
      <c r="AC233" s="3264">
        <f t="shared" si="126"/>
        <v>0</v>
      </c>
      <c r="AD233" s="3285"/>
      <c r="AE233" s="3285"/>
      <c r="AF233" s="3285"/>
      <c r="AG233" s="3285"/>
      <c r="AH233" s="3285"/>
      <c r="AI233" s="3285"/>
      <c r="AJ233" s="3285"/>
      <c r="AK233" s="3285"/>
      <c r="AL233" s="3285"/>
      <c r="AM233" s="3285"/>
      <c r="AN233" s="3285"/>
      <c r="AO233" s="3285"/>
      <c r="AP233" s="3285"/>
      <c r="AQ233" s="3285"/>
      <c r="AR233" s="3285"/>
      <c r="AS233" s="3285"/>
      <c r="AT233" s="3295"/>
      <c r="AU233" s="3296"/>
      <c r="AV233" s="830">
        <f t="shared" si="127"/>
        <v>0</v>
      </c>
      <c r="AW233" s="830">
        <f t="shared" si="128"/>
        <v>0</v>
      </c>
      <c r="AX233" s="830">
        <f t="shared" si="129"/>
        <v>0</v>
      </c>
      <c r="AY233" s="3310">
        <f t="shared" si="130"/>
        <v>0</v>
      </c>
      <c r="AZ233" s="3264">
        <f t="shared" si="131"/>
        <v>0</v>
      </c>
      <c r="BA233" s="3264">
        <f t="shared" si="132"/>
        <v>0</v>
      </c>
      <c r="BB233" s="3264">
        <f t="shared" si="133"/>
        <v>0</v>
      </c>
      <c r="BC233" s="3264">
        <f t="shared" si="134"/>
        <v>0</v>
      </c>
      <c r="BD233" s="3264">
        <f t="shared" si="135"/>
        <v>0</v>
      </c>
      <c r="BE233" s="3264">
        <f t="shared" si="136"/>
        <v>0</v>
      </c>
      <c r="BF233" s="3264">
        <f t="shared" si="137"/>
        <v>0</v>
      </c>
      <c r="BG233" s="3264">
        <f t="shared" si="138"/>
        <v>0</v>
      </c>
      <c r="BH233" s="3264">
        <f t="shared" si="139"/>
        <v>0</v>
      </c>
      <c r="BI233" s="3264">
        <f t="shared" si="140"/>
        <v>0</v>
      </c>
      <c r="BJ233" s="3264">
        <f t="shared" si="141"/>
        <v>0</v>
      </c>
      <c r="BK233" s="3264">
        <f t="shared" si="142"/>
        <v>0</v>
      </c>
      <c r="BL233" s="3264">
        <f t="shared" si="143"/>
        <v>0</v>
      </c>
      <c r="BM233" s="3264">
        <f t="shared" si="144"/>
        <v>0</v>
      </c>
      <c r="BN233" s="3264">
        <f t="shared" si="145"/>
        <v>0</v>
      </c>
      <c r="BO233" s="3264">
        <f t="shared" si="146"/>
        <v>0</v>
      </c>
      <c r="BP233" s="3264">
        <f t="shared" si="147"/>
        <v>0</v>
      </c>
      <c r="BQ233" s="3264">
        <f t="shared" si="148"/>
        <v>0</v>
      </c>
      <c r="BR233" s="3264">
        <f t="shared" si="149"/>
        <v>0</v>
      </c>
      <c r="BS233" s="3264">
        <f t="shared" si="150"/>
        <v>0</v>
      </c>
      <c r="BT233" s="3317">
        <f t="shared" si="151"/>
        <v>0</v>
      </c>
    </row>
    <row r="234" spans="1:72">
      <c r="A234" s="3262"/>
      <c r="B234" s="3263"/>
      <c r="C234" s="3263"/>
      <c r="D234" s="3268"/>
      <c r="E234" s="3264">
        <f t="shared" si="123"/>
        <v>0</v>
      </c>
      <c r="F234" s="3265"/>
      <c r="G234" s="3266">
        <f t="shared" si="124"/>
        <v>0</v>
      </c>
      <c r="H234" s="3267">
        <f t="shared" si="125"/>
        <v>0</v>
      </c>
      <c r="I234" s="3275"/>
      <c r="J234" s="3275"/>
      <c r="K234" s="3275"/>
      <c r="L234" s="3275"/>
      <c r="M234" s="3275"/>
      <c r="N234" s="3275"/>
      <c r="O234" s="3275"/>
      <c r="P234" s="3275"/>
      <c r="Q234" s="3275"/>
      <c r="R234" s="3275"/>
      <c r="S234" s="3275"/>
      <c r="T234" s="3275"/>
      <c r="U234" s="3275"/>
      <c r="V234" s="3275"/>
      <c r="W234" s="3275"/>
      <c r="X234" s="3275"/>
      <c r="Y234" s="3275"/>
      <c r="Z234" s="3275"/>
      <c r="AA234" s="3275"/>
      <c r="AB234" s="3275"/>
      <c r="AC234" s="3264">
        <f t="shared" si="126"/>
        <v>0</v>
      </c>
      <c r="AD234" s="3285"/>
      <c r="AE234" s="3285"/>
      <c r="AF234" s="3285"/>
      <c r="AG234" s="3285"/>
      <c r="AH234" s="3285"/>
      <c r="AI234" s="3285"/>
      <c r="AJ234" s="3285"/>
      <c r="AK234" s="3285"/>
      <c r="AL234" s="3285"/>
      <c r="AM234" s="3285"/>
      <c r="AN234" s="3285"/>
      <c r="AO234" s="3285"/>
      <c r="AP234" s="3285"/>
      <c r="AQ234" s="3285"/>
      <c r="AR234" s="3285"/>
      <c r="AS234" s="3285"/>
      <c r="AT234" s="3295"/>
      <c r="AU234" s="3296"/>
      <c r="AV234" s="830">
        <f t="shared" si="127"/>
        <v>0</v>
      </c>
      <c r="AW234" s="830">
        <f t="shared" si="128"/>
        <v>0</v>
      </c>
      <c r="AX234" s="830">
        <f t="shared" si="129"/>
        <v>0</v>
      </c>
      <c r="AY234" s="3310">
        <f t="shared" si="130"/>
        <v>0</v>
      </c>
      <c r="AZ234" s="3264">
        <f t="shared" si="131"/>
        <v>0</v>
      </c>
      <c r="BA234" s="3264">
        <f t="shared" si="132"/>
        <v>0</v>
      </c>
      <c r="BB234" s="3264">
        <f t="shared" si="133"/>
        <v>0</v>
      </c>
      <c r="BC234" s="3264">
        <f t="shared" si="134"/>
        <v>0</v>
      </c>
      <c r="BD234" s="3264">
        <f t="shared" si="135"/>
        <v>0</v>
      </c>
      <c r="BE234" s="3264">
        <f t="shared" si="136"/>
        <v>0</v>
      </c>
      <c r="BF234" s="3264">
        <f t="shared" si="137"/>
        <v>0</v>
      </c>
      <c r="BG234" s="3264">
        <f t="shared" si="138"/>
        <v>0</v>
      </c>
      <c r="BH234" s="3264">
        <f t="shared" si="139"/>
        <v>0</v>
      </c>
      <c r="BI234" s="3264">
        <f t="shared" si="140"/>
        <v>0</v>
      </c>
      <c r="BJ234" s="3264">
        <f t="shared" si="141"/>
        <v>0</v>
      </c>
      <c r="BK234" s="3264">
        <f t="shared" si="142"/>
        <v>0</v>
      </c>
      <c r="BL234" s="3264">
        <f t="shared" si="143"/>
        <v>0</v>
      </c>
      <c r="BM234" s="3264">
        <f t="shared" si="144"/>
        <v>0</v>
      </c>
      <c r="BN234" s="3264">
        <f t="shared" si="145"/>
        <v>0</v>
      </c>
      <c r="BO234" s="3264">
        <f t="shared" si="146"/>
        <v>0</v>
      </c>
      <c r="BP234" s="3264">
        <f t="shared" si="147"/>
        <v>0</v>
      </c>
      <c r="BQ234" s="3264">
        <f t="shared" si="148"/>
        <v>0</v>
      </c>
      <c r="BR234" s="3264">
        <f t="shared" si="149"/>
        <v>0</v>
      </c>
      <c r="BS234" s="3264">
        <f t="shared" si="150"/>
        <v>0</v>
      </c>
      <c r="BT234" s="3317">
        <f t="shared" si="151"/>
        <v>0</v>
      </c>
    </row>
    <row r="235" spans="1:72">
      <c r="A235" s="3262"/>
      <c r="B235" s="3263"/>
      <c r="C235" s="3263"/>
      <c r="D235" s="3268"/>
      <c r="E235" s="3264">
        <f t="shared" si="123"/>
        <v>0</v>
      </c>
      <c r="F235" s="3265"/>
      <c r="G235" s="3266">
        <f t="shared" si="124"/>
        <v>0</v>
      </c>
      <c r="H235" s="3267">
        <f t="shared" si="125"/>
        <v>0</v>
      </c>
      <c r="I235" s="3275"/>
      <c r="J235" s="3275"/>
      <c r="K235" s="3275"/>
      <c r="L235" s="3275"/>
      <c r="M235" s="3275"/>
      <c r="N235" s="3275"/>
      <c r="O235" s="3275"/>
      <c r="P235" s="3275"/>
      <c r="Q235" s="3275"/>
      <c r="R235" s="3275"/>
      <c r="S235" s="3275"/>
      <c r="T235" s="3275"/>
      <c r="U235" s="3275"/>
      <c r="V235" s="3275"/>
      <c r="W235" s="3275"/>
      <c r="X235" s="3275"/>
      <c r="Y235" s="3275"/>
      <c r="Z235" s="3275"/>
      <c r="AA235" s="3275"/>
      <c r="AB235" s="3275"/>
      <c r="AC235" s="3264">
        <f t="shared" si="126"/>
        <v>0</v>
      </c>
      <c r="AD235" s="3285"/>
      <c r="AE235" s="3285"/>
      <c r="AF235" s="3285"/>
      <c r="AG235" s="3285"/>
      <c r="AH235" s="3285"/>
      <c r="AI235" s="3285"/>
      <c r="AJ235" s="3285"/>
      <c r="AK235" s="3285"/>
      <c r="AL235" s="3285"/>
      <c r="AM235" s="3285"/>
      <c r="AN235" s="3285"/>
      <c r="AO235" s="3285"/>
      <c r="AP235" s="3285"/>
      <c r="AQ235" s="3285"/>
      <c r="AR235" s="3285"/>
      <c r="AS235" s="3285"/>
      <c r="AT235" s="3295"/>
      <c r="AU235" s="3296"/>
      <c r="AV235" s="830">
        <f t="shared" si="127"/>
        <v>0</v>
      </c>
      <c r="AW235" s="830">
        <f t="shared" si="128"/>
        <v>0</v>
      </c>
      <c r="AX235" s="830">
        <f t="shared" si="129"/>
        <v>0</v>
      </c>
      <c r="AY235" s="3310">
        <f t="shared" si="130"/>
        <v>0</v>
      </c>
      <c r="AZ235" s="3264">
        <f t="shared" si="131"/>
        <v>0</v>
      </c>
      <c r="BA235" s="3264">
        <f t="shared" si="132"/>
        <v>0</v>
      </c>
      <c r="BB235" s="3264">
        <f t="shared" si="133"/>
        <v>0</v>
      </c>
      <c r="BC235" s="3264">
        <f t="shared" si="134"/>
        <v>0</v>
      </c>
      <c r="BD235" s="3264">
        <f t="shared" si="135"/>
        <v>0</v>
      </c>
      <c r="BE235" s="3264">
        <f t="shared" si="136"/>
        <v>0</v>
      </c>
      <c r="BF235" s="3264">
        <f t="shared" si="137"/>
        <v>0</v>
      </c>
      <c r="BG235" s="3264">
        <f t="shared" si="138"/>
        <v>0</v>
      </c>
      <c r="BH235" s="3264">
        <f t="shared" si="139"/>
        <v>0</v>
      </c>
      <c r="BI235" s="3264">
        <f t="shared" si="140"/>
        <v>0</v>
      </c>
      <c r="BJ235" s="3264">
        <f t="shared" si="141"/>
        <v>0</v>
      </c>
      <c r="BK235" s="3264">
        <f t="shared" si="142"/>
        <v>0</v>
      </c>
      <c r="BL235" s="3264">
        <f t="shared" si="143"/>
        <v>0</v>
      </c>
      <c r="BM235" s="3264">
        <f t="shared" si="144"/>
        <v>0</v>
      </c>
      <c r="BN235" s="3264">
        <f t="shared" si="145"/>
        <v>0</v>
      </c>
      <c r="BO235" s="3264">
        <f t="shared" si="146"/>
        <v>0</v>
      </c>
      <c r="BP235" s="3264">
        <f t="shared" si="147"/>
        <v>0</v>
      </c>
      <c r="BQ235" s="3264">
        <f t="shared" si="148"/>
        <v>0</v>
      </c>
      <c r="BR235" s="3264">
        <f t="shared" si="149"/>
        <v>0</v>
      </c>
      <c r="BS235" s="3264">
        <f t="shared" si="150"/>
        <v>0</v>
      </c>
      <c r="BT235" s="3317">
        <f t="shared" si="151"/>
        <v>0</v>
      </c>
    </row>
    <row r="236" spans="1:72">
      <c r="A236" s="3262"/>
      <c r="B236" s="3263"/>
      <c r="C236" s="3263"/>
      <c r="D236" s="3268"/>
      <c r="E236" s="3264">
        <f t="shared" si="123"/>
        <v>0</v>
      </c>
      <c r="F236" s="3265"/>
      <c r="G236" s="3266">
        <f t="shared" si="124"/>
        <v>0</v>
      </c>
      <c r="H236" s="3267">
        <f t="shared" si="125"/>
        <v>0</v>
      </c>
      <c r="I236" s="3275"/>
      <c r="J236" s="3275"/>
      <c r="K236" s="3275"/>
      <c r="L236" s="3275"/>
      <c r="M236" s="3275"/>
      <c r="N236" s="3275"/>
      <c r="O236" s="3275"/>
      <c r="P236" s="3275"/>
      <c r="Q236" s="3275"/>
      <c r="R236" s="3275"/>
      <c r="S236" s="3275"/>
      <c r="T236" s="3275"/>
      <c r="U236" s="3275"/>
      <c r="V236" s="3275"/>
      <c r="W236" s="3275"/>
      <c r="X236" s="3275"/>
      <c r="Y236" s="3275"/>
      <c r="Z236" s="3275"/>
      <c r="AA236" s="3275"/>
      <c r="AB236" s="3275"/>
      <c r="AC236" s="3264">
        <f t="shared" si="126"/>
        <v>0</v>
      </c>
      <c r="AD236" s="3285"/>
      <c r="AE236" s="3285"/>
      <c r="AF236" s="3285"/>
      <c r="AG236" s="3285"/>
      <c r="AH236" s="3285"/>
      <c r="AI236" s="3285"/>
      <c r="AJ236" s="3285"/>
      <c r="AK236" s="3285"/>
      <c r="AL236" s="3285"/>
      <c r="AM236" s="3285"/>
      <c r="AN236" s="3285"/>
      <c r="AO236" s="3285"/>
      <c r="AP236" s="3285"/>
      <c r="AQ236" s="3285"/>
      <c r="AR236" s="3285"/>
      <c r="AS236" s="3285"/>
      <c r="AT236" s="3295"/>
      <c r="AU236" s="3296"/>
      <c r="AV236" s="830">
        <f t="shared" si="127"/>
        <v>0</v>
      </c>
      <c r="AW236" s="830">
        <f t="shared" si="128"/>
        <v>0</v>
      </c>
      <c r="AX236" s="830">
        <f t="shared" si="129"/>
        <v>0</v>
      </c>
      <c r="AY236" s="3310">
        <f t="shared" si="130"/>
        <v>0</v>
      </c>
      <c r="AZ236" s="3264">
        <f t="shared" si="131"/>
        <v>0</v>
      </c>
      <c r="BA236" s="3264">
        <f t="shared" si="132"/>
        <v>0</v>
      </c>
      <c r="BB236" s="3264">
        <f t="shared" si="133"/>
        <v>0</v>
      </c>
      <c r="BC236" s="3264">
        <f t="shared" si="134"/>
        <v>0</v>
      </c>
      <c r="BD236" s="3264">
        <f t="shared" si="135"/>
        <v>0</v>
      </c>
      <c r="BE236" s="3264">
        <f t="shared" si="136"/>
        <v>0</v>
      </c>
      <c r="BF236" s="3264">
        <f t="shared" si="137"/>
        <v>0</v>
      </c>
      <c r="BG236" s="3264">
        <f t="shared" si="138"/>
        <v>0</v>
      </c>
      <c r="BH236" s="3264">
        <f t="shared" si="139"/>
        <v>0</v>
      </c>
      <c r="BI236" s="3264">
        <f t="shared" si="140"/>
        <v>0</v>
      </c>
      <c r="BJ236" s="3264">
        <f t="shared" si="141"/>
        <v>0</v>
      </c>
      <c r="BK236" s="3264">
        <f t="shared" si="142"/>
        <v>0</v>
      </c>
      <c r="BL236" s="3264">
        <f t="shared" si="143"/>
        <v>0</v>
      </c>
      <c r="BM236" s="3264">
        <f t="shared" si="144"/>
        <v>0</v>
      </c>
      <c r="BN236" s="3264">
        <f t="shared" si="145"/>
        <v>0</v>
      </c>
      <c r="BO236" s="3264">
        <f t="shared" si="146"/>
        <v>0</v>
      </c>
      <c r="BP236" s="3264">
        <f t="shared" si="147"/>
        <v>0</v>
      </c>
      <c r="BQ236" s="3264">
        <f t="shared" si="148"/>
        <v>0</v>
      </c>
      <c r="BR236" s="3264">
        <f t="shared" si="149"/>
        <v>0</v>
      </c>
      <c r="BS236" s="3264">
        <f t="shared" si="150"/>
        <v>0</v>
      </c>
      <c r="BT236" s="3317">
        <f t="shared" si="151"/>
        <v>0</v>
      </c>
    </row>
    <row r="237" spans="1:72">
      <c r="A237" s="3262"/>
      <c r="B237" s="3263"/>
      <c r="C237" s="3263"/>
      <c r="D237" s="3268"/>
      <c r="E237" s="3264">
        <f t="shared" si="123"/>
        <v>0</v>
      </c>
      <c r="F237" s="3265"/>
      <c r="G237" s="3266">
        <f t="shared" si="124"/>
        <v>0</v>
      </c>
      <c r="H237" s="3267">
        <f t="shared" si="125"/>
        <v>0</v>
      </c>
      <c r="I237" s="3275"/>
      <c r="J237" s="3275"/>
      <c r="K237" s="3275"/>
      <c r="L237" s="3275"/>
      <c r="M237" s="3275"/>
      <c r="N237" s="3275"/>
      <c r="O237" s="3275"/>
      <c r="P237" s="3275"/>
      <c r="Q237" s="3275"/>
      <c r="R237" s="3275"/>
      <c r="S237" s="3275"/>
      <c r="T237" s="3275"/>
      <c r="U237" s="3275"/>
      <c r="V237" s="3275"/>
      <c r="W237" s="3275"/>
      <c r="X237" s="3275"/>
      <c r="Y237" s="3275"/>
      <c r="Z237" s="3275"/>
      <c r="AA237" s="3275"/>
      <c r="AB237" s="3275"/>
      <c r="AC237" s="3264">
        <f t="shared" si="126"/>
        <v>0</v>
      </c>
      <c r="AD237" s="3285"/>
      <c r="AE237" s="3285"/>
      <c r="AF237" s="3285"/>
      <c r="AG237" s="3285"/>
      <c r="AH237" s="3285"/>
      <c r="AI237" s="3285"/>
      <c r="AJ237" s="3285"/>
      <c r="AK237" s="3285"/>
      <c r="AL237" s="3285"/>
      <c r="AM237" s="3285"/>
      <c r="AN237" s="3285"/>
      <c r="AO237" s="3285"/>
      <c r="AP237" s="3285"/>
      <c r="AQ237" s="3285"/>
      <c r="AR237" s="3285"/>
      <c r="AS237" s="3285"/>
      <c r="AT237" s="3295"/>
      <c r="AU237" s="3296"/>
      <c r="AV237" s="830">
        <f t="shared" si="127"/>
        <v>0</v>
      </c>
      <c r="AW237" s="830">
        <f t="shared" si="128"/>
        <v>0</v>
      </c>
      <c r="AX237" s="830">
        <f t="shared" si="129"/>
        <v>0</v>
      </c>
      <c r="AY237" s="3310">
        <f t="shared" si="130"/>
        <v>0</v>
      </c>
      <c r="AZ237" s="3264">
        <f t="shared" si="131"/>
        <v>0</v>
      </c>
      <c r="BA237" s="3264">
        <f t="shared" si="132"/>
        <v>0</v>
      </c>
      <c r="BB237" s="3264">
        <f t="shared" si="133"/>
        <v>0</v>
      </c>
      <c r="BC237" s="3264">
        <f t="shared" si="134"/>
        <v>0</v>
      </c>
      <c r="BD237" s="3264">
        <f t="shared" si="135"/>
        <v>0</v>
      </c>
      <c r="BE237" s="3264">
        <f t="shared" si="136"/>
        <v>0</v>
      </c>
      <c r="BF237" s="3264">
        <f t="shared" si="137"/>
        <v>0</v>
      </c>
      <c r="BG237" s="3264">
        <f t="shared" si="138"/>
        <v>0</v>
      </c>
      <c r="BH237" s="3264">
        <f t="shared" si="139"/>
        <v>0</v>
      </c>
      <c r="BI237" s="3264">
        <f t="shared" si="140"/>
        <v>0</v>
      </c>
      <c r="BJ237" s="3264">
        <f t="shared" si="141"/>
        <v>0</v>
      </c>
      <c r="BK237" s="3264">
        <f t="shared" si="142"/>
        <v>0</v>
      </c>
      <c r="BL237" s="3264">
        <f t="shared" si="143"/>
        <v>0</v>
      </c>
      <c r="BM237" s="3264">
        <f t="shared" si="144"/>
        <v>0</v>
      </c>
      <c r="BN237" s="3264">
        <f t="shared" si="145"/>
        <v>0</v>
      </c>
      <c r="BO237" s="3264">
        <f t="shared" si="146"/>
        <v>0</v>
      </c>
      <c r="BP237" s="3264">
        <f t="shared" si="147"/>
        <v>0</v>
      </c>
      <c r="BQ237" s="3264">
        <f t="shared" si="148"/>
        <v>0</v>
      </c>
      <c r="BR237" s="3264">
        <f t="shared" si="149"/>
        <v>0</v>
      </c>
      <c r="BS237" s="3264">
        <f t="shared" si="150"/>
        <v>0</v>
      </c>
      <c r="BT237" s="3317">
        <f t="shared" si="151"/>
        <v>0</v>
      </c>
    </row>
    <row r="238" spans="1:72">
      <c r="A238" s="3262"/>
      <c r="B238" s="3263"/>
      <c r="C238" s="3263"/>
      <c r="D238" s="3268"/>
      <c r="E238" s="3264">
        <f t="shared" si="123"/>
        <v>0</v>
      </c>
      <c r="F238" s="3265"/>
      <c r="G238" s="3266">
        <f t="shared" si="124"/>
        <v>0</v>
      </c>
      <c r="H238" s="3267">
        <f t="shared" si="125"/>
        <v>0</v>
      </c>
      <c r="I238" s="3275"/>
      <c r="J238" s="3275"/>
      <c r="K238" s="3275"/>
      <c r="L238" s="3275"/>
      <c r="M238" s="3275"/>
      <c r="N238" s="3275"/>
      <c r="O238" s="3275"/>
      <c r="P238" s="3275"/>
      <c r="Q238" s="3275"/>
      <c r="R238" s="3275"/>
      <c r="S238" s="3275"/>
      <c r="T238" s="3275"/>
      <c r="U238" s="3275"/>
      <c r="V238" s="3275"/>
      <c r="W238" s="3275"/>
      <c r="X238" s="3275"/>
      <c r="Y238" s="3275"/>
      <c r="Z238" s="3275"/>
      <c r="AA238" s="3275"/>
      <c r="AB238" s="3275"/>
      <c r="AC238" s="3264">
        <f t="shared" si="126"/>
        <v>0</v>
      </c>
      <c r="AD238" s="3285"/>
      <c r="AE238" s="3285"/>
      <c r="AF238" s="3285"/>
      <c r="AG238" s="3285"/>
      <c r="AH238" s="3285"/>
      <c r="AI238" s="3285"/>
      <c r="AJ238" s="3285"/>
      <c r="AK238" s="3285"/>
      <c r="AL238" s="3285"/>
      <c r="AM238" s="3285"/>
      <c r="AN238" s="3285"/>
      <c r="AO238" s="3285"/>
      <c r="AP238" s="3285"/>
      <c r="AQ238" s="3285"/>
      <c r="AR238" s="3285"/>
      <c r="AS238" s="3285"/>
      <c r="AT238" s="3295"/>
      <c r="AU238" s="3296"/>
      <c r="AV238" s="830">
        <f t="shared" si="127"/>
        <v>0</v>
      </c>
      <c r="AW238" s="830">
        <f t="shared" si="128"/>
        <v>0</v>
      </c>
      <c r="AX238" s="830">
        <f t="shared" si="129"/>
        <v>0</v>
      </c>
      <c r="AY238" s="3310">
        <f t="shared" si="130"/>
        <v>0</v>
      </c>
      <c r="AZ238" s="3264">
        <f t="shared" si="131"/>
        <v>0</v>
      </c>
      <c r="BA238" s="3264">
        <f t="shared" si="132"/>
        <v>0</v>
      </c>
      <c r="BB238" s="3264">
        <f t="shared" si="133"/>
        <v>0</v>
      </c>
      <c r="BC238" s="3264">
        <f t="shared" si="134"/>
        <v>0</v>
      </c>
      <c r="BD238" s="3264">
        <f t="shared" si="135"/>
        <v>0</v>
      </c>
      <c r="BE238" s="3264">
        <f t="shared" si="136"/>
        <v>0</v>
      </c>
      <c r="BF238" s="3264">
        <f t="shared" si="137"/>
        <v>0</v>
      </c>
      <c r="BG238" s="3264">
        <f t="shared" si="138"/>
        <v>0</v>
      </c>
      <c r="BH238" s="3264">
        <f t="shared" si="139"/>
        <v>0</v>
      </c>
      <c r="BI238" s="3264">
        <f t="shared" si="140"/>
        <v>0</v>
      </c>
      <c r="BJ238" s="3264">
        <f t="shared" si="141"/>
        <v>0</v>
      </c>
      <c r="BK238" s="3264">
        <f t="shared" si="142"/>
        <v>0</v>
      </c>
      <c r="BL238" s="3264">
        <f t="shared" si="143"/>
        <v>0</v>
      </c>
      <c r="BM238" s="3264">
        <f t="shared" si="144"/>
        <v>0</v>
      </c>
      <c r="BN238" s="3264">
        <f t="shared" si="145"/>
        <v>0</v>
      </c>
      <c r="BO238" s="3264">
        <f t="shared" si="146"/>
        <v>0</v>
      </c>
      <c r="BP238" s="3264">
        <f t="shared" si="147"/>
        <v>0</v>
      </c>
      <c r="BQ238" s="3264">
        <f t="shared" si="148"/>
        <v>0</v>
      </c>
      <c r="BR238" s="3264">
        <f t="shared" si="149"/>
        <v>0</v>
      </c>
      <c r="BS238" s="3264">
        <f t="shared" si="150"/>
        <v>0</v>
      </c>
      <c r="BT238" s="3317">
        <f t="shared" si="151"/>
        <v>0</v>
      </c>
    </row>
    <row r="239" spans="1:72">
      <c r="A239" s="3262"/>
      <c r="B239" s="3263"/>
      <c r="C239" s="3263"/>
      <c r="D239" s="3268"/>
      <c r="E239" s="3264">
        <f t="shared" si="123"/>
        <v>0</v>
      </c>
      <c r="F239" s="3265"/>
      <c r="G239" s="3266">
        <f t="shared" si="124"/>
        <v>0</v>
      </c>
      <c r="H239" s="3267">
        <f t="shared" si="125"/>
        <v>0</v>
      </c>
      <c r="I239" s="3275"/>
      <c r="J239" s="3275"/>
      <c r="K239" s="3275"/>
      <c r="L239" s="3275"/>
      <c r="M239" s="3275"/>
      <c r="N239" s="3275"/>
      <c r="O239" s="3275"/>
      <c r="P239" s="3275"/>
      <c r="Q239" s="3275"/>
      <c r="R239" s="3275"/>
      <c r="S239" s="3275"/>
      <c r="T239" s="3275"/>
      <c r="U239" s="3275"/>
      <c r="V239" s="3275"/>
      <c r="W239" s="3275"/>
      <c r="X239" s="3275"/>
      <c r="Y239" s="3275"/>
      <c r="Z239" s="3275"/>
      <c r="AA239" s="3275"/>
      <c r="AB239" s="3275"/>
      <c r="AC239" s="3264">
        <f t="shared" si="126"/>
        <v>0</v>
      </c>
      <c r="AD239" s="3285"/>
      <c r="AE239" s="3285"/>
      <c r="AF239" s="3285"/>
      <c r="AG239" s="3285"/>
      <c r="AH239" s="3285"/>
      <c r="AI239" s="3285"/>
      <c r="AJ239" s="3285"/>
      <c r="AK239" s="3285"/>
      <c r="AL239" s="3285"/>
      <c r="AM239" s="3285"/>
      <c r="AN239" s="3285"/>
      <c r="AO239" s="3285"/>
      <c r="AP239" s="3285"/>
      <c r="AQ239" s="3285"/>
      <c r="AR239" s="3285"/>
      <c r="AS239" s="3285"/>
      <c r="AT239" s="3295"/>
      <c r="AU239" s="3296"/>
      <c r="AV239" s="830">
        <f t="shared" si="127"/>
        <v>0</v>
      </c>
      <c r="AW239" s="830">
        <f t="shared" si="128"/>
        <v>0</v>
      </c>
      <c r="AX239" s="830">
        <f t="shared" si="129"/>
        <v>0</v>
      </c>
      <c r="AY239" s="3310">
        <f t="shared" si="130"/>
        <v>0</v>
      </c>
      <c r="AZ239" s="3264">
        <f t="shared" si="131"/>
        <v>0</v>
      </c>
      <c r="BA239" s="3264">
        <f t="shared" si="132"/>
        <v>0</v>
      </c>
      <c r="BB239" s="3264">
        <f t="shared" si="133"/>
        <v>0</v>
      </c>
      <c r="BC239" s="3264">
        <f t="shared" si="134"/>
        <v>0</v>
      </c>
      <c r="BD239" s="3264">
        <f t="shared" si="135"/>
        <v>0</v>
      </c>
      <c r="BE239" s="3264">
        <f t="shared" si="136"/>
        <v>0</v>
      </c>
      <c r="BF239" s="3264">
        <f t="shared" si="137"/>
        <v>0</v>
      </c>
      <c r="BG239" s="3264">
        <f t="shared" si="138"/>
        <v>0</v>
      </c>
      <c r="BH239" s="3264">
        <f t="shared" si="139"/>
        <v>0</v>
      </c>
      <c r="BI239" s="3264">
        <f t="shared" si="140"/>
        <v>0</v>
      </c>
      <c r="BJ239" s="3264">
        <f t="shared" si="141"/>
        <v>0</v>
      </c>
      <c r="BK239" s="3264">
        <f t="shared" si="142"/>
        <v>0</v>
      </c>
      <c r="BL239" s="3264">
        <f t="shared" si="143"/>
        <v>0</v>
      </c>
      <c r="BM239" s="3264">
        <f t="shared" si="144"/>
        <v>0</v>
      </c>
      <c r="BN239" s="3264">
        <f t="shared" si="145"/>
        <v>0</v>
      </c>
      <c r="BO239" s="3264">
        <f t="shared" si="146"/>
        <v>0</v>
      </c>
      <c r="BP239" s="3264">
        <f t="shared" si="147"/>
        <v>0</v>
      </c>
      <c r="BQ239" s="3264">
        <f t="shared" si="148"/>
        <v>0</v>
      </c>
      <c r="BR239" s="3264">
        <f t="shared" si="149"/>
        <v>0</v>
      </c>
      <c r="BS239" s="3264">
        <f t="shared" si="150"/>
        <v>0</v>
      </c>
      <c r="BT239" s="3317">
        <f t="shared" si="151"/>
        <v>0</v>
      </c>
    </row>
    <row r="240" spans="1:72">
      <c r="A240" s="3262"/>
      <c r="B240" s="3263"/>
      <c r="C240" s="3263"/>
      <c r="D240" s="3268"/>
      <c r="E240" s="3264">
        <f t="shared" si="123"/>
        <v>0</v>
      </c>
      <c r="F240" s="3265"/>
      <c r="G240" s="3266">
        <f t="shared" si="124"/>
        <v>0</v>
      </c>
      <c r="H240" s="3267">
        <f t="shared" si="125"/>
        <v>0</v>
      </c>
      <c r="I240" s="3275"/>
      <c r="J240" s="3275"/>
      <c r="K240" s="3275"/>
      <c r="L240" s="3275"/>
      <c r="M240" s="3275"/>
      <c r="N240" s="3275"/>
      <c r="O240" s="3275"/>
      <c r="P240" s="3275"/>
      <c r="Q240" s="3275"/>
      <c r="R240" s="3275"/>
      <c r="S240" s="3275"/>
      <c r="T240" s="3275"/>
      <c r="U240" s="3275"/>
      <c r="V240" s="3275"/>
      <c r="W240" s="3275"/>
      <c r="X240" s="3275"/>
      <c r="Y240" s="3275"/>
      <c r="Z240" s="3275"/>
      <c r="AA240" s="3275"/>
      <c r="AB240" s="3275"/>
      <c r="AC240" s="3264">
        <f t="shared" si="126"/>
        <v>0</v>
      </c>
      <c r="AD240" s="3285"/>
      <c r="AE240" s="3285"/>
      <c r="AF240" s="3285"/>
      <c r="AG240" s="3285"/>
      <c r="AH240" s="3285"/>
      <c r="AI240" s="3285"/>
      <c r="AJ240" s="3285"/>
      <c r="AK240" s="3285"/>
      <c r="AL240" s="3285"/>
      <c r="AM240" s="3285"/>
      <c r="AN240" s="3285"/>
      <c r="AO240" s="3285"/>
      <c r="AP240" s="3285"/>
      <c r="AQ240" s="3285"/>
      <c r="AR240" s="3285"/>
      <c r="AS240" s="3285"/>
      <c r="AT240" s="3295"/>
      <c r="AU240" s="3296"/>
      <c r="AV240" s="830">
        <f t="shared" si="127"/>
        <v>0</v>
      </c>
      <c r="AW240" s="830">
        <f t="shared" si="128"/>
        <v>0</v>
      </c>
      <c r="AX240" s="830">
        <f t="shared" si="129"/>
        <v>0</v>
      </c>
      <c r="AY240" s="3310">
        <f t="shared" si="130"/>
        <v>0</v>
      </c>
      <c r="AZ240" s="3264">
        <f t="shared" si="131"/>
        <v>0</v>
      </c>
      <c r="BA240" s="3264">
        <f t="shared" si="132"/>
        <v>0</v>
      </c>
      <c r="BB240" s="3264">
        <f t="shared" si="133"/>
        <v>0</v>
      </c>
      <c r="BC240" s="3264">
        <f t="shared" si="134"/>
        <v>0</v>
      </c>
      <c r="BD240" s="3264">
        <f t="shared" si="135"/>
        <v>0</v>
      </c>
      <c r="BE240" s="3264">
        <f t="shared" si="136"/>
        <v>0</v>
      </c>
      <c r="BF240" s="3264">
        <f t="shared" si="137"/>
        <v>0</v>
      </c>
      <c r="BG240" s="3264">
        <f t="shared" si="138"/>
        <v>0</v>
      </c>
      <c r="BH240" s="3264">
        <f t="shared" si="139"/>
        <v>0</v>
      </c>
      <c r="BI240" s="3264">
        <f t="shared" si="140"/>
        <v>0</v>
      </c>
      <c r="BJ240" s="3264">
        <f t="shared" si="141"/>
        <v>0</v>
      </c>
      <c r="BK240" s="3264">
        <f t="shared" si="142"/>
        <v>0</v>
      </c>
      <c r="BL240" s="3264">
        <f t="shared" si="143"/>
        <v>0</v>
      </c>
      <c r="BM240" s="3264">
        <f t="shared" si="144"/>
        <v>0</v>
      </c>
      <c r="BN240" s="3264">
        <f t="shared" si="145"/>
        <v>0</v>
      </c>
      <c r="BO240" s="3264">
        <f t="shared" si="146"/>
        <v>0</v>
      </c>
      <c r="BP240" s="3264">
        <f t="shared" si="147"/>
        <v>0</v>
      </c>
      <c r="BQ240" s="3264">
        <f t="shared" si="148"/>
        <v>0</v>
      </c>
      <c r="BR240" s="3264">
        <f t="shared" si="149"/>
        <v>0</v>
      </c>
      <c r="BS240" s="3264">
        <f t="shared" si="150"/>
        <v>0</v>
      </c>
      <c r="BT240" s="3317">
        <f t="shared" si="151"/>
        <v>0</v>
      </c>
    </row>
    <row r="241" spans="1:72">
      <c r="A241" s="3262"/>
      <c r="B241" s="3263"/>
      <c r="C241" s="3263"/>
      <c r="D241" s="3268"/>
      <c r="E241" s="3264">
        <f t="shared" si="123"/>
        <v>0</v>
      </c>
      <c r="F241" s="3265"/>
      <c r="G241" s="3266">
        <f t="shared" si="124"/>
        <v>0</v>
      </c>
      <c r="H241" s="3267">
        <f t="shared" si="125"/>
        <v>0</v>
      </c>
      <c r="I241" s="3275"/>
      <c r="J241" s="3275"/>
      <c r="K241" s="3275"/>
      <c r="L241" s="3275"/>
      <c r="M241" s="3275"/>
      <c r="N241" s="3275"/>
      <c r="O241" s="3275"/>
      <c r="P241" s="3275"/>
      <c r="Q241" s="3275"/>
      <c r="R241" s="3275"/>
      <c r="S241" s="3275"/>
      <c r="T241" s="3275"/>
      <c r="U241" s="3275"/>
      <c r="V241" s="3275"/>
      <c r="W241" s="3275"/>
      <c r="X241" s="3275"/>
      <c r="Y241" s="3275"/>
      <c r="Z241" s="3275"/>
      <c r="AA241" s="3275"/>
      <c r="AB241" s="3275"/>
      <c r="AC241" s="3264">
        <f t="shared" si="126"/>
        <v>0</v>
      </c>
      <c r="AD241" s="3285"/>
      <c r="AE241" s="3285"/>
      <c r="AF241" s="3285"/>
      <c r="AG241" s="3285"/>
      <c r="AH241" s="3285"/>
      <c r="AI241" s="3285"/>
      <c r="AJ241" s="3285"/>
      <c r="AK241" s="3285"/>
      <c r="AL241" s="3285"/>
      <c r="AM241" s="3285"/>
      <c r="AN241" s="3285"/>
      <c r="AO241" s="3285"/>
      <c r="AP241" s="3285"/>
      <c r="AQ241" s="3285"/>
      <c r="AR241" s="3285"/>
      <c r="AS241" s="3285"/>
      <c r="AT241" s="3295"/>
      <c r="AU241" s="3296"/>
      <c r="AV241" s="830">
        <f t="shared" si="127"/>
        <v>0</v>
      </c>
      <c r="AW241" s="830">
        <f t="shared" si="128"/>
        <v>0</v>
      </c>
      <c r="AX241" s="830">
        <f t="shared" si="129"/>
        <v>0</v>
      </c>
      <c r="AY241" s="3310">
        <f t="shared" si="130"/>
        <v>0</v>
      </c>
      <c r="AZ241" s="3264">
        <f t="shared" si="131"/>
        <v>0</v>
      </c>
      <c r="BA241" s="3264">
        <f t="shared" si="132"/>
        <v>0</v>
      </c>
      <c r="BB241" s="3264">
        <f t="shared" si="133"/>
        <v>0</v>
      </c>
      <c r="BC241" s="3264">
        <f t="shared" si="134"/>
        <v>0</v>
      </c>
      <c r="BD241" s="3264">
        <f t="shared" si="135"/>
        <v>0</v>
      </c>
      <c r="BE241" s="3264">
        <f t="shared" si="136"/>
        <v>0</v>
      </c>
      <c r="BF241" s="3264">
        <f t="shared" si="137"/>
        <v>0</v>
      </c>
      <c r="BG241" s="3264">
        <f t="shared" si="138"/>
        <v>0</v>
      </c>
      <c r="BH241" s="3264">
        <f t="shared" si="139"/>
        <v>0</v>
      </c>
      <c r="BI241" s="3264">
        <f t="shared" si="140"/>
        <v>0</v>
      </c>
      <c r="BJ241" s="3264">
        <f t="shared" si="141"/>
        <v>0</v>
      </c>
      <c r="BK241" s="3264">
        <f t="shared" si="142"/>
        <v>0</v>
      </c>
      <c r="BL241" s="3264">
        <f t="shared" si="143"/>
        <v>0</v>
      </c>
      <c r="BM241" s="3264">
        <f t="shared" si="144"/>
        <v>0</v>
      </c>
      <c r="BN241" s="3264">
        <f t="shared" si="145"/>
        <v>0</v>
      </c>
      <c r="BO241" s="3264">
        <f t="shared" si="146"/>
        <v>0</v>
      </c>
      <c r="BP241" s="3264">
        <f t="shared" si="147"/>
        <v>0</v>
      </c>
      <c r="BQ241" s="3264">
        <f t="shared" si="148"/>
        <v>0</v>
      </c>
      <c r="BR241" s="3264">
        <f t="shared" si="149"/>
        <v>0</v>
      </c>
      <c r="BS241" s="3264">
        <f t="shared" si="150"/>
        <v>0</v>
      </c>
      <c r="BT241" s="3317">
        <f t="shared" si="151"/>
        <v>0</v>
      </c>
    </row>
    <row r="242" spans="1:72">
      <c r="A242" s="3262"/>
      <c r="B242" s="3263"/>
      <c r="C242" s="3263"/>
      <c r="D242" s="3268"/>
      <c r="E242" s="3264">
        <f t="shared" si="123"/>
        <v>0</v>
      </c>
      <c r="F242" s="3265"/>
      <c r="G242" s="3266">
        <f t="shared" si="124"/>
        <v>0</v>
      </c>
      <c r="H242" s="3267">
        <f t="shared" si="125"/>
        <v>0</v>
      </c>
      <c r="I242" s="3275"/>
      <c r="J242" s="3275"/>
      <c r="K242" s="3275"/>
      <c r="L242" s="3275"/>
      <c r="M242" s="3275"/>
      <c r="N242" s="3275"/>
      <c r="O242" s="3275"/>
      <c r="P242" s="3275"/>
      <c r="Q242" s="3275"/>
      <c r="R242" s="3275"/>
      <c r="S242" s="3275"/>
      <c r="T242" s="3275"/>
      <c r="U242" s="3275"/>
      <c r="V242" s="3275"/>
      <c r="W242" s="3275"/>
      <c r="X242" s="3275"/>
      <c r="Y242" s="3275"/>
      <c r="Z242" s="3275"/>
      <c r="AA242" s="3275"/>
      <c r="AB242" s="3275"/>
      <c r="AC242" s="3264">
        <f t="shared" si="126"/>
        <v>0</v>
      </c>
      <c r="AD242" s="3285"/>
      <c r="AE242" s="3285"/>
      <c r="AF242" s="3285"/>
      <c r="AG242" s="3285"/>
      <c r="AH242" s="3285"/>
      <c r="AI242" s="3285"/>
      <c r="AJ242" s="3285"/>
      <c r="AK242" s="3285"/>
      <c r="AL242" s="3285"/>
      <c r="AM242" s="3285"/>
      <c r="AN242" s="3285"/>
      <c r="AO242" s="3285"/>
      <c r="AP242" s="3285"/>
      <c r="AQ242" s="3285"/>
      <c r="AR242" s="3285"/>
      <c r="AS242" s="3285"/>
      <c r="AT242" s="3295"/>
      <c r="AU242" s="3296"/>
      <c r="AV242" s="830">
        <f t="shared" si="127"/>
        <v>0</v>
      </c>
      <c r="AW242" s="830">
        <f t="shared" si="128"/>
        <v>0</v>
      </c>
      <c r="AX242" s="830">
        <f t="shared" si="129"/>
        <v>0</v>
      </c>
      <c r="AY242" s="3310">
        <f t="shared" si="130"/>
        <v>0</v>
      </c>
      <c r="AZ242" s="3264">
        <f t="shared" si="131"/>
        <v>0</v>
      </c>
      <c r="BA242" s="3264">
        <f t="shared" si="132"/>
        <v>0</v>
      </c>
      <c r="BB242" s="3264">
        <f t="shared" si="133"/>
        <v>0</v>
      </c>
      <c r="BC242" s="3264">
        <f t="shared" si="134"/>
        <v>0</v>
      </c>
      <c r="BD242" s="3264">
        <f t="shared" si="135"/>
        <v>0</v>
      </c>
      <c r="BE242" s="3264">
        <f t="shared" si="136"/>
        <v>0</v>
      </c>
      <c r="BF242" s="3264">
        <f t="shared" si="137"/>
        <v>0</v>
      </c>
      <c r="BG242" s="3264">
        <f t="shared" si="138"/>
        <v>0</v>
      </c>
      <c r="BH242" s="3264">
        <f t="shared" si="139"/>
        <v>0</v>
      </c>
      <c r="BI242" s="3264">
        <f t="shared" si="140"/>
        <v>0</v>
      </c>
      <c r="BJ242" s="3264">
        <f t="shared" si="141"/>
        <v>0</v>
      </c>
      <c r="BK242" s="3264">
        <f t="shared" si="142"/>
        <v>0</v>
      </c>
      <c r="BL242" s="3264">
        <f t="shared" si="143"/>
        <v>0</v>
      </c>
      <c r="BM242" s="3264">
        <f t="shared" si="144"/>
        <v>0</v>
      </c>
      <c r="BN242" s="3264">
        <f t="shared" si="145"/>
        <v>0</v>
      </c>
      <c r="BO242" s="3264">
        <f t="shared" si="146"/>
        <v>0</v>
      </c>
      <c r="BP242" s="3264">
        <f t="shared" si="147"/>
        <v>0</v>
      </c>
      <c r="BQ242" s="3264">
        <f t="shared" si="148"/>
        <v>0</v>
      </c>
      <c r="BR242" s="3264">
        <f t="shared" si="149"/>
        <v>0</v>
      </c>
      <c r="BS242" s="3264">
        <f t="shared" si="150"/>
        <v>0</v>
      </c>
      <c r="BT242" s="3317">
        <f t="shared" si="151"/>
        <v>0</v>
      </c>
    </row>
    <row r="243" spans="1:72">
      <c r="A243" s="3262"/>
      <c r="B243" s="3263"/>
      <c r="C243" s="3263"/>
      <c r="D243" s="3268"/>
      <c r="E243" s="3264">
        <f t="shared" si="123"/>
        <v>0</v>
      </c>
      <c r="F243" s="3265"/>
      <c r="G243" s="3266">
        <f t="shared" si="124"/>
        <v>0</v>
      </c>
      <c r="H243" s="3267">
        <f t="shared" si="125"/>
        <v>0</v>
      </c>
      <c r="I243" s="3275"/>
      <c r="J243" s="3275"/>
      <c r="K243" s="3275"/>
      <c r="L243" s="3275"/>
      <c r="M243" s="3275"/>
      <c r="N243" s="3275"/>
      <c r="O243" s="3275"/>
      <c r="P243" s="3275"/>
      <c r="Q243" s="3275"/>
      <c r="R243" s="3275"/>
      <c r="S243" s="3275"/>
      <c r="T243" s="3275"/>
      <c r="U243" s="3275"/>
      <c r="V243" s="3275"/>
      <c r="W243" s="3275"/>
      <c r="X243" s="3275"/>
      <c r="Y243" s="3275"/>
      <c r="Z243" s="3275"/>
      <c r="AA243" s="3275"/>
      <c r="AB243" s="3275"/>
      <c r="AC243" s="3264">
        <f t="shared" si="126"/>
        <v>0</v>
      </c>
      <c r="AD243" s="3285"/>
      <c r="AE243" s="3285"/>
      <c r="AF243" s="3285"/>
      <c r="AG243" s="3285"/>
      <c r="AH243" s="3285"/>
      <c r="AI243" s="3285"/>
      <c r="AJ243" s="3285"/>
      <c r="AK243" s="3285"/>
      <c r="AL243" s="3285"/>
      <c r="AM243" s="3285"/>
      <c r="AN243" s="3285"/>
      <c r="AO243" s="3285"/>
      <c r="AP243" s="3285"/>
      <c r="AQ243" s="3285"/>
      <c r="AR243" s="3285"/>
      <c r="AS243" s="3285"/>
      <c r="AT243" s="3295"/>
      <c r="AU243" s="3296"/>
      <c r="AV243" s="830">
        <f t="shared" si="127"/>
        <v>0</v>
      </c>
      <c r="AW243" s="830">
        <f t="shared" si="128"/>
        <v>0</v>
      </c>
      <c r="AX243" s="830">
        <f t="shared" si="129"/>
        <v>0</v>
      </c>
      <c r="AY243" s="3310">
        <f t="shared" si="130"/>
        <v>0</v>
      </c>
      <c r="AZ243" s="3264">
        <f t="shared" si="131"/>
        <v>0</v>
      </c>
      <c r="BA243" s="3264">
        <f t="shared" si="132"/>
        <v>0</v>
      </c>
      <c r="BB243" s="3264">
        <f t="shared" si="133"/>
        <v>0</v>
      </c>
      <c r="BC243" s="3264">
        <f t="shared" si="134"/>
        <v>0</v>
      </c>
      <c r="BD243" s="3264">
        <f t="shared" si="135"/>
        <v>0</v>
      </c>
      <c r="BE243" s="3264">
        <f t="shared" si="136"/>
        <v>0</v>
      </c>
      <c r="BF243" s="3264">
        <f t="shared" si="137"/>
        <v>0</v>
      </c>
      <c r="BG243" s="3264">
        <f t="shared" si="138"/>
        <v>0</v>
      </c>
      <c r="BH243" s="3264">
        <f t="shared" si="139"/>
        <v>0</v>
      </c>
      <c r="BI243" s="3264">
        <f t="shared" si="140"/>
        <v>0</v>
      </c>
      <c r="BJ243" s="3264">
        <f t="shared" si="141"/>
        <v>0</v>
      </c>
      <c r="BK243" s="3264">
        <f t="shared" si="142"/>
        <v>0</v>
      </c>
      <c r="BL243" s="3264">
        <f t="shared" si="143"/>
        <v>0</v>
      </c>
      <c r="BM243" s="3264">
        <f t="shared" si="144"/>
        <v>0</v>
      </c>
      <c r="BN243" s="3264">
        <f t="shared" si="145"/>
        <v>0</v>
      </c>
      <c r="BO243" s="3264">
        <f t="shared" si="146"/>
        <v>0</v>
      </c>
      <c r="BP243" s="3264">
        <f t="shared" si="147"/>
        <v>0</v>
      </c>
      <c r="BQ243" s="3264">
        <f t="shared" si="148"/>
        <v>0</v>
      </c>
      <c r="BR243" s="3264">
        <f t="shared" si="149"/>
        <v>0</v>
      </c>
      <c r="BS243" s="3264">
        <f t="shared" si="150"/>
        <v>0</v>
      </c>
      <c r="BT243" s="3317">
        <f t="shared" si="151"/>
        <v>0</v>
      </c>
    </row>
    <row r="244" spans="1:72">
      <c r="A244" s="3262"/>
      <c r="B244" s="3263"/>
      <c r="C244" s="3263"/>
      <c r="D244" s="3268"/>
      <c r="E244" s="3264">
        <f t="shared" si="123"/>
        <v>0</v>
      </c>
      <c r="F244" s="3265"/>
      <c r="G244" s="3266">
        <f t="shared" si="124"/>
        <v>0</v>
      </c>
      <c r="H244" s="3267">
        <f t="shared" si="125"/>
        <v>0</v>
      </c>
      <c r="I244" s="3275"/>
      <c r="J244" s="3275"/>
      <c r="K244" s="3275"/>
      <c r="L244" s="3275"/>
      <c r="M244" s="3275"/>
      <c r="N244" s="3275"/>
      <c r="O244" s="3275"/>
      <c r="P244" s="3275"/>
      <c r="Q244" s="3275"/>
      <c r="R244" s="3275"/>
      <c r="S244" s="3275"/>
      <c r="T244" s="3275"/>
      <c r="U244" s="3275"/>
      <c r="V244" s="3275"/>
      <c r="W244" s="3275"/>
      <c r="X244" s="3275"/>
      <c r="Y244" s="3275"/>
      <c r="Z244" s="3275"/>
      <c r="AA244" s="3275"/>
      <c r="AB244" s="3275"/>
      <c r="AC244" s="3264">
        <f t="shared" si="126"/>
        <v>0</v>
      </c>
      <c r="AD244" s="3285"/>
      <c r="AE244" s="3285"/>
      <c r="AF244" s="3285"/>
      <c r="AG244" s="3285"/>
      <c r="AH244" s="3285"/>
      <c r="AI244" s="3285"/>
      <c r="AJ244" s="3285"/>
      <c r="AK244" s="3285"/>
      <c r="AL244" s="3285"/>
      <c r="AM244" s="3285"/>
      <c r="AN244" s="3285"/>
      <c r="AO244" s="3285"/>
      <c r="AP244" s="3285"/>
      <c r="AQ244" s="3285"/>
      <c r="AR244" s="3285"/>
      <c r="AS244" s="3285"/>
      <c r="AT244" s="3295"/>
      <c r="AU244" s="3296"/>
      <c r="AV244" s="830">
        <f t="shared" si="127"/>
        <v>0</v>
      </c>
      <c r="AW244" s="830">
        <f t="shared" si="128"/>
        <v>0</v>
      </c>
      <c r="AX244" s="830">
        <f t="shared" si="129"/>
        <v>0</v>
      </c>
      <c r="AY244" s="3310">
        <f t="shared" si="130"/>
        <v>0</v>
      </c>
      <c r="AZ244" s="3264">
        <f t="shared" si="131"/>
        <v>0</v>
      </c>
      <c r="BA244" s="3264">
        <f t="shared" si="132"/>
        <v>0</v>
      </c>
      <c r="BB244" s="3264">
        <f t="shared" si="133"/>
        <v>0</v>
      </c>
      <c r="BC244" s="3264">
        <f t="shared" si="134"/>
        <v>0</v>
      </c>
      <c r="BD244" s="3264">
        <f t="shared" si="135"/>
        <v>0</v>
      </c>
      <c r="BE244" s="3264">
        <f t="shared" si="136"/>
        <v>0</v>
      </c>
      <c r="BF244" s="3264">
        <f t="shared" si="137"/>
        <v>0</v>
      </c>
      <c r="BG244" s="3264">
        <f t="shared" si="138"/>
        <v>0</v>
      </c>
      <c r="BH244" s="3264">
        <f t="shared" si="139"/>
        <v>0</v>
      </c>
      <c r="BI244" s="3264">
        <f t="shared" si="140"/>
        <v>0</v>
      </c>
      <c r="BJ244" s="3264">
        <f t="shared" si="141"/>
        <v>0</v>
      </c>
      <c r="BK244" s="3264">
        <f t="shared" si="142"/>
        <v>0</v>
      </c>
      <c r="BL244" s="3264">
        <f t="shared" si="143"/>
        <v>0</v>
      </c>
      <c r="BM244" s="3264">
        <f t="shared" si="144"/>
        <v>0</v>
      </c>
      <c r="BN244" s="3264">
        <f t="shared" si="145"/>
        <v>0</v>
      </c>
      <c r="BO244" s="3264">
        <f t="shared" si="146"/>
        <v>0</v>
      </c>
      <c r="BP244" s="3264">
        <f t="shared" si="147"/>
        <v>0</v>
      </c>
      <c r="BQ244" s="3264">
        <f t="shared" si="148"/>
        <v>0</v>
      </c>
      <c r="BR244" s="3264">
        <f t="shared" si="149"/>
        <v>0</v>
      </c>
      <c r="BS244" s="3264">
        <f t="shared" si="150"/>
        <v>0</v>
      </c>
      <c r="BT244" s="3317">
        <f t="shared" si="151"/>
        <v>0</v>
      </c>
    </row>
    <row r="245" spans="1:72">
      <c r="A245" s="3262"/>
      <c r="B245" s="3263"/>
      <c r="C245" s="3263"/>
      <c r="D245" s="3268"/>
      <c r="E245" s="3264">
        <f t="shared" si="123"/>
        <v>0</v>
      </c>
      <c r="F245" s="3265"/>
      <c r="G245" s="3266">
        <f t="shared" si="124"/>
        <v>0</v>
      </c>
      <c r="H245" s="3267">
        <f t="shared" si="125"/>
        <v>0</v>
      </c>
      <c r="I245" s="3275"/>
      <c r="J245" s="3275"/>
      <c r="K245" s="3275"/>
      <c r="L245" s="3275"/>
      <c r="M245" s="3275"/>
      <c r="N245" s="3275"/>
      <c r="O245" s="3275"/>
      <c r="P245" s="3275"/>
      <c r="Q245" s="3275"/>
      <c r="R245" s="3275"/>
      <c r="S245" s="3275"/>
      <c r="T245" s="3275"/>
      <c r="U245" s="3275"/>
      <c r="V245" s="3275"/>
      <c r="W245" s="3275"/>
      <c r="X245" s="3275"/>
      <c r="Y245" s="3275"/>
      <c r="Z245" s="3275"/>
      <c r="AA245" s="3275"/>
      <c r="AB245" s="3275"/>
      <c r="AC245" s="3264">
        <f t="shared" si="126"/>
        <v>0</v>
      </c>
      <c r="AD245" s="3285"/>
      <c r="AE245" s="3285"/>
      <c r="AF245" s="3285"/>
      <c r="AG245" s="3285"/>
      <c r="AH245" s="3285"/>
      <c r="AI245" s="3285"/>
      <c r="AJ245" s="3285"/>
      <c r="AK245" s="3285"/>
      <c r="AL245" s="3285"/>
      <c r="AM245" s="3285"/>
      <c r="AN245" s="3285"/>
      <c r="AO245" s="3285"/>
      <c r="AP245" s="3285"/>
      <c r="AQ245" s="3285"/>
      <c r="AR245" s="3285"/>
      <c r="AS245" s="3285"/>
      <c r="AT245" s="3295"/>
      <c r="AU245" s="3296"/>
      <c r="AV245" s="830">
        <f t="shared" si="127"/>
        <v>0</v>
      </c>
      <c r="AW245" s="830">
        <f t="shared" si="128"/>
        <v>0</v>
      </c>
      <c r="AX245" s="830">
        <f t="shared" si="129"/>
        <v>0</v>
      </c>
      <c r="AY245" s="3310">
        <f t="shared" si="130"/>
        <v>0</v>
      </c>
      <c r="AZ245" s="3264">
        <f t="shared" si="131"/>
        <v>0</v>
      </c>
      <c r="BA245" s="3264">
        <f t="shared" si="132"/>
        <v>0</v>
      </c>
      <c r="BB245" s="3264">
        <f t="shared" si="133"/>
        <v>0</v>
      </c>
      <c r="BC245" s="3264">
        <f t="shared" si="134"/>
        <v>0</v>
      </c>
      <c r="BD245" s="3264">
        <f t="shared" si="135"/>
        <v>0</v>
      </c>
      <c r="BE245" s="3264">
        <f t="shared" si="136"/>
        <v>0</v>
      </c>
      <c r="BF245" s="3264">
        <f t="shared" si="137"/>
        <v>0</v>
      </c>
      <c r="BG245" s="3264">
        <f t="shared" si="138"/>
        <v>0</v>
      </c>
      <c r="BH245" s="3264">
        <f t="shared" si="139"/>
        <v>0</v>
      </c>
      <c r="BI245" s="3264">
        <f t="shared" si="140"/>
        <v>0</v>
      </c>
      <c r="BJ245" s="3264">
        <f t="shared" si="141"/>
        <v>0</v>
      </c>
      <c r="BK245" s="3264">
        <f t="shared" si="142"/>
        <v>0</v>
      </c>
      <c r="BL245" s="3264">
        <f t="shared" si="143"/>
        <v>0</v>
      </c>
      <c r="BM245" s="3264">
        <f t="shared" si="144"/>
        <v>0</v>
      </c>
      <c r="BN245" s="3264">
        <f t="shared" si="145"/>
        <v>0</v>
      </c>
      <c r="BO245" s="3264">
        <f t="shared" si="146"/>
        <v>0</v>
      </c>
      <c r="BP245" s="3264">
        <f t="shared" si="147"/>
        <v>0</v>
      </c>
      <c r="BQ245" s="3264">
        <f t="shared" si="148"/>
        <v>0</v>
      </c>
      <c r="BR245" s="3264">
        <f t="shared" si="149"/>
        <v>0</v>
      </c>
      <c r="BS245" s="3264">
        <f t="shared" si="150"/>
        <v>0</v>
      </c>
      <c r="BT245" s="3317">
        <f t="shared" si="151"/>
        <v>0</v>
      </c>
    </row>
    <row r="246" spans="1:72">
      <c r="A246" s="3262"/>
      <c r="B246" s="3263"/>
      <c r="C246" s="3263"/>
      <c r="D246" s="3268"/>
      <c r="E246" s="3264">
        <f t="shared" si="123"/>
        <v>0</v>
      </c>
      <c r="F246" s="3265"/>
      <c r="G246" s="3266">
        <f t="shared" si="124"/>
        <v>0</v>
      </c>
      <c r="H246" s="3267">
        <f t="shared" si="125"/>
        <v>0</v>
      </c>
      <c r="I246" s="3275"/>
      <c r="J246" s="3275"/>
      <c r="K246" s="3275"/>
      <c r="L246" s="3275"/>
      <c r="M246" s="3275"/>
      <c r="N246" s="3275"/>
      <c r="O246" s="3275"/>
      <c r="P246" s="3275"/>
      <c r="Q246" s="3275"/>
      <c r="R246" s="3275"/>
      <c r="S246" s="3275"/>
      <c r="T246" s="3275"/>
      <c r="U246" s="3275"/>
      <c r="V246" s="3275"/>
      <c r="W246" s="3275"/>
      <c r="X246" s="3275"/>
      <c r="Y246" s="3275"/>
      <c r="Z246" s="3275"/>
      <c r="AA246" s="3275"/>
      <c r="AB246" s="3275"/>
      <c r="AC246" s="3264">
        <f t="shared" si="126"/>
        <v>0</v>
      </c>
      <c r="AD246" s="3285"/>
      <c r="AE246" s="3285"/>
      <c r="AF246" s="3285"/>
      <c r="AG246" s="3285"/>
      <c r="AH246" s="3285"/>
      <c r="AI246" s="3285"/>
      <c r="AJ246" s="3285"/>
      <c r="AK246" s="3285"/>
      <c r="AL246" s="3285"/>
      <c r="AM246" s="3285"/>
      <c r="AN246" s="3285"/>
      <c r="AO246" s="3285"/>
      <c r="AP246" s="3285"/>
      <c r="AQ246" s="3285"/>
      <c r="AR246" s="3285"/>
      <c r="AS246" s="3285"/>
      <c r="AT246" s="3295"/>
      <c r="AU246" s="3296"/>
      <c r="AV246" s="830">
        <f t="shared" si="127"/>
        <v>0</v>
      </c>
      <c r="AW246" s="830">
        <f t="shared" si="128"/>
        <v>0</v>
      </c>
      <c r="AX246" s="830">
        <f t="shared" si="129"/>
        <v>0</v>
      </c>
      <c r="AY246" s="3310">
        <f t="shared" si="130"/>
        <v>0</v>
      </c>
      <c r="AZ246" s="3264">
        <f t="shared" si="131"/>
        <v>0</v>
      </c>
      <c r="BA246" s="3264">
        <f t="shared" si="132"/>
        <v>0</v>
      </c>
      <c r="BB246" s="3264">
        <f t="shared" si="133"/>
        <v>0</v>
      </c>
      <c r="BC246" s="3264">
        <f t="shared" si="134"/>
        <v>0</v>
      </c>
      <c r="BD246" s="3264">
        <f t="shared" si="135"/>
        <v>0</v>
      </c>
      <c r="BE246" s="3264">
        <f t="shared" si="136"/>
        <v>0</v>
      </c>
      <c r="BF246" s="3264">
        <f t="shared" si="137"/>
        <v>0</v>
      </c>
      <c r="BG246" s="3264">
        <f t="shared" si="138"/>
        <v>0</v>
      </c>
      <c r="BH246" s="3264">
        <f t="shared" si="139"/>
        <v>0</v>
      </c>
      <c r="BI246" s="3264">
        <f t="shared" si="140"/>
        <v>0</v>
      </c>
      <c r="BJ246" s="3264">
        <f t="shared" si="141"/>
        <v>0</v>
      </c>
      <c r="BK246" s="3264">
        <f t="shared" si="142"/>
        <v>0</v>
      </c>
      <c r="BL246" s="3264">
        <f t="shared" si="143"/>
        <v>0</v>
      </c>
      <c r="BM246" s="3264">
        <f t="shared" si="144"/>
        <v>0</v>
      </c>
      <c r="BN246" s="3264">
        <f t="shared" si="145"/>
        <v>0</v>
      </c>
      <c r="BO246" s="3264">
        <f t="shared" si="146"/>
        <v>0</v>
      </c>
      <c r="BP246" s="3264">
        <f t="shared" si="147"/>
        <v>0</v>
      </c>
      <c r="BQ246" s="3264">
        <f t="shared" si="148"/>
        <v>0</v>
      </c>
      <c r="BR246" s="3264">
        <f t="shared" si="149"/>
        <v>0</v>
      </c>
      <c r="BS246" s="3264">
        <f t="shared" si="150"/>
        <v>0</v>
      </c>
      <c r="BT246" s="3317">
        <f t="shared" si="151"/>
        <v>0</v>
      </c>
    </row>
    <row r="247" spans="1:72">
      <c r="A247" s="3262"/>
      <c r="B247" s="3263"/>
      <c r="C247" s="3263"/>
      <c r="D247" s="3268"/>
      <c r="E247" s="3264">
        <f t="shared" si="123"/>
        <v>0</v>
      </c>
      <c r="F247" s="3265"/>
      <c r="G247" s="3266">
        <f t="shared" si="124"/>
        <v>0</v>
      </c>
      <c r="H247" s="3267">
        <f t="shared" si="125"/>
        <v>0</v>
      </c>
      <c r="I247" s="3275"/>
      <c r="J247" s="3275"/>
      <c r="K247" s="3275"/>
      <c r="L247" s="3275"/>
      <c r="M247" s="3275"/>
      <c r="N247" s="3275"/>
      <c r="O247" s="3275"/>
      <c r="P247" s="3275"/>
      <c r="Q247" s="3275"/>
      <c r="R247" s="3275"/>
      <c r="S247" s="3275"/>
      <c r="T247" s="3275"/>
      <c r="U247" s="3275"/>
      <c r="V247" s="3275"/>
      <c r="W247" s="3275"/>
      <c r="X247" s="3275"/>
      <c r="Y247" s="3275"/>
      <c r="Z247" s="3275"/>
      <c r="AA247" s="3275"/>
      <c r="AB247" s="3275"/>
      <c r="AC247" s="3264">
        <f t="shared" si="126"/>
        <v>0</v>
      </c>
      <c r="AD247" s="3285"/>
      <c r="AE247" s="3285"/>
      <c r="AF247" s="3285"/>
      <c r="AG247" s="3285"/>
      <c r="AH247" s="3285"/>
      <c r="AI247" s="3285"/>
      <c r="AJ247" s="3285"/>
      <c r="AK247" s="3285"/>
      <c r="AL247" s="3285"/>
      <c r="AM247" s="3285"/>
      <c r="AN247" s="3285"/>
      <c r="AO247" s="3285"/>
      <c r="AP247" s="3285"/>
      <c r="AQ247" s="3285"/>
      <c r="AR247" s="3285"/>
      <c r="AS247" s="3285"/>
      <c r="AT247" s="3295"/>
      <c r="AU247" s="3296"/>
      <c r="AV247" s="830">
        <f t="shared" si="127"/>
        <v>0</v>
      </c>
      <c r="AW247" s="830">
        <f t="shared" si="128"/>
        <v>0</v>
      </c>
      <c r="AX247" s="830">
        <f t="shared" si="129"/>
        <v>0</v>
      </c>
      <c r="AY247" s="3310">
        <f t="shared" si="130"/>
        <v>0</v>
      </c>
      <c r="AZ247" s="3264">
        <f t="shared" si="131"/>
        <v>0</v>
      </c>
      <c r="BA247" s="3264">
        <f t="shared" si="132"/>
        <v>0</v>
      </c>
      <c r="BB247" s="3264">
        <f t="shared" si="133"/>
        <v>0</v>
      </c>
      <c r="BC247" s="3264">
        <f t="shared" si="134"/>
        <v>0</v>
      </c>
      <c r="BD247" s="3264">
        <f t="shared" si="135"/>
        <v>0</v>
      </c>
      <c r="BE247" s="3264">
        <f t="shared" si="136"/>
        <v>0</v>
      </c>
      <c r="BF247" s="3264">
        <f t="shared" si="137"/>
        <v>0</v>
      </c>
      <c r="BG247" s="3264">
        <f t="shared" si="138"/>
        <v>0</v>
      </c>
      <c r="BH247" s="3264">
        <f t="shared" si="139"/>
        <v>0</v>
      </c>
      <c r="BI247" s="3264">
        <f t="shared" si="140"/>
        <v>0</v>
      </c>
      <c r="BJ247" s="3264">
        <f t="shared" si="141"/>
        <v>0</v>
      </c>
      <c r="BK247" s="3264">
        <f t="shared" si="142"/>
        <v>0</v>
      </c>
      <c r="BL247" s="3264">
        <f t="shared" si="143"/>
        <v>0</v>
      </c>
      <c r="BM247" s="3264">
        <f t="shared" si="144"/>
        <v>0</v>
      </c>
      <c r="BN247" s="3264">
        <f t="shared" si="145"/>
        <v>0</v>
      </c>
      <c r="BO247" s="3264">
        <f t="shared" si="146"/>
        <v>0</v>
      </c>
      <c r="BP247" s="3264">
        <f t="shared" si="147"/>
        <v>0</v>
      </c>
      <c r="BQ247" s="3264">
        <f t="shared" si="148"/>
        <v>0</v>
      </c>
      <c r="BR247" s="3264">
        <f t="shared" si="149"/>
        <v>0</v>
      </c>
      <c r="BS247" s="3264">
        <f t="shared" si="150"/>
        <v>0</v>
      </c>
      <c r="BT247" s="3317">
        <f t="shared" si="151"/>
        <v>0</v>
      </c>
    </row>
    <row r="248" spans="1:72">
      <c r="A248" s="3262"/>
      <c r="B248" s="3263"/>
      <c r="C248" s="3263"/>
      <c r="D248" s="3268"/>
      <c r="E248" s="3264">
        <f t="shared" si="123"/>
        <v>0</v>
      </c>
      <c r="F248" s="3265"/>
      <c r="G248" s="3266">
        <f t="shared" si="124"/>
        <v>0</v>
      </c>
      <c r="H248" s="3267">
        <f t="shared" si="125"/>
        <v>0</v>
      </c>
      <c r="I248" s="3275"/>
      <c r="J248" s="3275"/>
      <c r="K248" s="3275"/>
      <c r="L248" s="3275"/>
      <c r="M248" s="3275"/>
      <c r="N248" s="3275"/>
      <c r="O248" s="3275"/>
      <c r="P248" s="3275"/>
      <c r="Q248" s="3275"/>
      <c r="R248" s="3275"/>
      <c r="S248" s="3275"/>
      <c r="T248" s="3275"/>
      <c r="U248" s="3275"/>
      <c r="V248" s="3275"/>
      <c r="W248" s="3275"/>
      <c r="X248" s="3275"/>
      <c r="Y248" s="3275"/>
      <c r="Z248" s="3275"/>
      <c r="AA248" s="3275"/>
      <c r="AB248" s="3275"/>
      <c r="AC248" s="3264">
        <f t="shared" si="126"/>
        <v>0</v>
      </c>
      <c r="AD248" s="3285"/>
      <c r="AE248" s="3285"/>
      <c r="AF248" s="3285"/>
      <c r="AG248" s="3285"/>
      <c r="AH248" s="3285"/>
      <c r="AI248" s="3285"/>
      <c r="AJ248" s="3285"/>
      <c r="AK248" s="3285"/>
      <c r="AL248" s="3285"/>
      <c r="AM248" s="3285"/>
      <c r="AN248" s="3285"/>
      <c r="AO248" s="3285"/>
      <c r="AP248" s="3285"/>
      <c r="AQ248" s="3285"/>
      <c r="AR248" s="3285"/>
      <c r="AS248" s="3285"/>
      <c r="AT248" s="3295"/>
      <c r="AU248" s="3296"/>
      <c r="AV248" s="830">
        <f t="shared" si="127"/>
        <v>0</v>
      </c>
      <c r="AW248" s="830">
        <f t="shared" si="128"/>
        <v>0</v>
      </c>
      <c r="AX248" s="830">
        <f t="shared" si="129"/>
        <v>0</v>
      </c>
      <c r="AY248" s="3310">
        <f t="shared" si="130"/>
        <v>0</v>
      </c>
      <c r="AZ248" s="3264">
        <f t="shared" si="131"/>
        <v>0</v>
      </c>
      <c r="BA248" s="3264">
        <f t="shared" si="132"/>
        <v>0</v>
      </c>
      <c r="BB248" s="3264">
        <f t="shared" si="133"/>
        <v>0</v>
      </c>
      <c r="BC248" s="3264">
        <f t="shared" si="134"/>
        <v>0</v>
      </c>
      <c r="BD248" s="3264">
        <f t="shared" si="135"/>
        <v>0</v>
      </c>
      <c r="BE248" s="3264">
        <f t="shared" si="136"/>
        <v>0</v>
      </c>
      <c r="BF248" s="3264">
        <f t="shared" si="137"/>
        <v>0</v>
      </c>
      <c r="BG248" s="3264">
        <f t="shared" si="138"/>
        <v>0</v>
      </c>
      <c r="BH248" s="3264">
        <f t="shared" si="139"/>
        <v>0</v>
      </c>
      <c r="BI248" s="3264">
        <f t="shared" si="140"/>
        <v>0</v>
      </c>
      <c r="BJ248" s="3264">
        <f t="shared" si="141"/>
        <v>0</v>
      </c>
      <c r="BK248" s="3264">
        <f t="shared" si="142"/>
        <v>0</v>
      </c>
      <c r="BL248" s="3264">
        <f t="shared" si="143"/>
        <v>0</v>
      </c>
      <c r="BM248" s="3264">
        <f t="shared" si="144"/>
        <v>0</v>
      </c>
      <c r="BN248" s="3264">
        <f t="shared" si="145"/>
        <v>0</v>
      </c>
      <c r="BO248" s="3264">
        <f t="shared" si="146"/>
        <v>0</v>
      </c>
      <c r="BP248" s="3264">
        <f t="shared" si="147"/>
        <v>0</v>
      </c>
      <c r="BQ248" s="3264">
        <f t="shared" si="148"/>
        <v>0</v>
      </c>
      <c r="BR248" s="3264">
        <f t="shared" si="149"/>
        <v>0</v>
      </c>
      <c r="BS248" s="3264">
        <f t="shared" si="150"/>
        <v>0</v>
      </c>
      <c r="BT248" s="3317">
        <f t="shared" si="151"/>
        <v>0</v>
      </c>
    </row>
    <row r="249" spans="1:72">
      <c r="A249" s="3262"/>
      <c r="B249" s="3263"/>
      <c r="C249" s="3263"/>
      <c r="D249" s="3268"/>
      <c r="E249" s="3264">
        <f t="shared" si="123"/>
        <v>0</v>
      </c>
      <c r="F249" s="3265"/>
      <c r="G249" s="3266">
        <f t="shared" si="124"/>
        <v>0</v>
      </c>
      <c r="H249" s="3267">
        <f t="shared" si="125"/>
        <v>0</v>
      </c>
      <c r="I249" s="3275"/>
      <c r="J249" s="3275"/>
      <c r="K249" s="3275"/>
      <c r="L249" s="3275"/>
      <c r="M249" s="3275"/>
      <c r="N249" s="3275"/>
      <c r="O249" s="3275"/>
      <c r="P249" s="3275"/>
      <c r="Q249" s="3275"/>
      <c r="R249" s="3275"/>
      <c r="S249" s="3275"/>
      <c r="T249" s="3275"/>
      <c r="U249" s="3275"/>
      <c r="V249" s="3275"/>
      <c r="W249" s="3275"/>
      <c r="X249" s="3275"/>
      <c r="Y249" s="3275"/>
      <c r="Z249" s="3275"/>
      <c r="AA249" s="3275"/>
      <c r="AB249" s="3275"/>
      <c r="AC249" s="3264">
        <f t="shared" si="126"/>
        <v>0</v>
      </c>
      <c r="AD249" s="3285"/>
      <c r="AE249" s="3285"/>
      <c r="AF249" s="3285"/>
      <c r="AG249" s="3285"/>
      <c r="AH249" s="3285"/>
      <c r="AI249" s="3285"/>
      <c r="AJ249" s="3285"/>
      <c r="AK249" s="3285"/>
      <c r="AL249" s="3285"/>
      <c r="AM249" s="3285"/>
      <c r="AN249" s="3285"/>
      <c r="AO249" s="3285"/>
      <c r="AP249" s="3285"/>
      <c r="AQ249" s="3285"/>
      <c r="AR249" s="3285"/>
      <c r="AS249" s="3285"/>
      <c r="AT249" s="3295"/>
      <c r="AU249" s="3296"/>
      <c r="AV249" s="830">
        <f t="shared" si="127"/>
        <v>0</v>
      </c>
      <c r="AW249" s="830">
        <f t="shared" si="128"/>
        <v>0</v>
      </c>
      <c r="AX249" s="830">
        <f t="shared" si="129"/>
        <v>0</v>
      </c>
      <c r="AY249" s="3310">
        <f t="shared" si="130"/>
        <v>0</v>
      </c>
      <c r="AZ249" s="3264">
        <f t="shared" si="131"/>
        <v>0</v>
      </c>
      <c r="BA249" s="3264">
        <f t="shared" si="132"/>
        <v>0</v>
      </c>
      <c r="BB249" s="3264">
        <f t="shared" si="133"/>
        <v>0</v>
      </c>
      <c r="BC249" s="3264">
        <f t="shared" si="134"/>
        <v>0</v>
      </c>
      <c r="BD249" s="3264">
        <f t="shared" si="135"/>
        <v>0</v>
      </c>
      <c r="BE249" s="3264">
        <f t="shared" si="136"/>
        <v>0</v>
      </c>
      <c r="BF249" s="3264">
        <f t="shared" si="137"/>
        <v>0</v>
      </c>
      <c r="BG249" s="3264">
        <f t="shared" si="138"/>
        <v>0</v>
      </c>
      <c r="BH249" s="3264">
        <f t="shared" si="139"/>
        <v>0</v>
      </c>
      <c r="BI249" s="3264">
        <f t="shared" si="140"/>
        <v>0</v>
      </c>
      <c r="BJ249" s="3264">
        <f t="shared" si="141"/>
        <v>0</v>
      </c>
      <c r="BK249" s="3264">
        <f t="shared" si="142"/>
        <v>0</v>
      </c>
      <c r="BL249" s="3264">
        <f t="shared" si="143"/>
        <v>0</v>
      </c>
      <c r="BM249" s="3264">
        <f t="shared" si="144"/>
        <v>0</v>
      </c>
      <c r="BN249" s="3264">
        <f t="shared" si="145"/>
        <v>0</v>
      </c>
      <c r="BO249" s="3264">
        <f t="shared" si="146"/>
        <v>0</v>
      </c>
      <c r="BP249" s="3264">
        <f t="shared" si="147"/>
        <v>0</v>
      </c>
      <c r="BQ249" s="3264">
        <f t="shared" si="148"/>
        <v>0</v>
      </c>
      <c r="BR249" s="3264">
        <f t="shared" si="149"/>
        <v>0</v>
      </c>
      <c r="BS249" s="3264">
        <f t="shared" si="150"/>
        <v>0</v>
      </c>
      <c r="BT249" s="3317">
        <f t="shared" si="151"/>
        <v>0</v>
      </c>
    </row>
    <row r="250" spans="1:72">
      <c r="A250" s="3262"/>
      <c r="B250" s="3263"/>
      <c r="C250" s="3263"/>
      <c r="D250" s="3268"/>
      <c r="E250" s="3264">
        <f t="shared" si="123"/>
        <v>0</v>
      </c>
      <c r="F250" s="3265"/>
      <c r="G250" s="3266">
        <f t="shared" si="124"/>
        <v>0</v>
      </c>
      <c r="H250" s="3267">
        <f t="shared" si="125"/>
        <v>0</v>
      </c>
      <c r="I250" s="3275"/>
      <c r="J250" s="3275"/>
      <c r="K250" s="3275"/>
      <c r="L250" s="3275"/>
      <c r="M250" s="3275"/>
      <c r="N250" s="3275"/>
      <c r="O250" s="3275"/>
      <c r="P250" s="3275"/>
      <c r="Q250" s="3275"/>
      <c r="R250" s="3275"/>
      <c r="S250" s="3275"/>
      <c r="T250" s="3275"/>
      <c r="U250" s="3275"/>
      <c r="V250" s="3275"/>
      <c r="W250" s="3275"/>
      <c r="X250" s="3275"/>
      <c r="Y250" s="3275"/>
      <c r="Z250" s="3275"/>
      <c r="AA250" s="3275"/>
      <c r="AB250" s="3275"/>
      <c r="AC250" s="3264">
        <f t="shared" si="126"/>
        <v>0</v>
      </c>
      <c r="AD250" s="3285"/>
      <c r="AE250" s="3285"/>
      <c r="AF250" s="3285"/>
      <c r="AG250" s="3285"/>
      <c r="AH250" s="3285"/>
      <c r="AI250" s="3285"/>
      <c r="AJ250" s="3285"/>
      <c r="AK250" s="3285"/>
      <c r="AL250" s="3285"/>
      <c r="AM250" s="3285"/>
      <c r="AN250" s="3285"/>
      <c r="AO250" s="3285"/>
      <c r="AP250" s="3285"/>
      <c r="AQ250" s="3285"/>
      <c r="AR250" s="3285"/>
      <c r="AS250" s="3285"/>
      <c r="AT250" s="3295"/>
      <c r="AU250" s="3296"/>
      <c r="AV250" s="830">
        <f t="shared" si="127"/>
        <v>0</v>
      </c>
      <c r="AW250" s="830">
        <f t="shared" si="128"/>
        <v>0</v>
      </c>
      <c r="AX250" s="830">
        <f t="shared" si="129"/>
        <v>0</v>
      </c>
      <c r="AY250" s="3310">
        <f t="shared" si="130"/>
        <v>0</v>
      </c>
      <c r="AZ250" s="3264">
        <f t="shared" si="131"/>
        <v>0</v>
      </c>
      <c r="BA250" s="3264">
        <f t="shared" si="132"/>
        <v>0</v>
      </c>
      <c r="BB250" s="3264">
        <f t="shared" si="133"/>
        <v>0</v>
      </c>
      <c r="BC250" s="3264">
        <f t="shared" si="134"/>
        <v>0</v>
      </c>
      <c r="BD250" s="3264">
        <f t="shared" si="135"/>
        <v>0</v>
      </c>
      <c r="BE250" s="3264">
        <f t="shared" si="136"/>
        <v>0</v>
      </c>
      <c r="BF250" s="3264">
        <f t="shared" si="137"/>
        <v>0</v>
      </c>
      <c r="BG250" s="3264">
        <f t="shared" si="138"/>
        <v>0</v>
      </c>
      <c r="BH250" s="3264">
        <f t="shared" si="139"/>
        <v>0</v>
      </c>
      <c r="BI250" s="3264">
        <f t="shared" si="140"/>
        <v>0</v>
      </c>
      <c r="BJ250" s="3264">
        <f t="shared" si="141"/>
        <v>0</v>
      </c>
      <c r="BK250" s="3264">
        <f t="shared" si="142"/>
        <v>0</v>
      </c>
      <c r="BL250" s="3264">
        <f t="shared" si="143"/>
        <v>0</v>
      </c>
      <c r="BM250" s="3264">
        <f t="shared" si="144"/>
        <v>0</v>
      </c>
      <c r="BN250" s="3264">
        <f t="shared" si="145"/>
        <v>0</v>
      </c>
      <c r="BO250" s="3264">
        <f t="shared" si="146"/>
        <v>0</v>
      </c>
      <c r="BP250" s="3264">
        <f t="shared" si="147"/>
        <v>0</v>
      </c>
      <c r="BQ250" s="3264">
        <f t="shared" si="148"/>
        <v>0</v>
      </c>
      <c r="BR250" s="3264">
        <f t="shared" si="149"/>
        <v>0</v>
      </c>
      <c r="BS250" s="3264">
        <f t="shared" si="150"/>
        <v>0</v>
      </c>
      <c r="BT250" s="3317">
        <f t="shared" si="151"/>
        <v>0</v>
      </c>
    </row>
    <row r="251" spans="1:72">
      <c r="A251" s="3262"/>
      <c r="B251" s="3263"/>
      <c r="C251" s="3263"/>
      <c r="D251" s="3268"/>
      <c r="E251" s="3264">
        <f t="shared" si="123"/>
        <v>0</v>
      </c>
      <c r="F251" s="3265"/>
      <c r="G251" s="3266">
        <f t="shared" si="124"/>
        <v>0</v>
      </c>
      <c r="H251" s="3267">
        <f t="shared" si="125"/>
        <v>0</v>
      </c>
      <c r="I251" s="3275"/>
      <c r="J251" s="3275"/>
      <c r="K251" s="3275"/>
      <c r="L251" s="3275"/>
      <c r="M251" s="3275"/>
      <c r="N251" s="3275"/>
      <c r="O251" s="3275"/>
      <c r="P251" s="3275"/>
      <c r="Q251" s="3275"/>
      <c r="R251" s="3275"/>
      <c r="S251" s="3275"/>
      <c r="T251" s="3275"/>
      <c r="U251" s="3275"/>
      <c r="V251" s="3275"/>
      <c r="W251" s="3275"/>
      <c r="X251" s="3275"/>
      <c r="Y251" s="3275"/>
      <c r="Z251" s="3275"/>
      <c r="AA251" s="3275"/>
      <c r="AB251" s="3275"/>
      <c r="AC251" s="3264">
        <f t="shared" si="126"/>
        <v>0</v>
      </c>
      <c r="AD251" s="3285"/>
      <c r="AE251" s="3285"/>
      <c r="AF251" s="3285"/>
      <c r="AG251" s="3285"/>
      <c r="AH251" s="3285"/>
      <c r="AI251" s="3285"/>
      <c r="AJ251" s="3285"/>
      <c r="AK251" s="3285"/>
      <c r="AL251" s="3285"/>
      <c r="AM251" s="3285"/>
      <c r="AN251" s="3285"/>
      <c r="AO251" s="3285"/>
      <c r="AP251" s="3285"/>
      <c r="AQ251" s="3285"/>
      <c r="AR251" s="3285"/>
      <c r="AS251" s="3285"/>
      <c r="AT251" s="3295"/>
      <c r="AU251" s="3296"/>
      <c r="AV251" s="830">
        <f t="shared" si="127"/>
        <v>0</v>
      </c>
      <c r="AW251" s="830">
        <f t="shared" si="128"/>
        <v>0</v>
      </c>
      <c r="AX251" s="830">
        <f t="shared" si="129"/>
        <v>0</v>
      </c>
      <c r="AY251" s="3310">
        <f t="shared" si="130"/>
        <v>0</v>
      </c>
      <c r="AZ251" s="3264">
        <f t="shared" si="131"/>
        <v>0</v>
      </c>
      <c r="BA251" s="3264">
        <f t="shared" si="132"/>
        <v>0</v>
      </c>
      <c r="BB251" s="3264">
        <f t="shared" si="133"/>
        <v>0</v>
      </c>
      <c r="BC251" s="3264">
        <f t="shared" si="134"/>
        <v>0</v>
      </c>
      <c r="BD251" s="3264">
        <f t="shared" si="135"/>
        <v>0</v>
      </c>
      <c r="BE251" s="3264">
        <f t="shared" si="136"/>
        <v>0</v>
      </c>
      <c r="BF251" s="3264">
        <f t="shared" si="137"/>
        <v>0</v>
      </c>
      <c r="BG251" s="3264">
        <f t="shared" si="138"/>
        <v>0</v>
      </c>
      <c r="BH251" s="3264">
        <f t="shared" si="139"/>
        <v>0</v>
      </c>
      <c r="BI251" s="3264">
        <f t="shared" si="140"/>
        <v>0</v>
      </c>
      <c r="BJ251" s="3264">
        <f t="shared" si="141"/>
        <v>0</v>
      </c>
      <c r="BK251" s="3264">
        <f t="shared" si="142"/>
        <v>0</v>
      </c>
      <c r="BL251" s="3264">
        <f t="shared" si="143"/>
        <v>0</v>
      </c>
      <c r="BM251" s="3264">
        <f t="shared" si="144"/>
        <v>0</v>
      </c>
      <c r="BN251" s="3264">
        <f t="shared" si="145"/>
        <v>0</v>
      </c>
      <c r="BO251" s="3264">
        <f t="shared" si="146"/>
        <v>0</v>
      </c>
      <c r="BP251" s="3264">
        <f t="shared" si="147"/>
        <v>0</v>
      </c>
      <c r="BQ251" s="3264">
        <f t="shared" si="148"/>
        <v>0</v>
      </c>
      <c r="BR251" s="3264">
        <f t="shared" si="149"/>
        <v>0</v>
      </c>
      <c r="BS251" s="3264">
        <f t="shared" si="150"/>
        <v>0</v>
      </c>
      <c r="BT251" s="3317">
        <f t="shared" si="151"/>
        <v>0</v>
      </c>
    </row>
    <row r="252" spans="1:72">
      <c r="A252" s="3262"/>
      <c r="B252" s="3263"/>
      <c r="C252" s="3263"/>
      <c r="D252" s="3268"/>
      <c r="E252" s="3264">
        <f t="shared" si="123"/>
        <v>0</v>
      </c>
      <c r="F252" s="3265"/>
      <c r="G252" s="3266">
        <f t="shared" si="124"/>
        <v>0</v>
      </c>
      <c r="H252" s="3267">
        <f t="shared" si="125"/>
        <v>0</v>
      </c>
      <c r="I252" s="3275"/>
      <c r="J252" s="3275"/>
      <c r="K252" s="3275"/>
      <c r="L252" s="3275"/>
      <c r="M252" s="3275"/>
      <c r="N252" s="3275"/>
      <c r="O252" s="3275"/>
      <c r="P252" s="3275"/>
      <c r="Q252" s="3275"/>
      <c r="R252" s="3275"/>
      <c r="S252" s="3275"/>
      <c r="T252" s="3275"/>
      <c r="U252" s="3275"/>
      <c r="V252" s="3275"/>
      <c r="W252" s="3275"/>
      <c r="X252" s="3275"/>
      <c r="Y252" s="3275"/>
      <c r="Z252" s="3275"/>
      <c r="AA252" s="3275"/>
      <c r="AB252" s="3275"/>
      <c r="AC252" s="3264">
        <f t="shared" si="126"/>
        <v>0</v>
      </c>
      <c r="AD252" s="3285"/>
      <c r="AE252" s="3285"/>
      <c r="AF252" s="3285"/>
      <c r="AG252" s="3285"/>
      <c r="AH252" s="3285"/>
      <c r="AI252" s="3285"/>
      <c r="AJ252" s="3285"/>
      <c r="AK252" s="3285"/>
      <c r="AL252" s="3285"/>
      <c r="AM252" s="3285"/>
      <c r="AN252" s="3285"/>
      <c r="AO252" s="3285"/>
      <c r="AP252" s="3285"/>
      <c r="AQ252" s="3285"/>
      <c r="AR252" s="3285"/>
      <c r="AS252" s="3285"/>
      <c r="AT252" s="3295"/>
      <c r="AU252" s="3296"/>
      <c r="AV252" s="830">
        <f t="shared" si="127"/>
        <v>0</v>
      </c>
      <c r="AW252" s="830">
        <f t="shared" si="128"/>
        <v>0</v>
      </c>
      <c r="AX252" s="830">
        <f t="shared" si="129"/>
        <v>0</v>
      </c>
      <c r="AY252" s="3310">
        <f t="shared" si="130"/>
        <v>0</v>
      </c>
      <c r="AZ252" s="3264">
        <f t="shared" si="131"/>
        <v>0</v>
      </c>
      <c r="BA252" s="3264">
        <f t="shared" si="132"/>
        <v>0</v>
      </c>
      <c r="BB252" s="3264">
        <f t="shared" si="133"/>
        <v>0</v>
      </c>
      <c r="BC252" s="3264">
        <f t="shared" si="134"/>
        <v>0</v>
      </c>
      <c r="BD252" s="3264">
        <f t="shared" si="135"/>
        <v>0</v>
      </c>
      <c r="BE252" s="3264">
        <f t="shared" si="136"/>
        <v>0</v>
      </c>
      <c r="BF252" s="3264">
        <f t="shared" si="137"/>
        <v>0</v>
      </c>
      <c r="BG252" s="3264">
        <f t="shared" si="138"/>
        <v>0</v>
      </c>
      <c r="BH252" s="3264">
        <f t="shared" si="139"/>
        <v>0</v>
      </c>
      <c r="BI252" s="3264">
        <f t="shared" si="140"/>
        <v>0</v>
      </c>
      <c r="BJ252" s="3264">
        <f t="shared" si="141"/>
        <v>0</v>
      </c>
      <c r="BK252" s="3264">
        <f t="shared" si="142"/>
        <v>0</v>
      </c>
      <c r="BL252" s="3264">
        <f t="shared" si="143"/>
        <v>0</v>
      </c>
      <c r="BM252" s="3264">
        <f t="shared" si="144"/>
        <v>0</v>
      </c>
      <c r="BN252" s="3264">
        <f t="shared" si="145"/>
        <v>0</v>
      </c>
      <c r="BO252" s="3264">
        <f t="shared" si="146"/>
        <v>0</v>
      </c>
      <c r="BP252" s="3264">
        <f t="shared" si="147"/>
        <v>0</v>
      </c>
      <c r="BQ252" s="3264">
        <f t="shared" si="148"/>
        <v>0</v>
      </c>
      <c r="BR252" s="3264">
        <f t="shared" si="149"/>
        <v>0</v>
      </c>
      <c r="BS252" s="3264">
        <f t="shared" si="150"/>
        <v>0</v>
      </c>
      <c r="BT252" s="3317">
        <f t="shared" si="151"/>
        <v>0</v>
      </c>
    </row>
    <row r="253" spans="1:72">
      <c r="A253" s="3262"/>
      <c r="B253" s="3263"/>
      <c r="C253" s="3263"/>
      <c r="D253" s="3268"/>
      <c r="E253" s="3264">
        <f t="shared" si="123"/>
        <v>0</v>
      </c>
      <c r="F253" s="3265"/>
      <c r="G253" s="3266">
        <f t="shared" si="124"/>
        <v>0</v>
      </c>
      <c r="H253" s="3267">
        <f t="shared" si="125"/>
        <v>0</v>
      </c>
      <c r="I253" s="3275"/>
      <c r="J253" s="3275"/>
      <c r="K253" s="3275"/>
      <c r="L253" s="3275"/>
      <c r="M253" s="3275"/>
      <c r="N253" s="3275"/>
      <c r="O253" s="3275"/>
      <c r="P253" s="3275"/>
      <c r="Q253" s="3275"/>
      <c r="R253" s="3275"/>
      <c r="S253" s="3275"/>
      <c r="T253" s="3275"/>
      <c r="U253" s="3275"/>
      <c r="V253" s="3275"/>
      <c r="W253" s="3275"/>
      <c r="X253" s="3275"/>
      <c r="Y253" s="3275"/>
      <c r="Z253" s="3275"/>
      <c r="AA253" s="3275"/>
      <c r="AB253" s="3275"/>
      <c r="AC253" s="3264">
        <f t="shared" si="126"/>
        <v>0</v>
      </c>
      <c r="AD253" s="3285"/>
      <c r="AE253" s="3285"/>
      <c r="AF253" s="3285"/>
      <c r="AG253" s="3285"/>
      <c r="AH253" s="3285"/>
      <c r="AI253" s="3285"/>
      <c r="AJ253" s="3285"/>
      <c r="AK253" s="3285"/>
      <c r="AL253" s="3285"/>
      <c r="AM253" s="3285"/>
      <c r="AN253" s="3285"/>
      <c r="AO253" s="3285"/>
      <c r="AP253" s="3285"/>
      <c r="AQ253" s="3285"/>
      <c r="AR253" s="3285"/>
      <c r="AS253" s="3285"/>
      <c r="AT253" s="3295"/>
      <c r="AU253" s="3296"/>
      <c r="AV253" s="830">
        <f t="shared" si="127"/>
        <v>0</v>
      </c>
      <c r="AW253" s="830">
        <f t="shared" si="128"/>
        <v>0</v>
      </c>
      <c r="AX253" s="830">
        <f t="shared" si="129"/>
        <v>0</v>
      </c>
      <c r="AY253" s="3310">
        <f t="shared" si="130"/>
        <v>0</v>
      </c>
      <c r="AZ253" s="3264">
        <f t="shared" si="131"/>
        <v>0</v>
      </c>
      <c r="BA253" s="3264">
        <f t="shared" si="132"/>
        <v>0</v>
      </c>
      <c r="BB253" s="3264">
        <f t="shared" si="133"/>
        <v>0</v>
      </c>
      <c r="BC253" s="3264">
        <f t="shared" si="134"/>
        <v>0</v>
      </c>
      <c r="BD253" s="3264">
        <f t="shared" si="135"/>
        <v>0</v>
      </c>
      <c r="BE253" s="3264">
        <f t="shared" si="136"/>
        <v>0</v>
      </c>
      <c r="BF253" s="3264">
        <f t="shared" si="137"/>
        <v>0</v>
      </c>
      <c r="BG253" s="3264">
        <f t="shared" si="138"/>
        <v>0</v>
      </c>
      <c r="BH253" s="3264">
        <f t="shared" si="139"/>
        <v>0</v>
      </c>
      <c r="BI253" s="3264">
        <f t="shared" si="140"/>
        <v>0</v>
      </c>
      <c r="BJ253" s="3264">
        <f t="shared" si="141"/>
        <v>0</v>
      </c>
      <c r="BK253" s="3264">
        <f t="shared" si="142"/>
        <v>0</v>
      </c>
      <c r="BL253" s="3264">
        <f t="shared" si="143"/>
        <v>0</v>
      </c>
      <c r="BM253" s="3264">
        <f t="shared" si="144"/>
        <v>0</v>
      </c>
      <c r="BN253" s="3264">
        <f t="shared" si="145"/>
        <v>0</v>
      </c>
      <c r="BO253" s="3264">
        <f t="shared" si="146"/>
        <v>0</v>
      </c>
      <c r="BP253" s="3264">
        <f t="shared" si="147"/>
        <v>0</v>
      </c>
      <c r="BQ253" s="3264">
        <f t="shared" si="148"/>
        <v>0</v>
      </c>
      <c r="BR253" s="3264">
        <f t="shared" si="149"/>
        <v>0</v>
      </c>
      <c r="BS253" s="3264">
        <f t="shared" si="150"/>
        <v>0</v>
      </c>
      <c r="BT253" s="3317">
        <f t="shared" si="151"/>
        <v>0</v>
      </c>
    </row>
    <row r="254" spans="1:72">
      <c r="A254" s="3262"/>
      <c r="B254" s="3263"/>
      <c r="C254" s="3263"/>
      <c r="D254" s="3268"/>
      <c r="E254" s="3264">
        <f t="shared" si="123"/>
        <v>0</v>
      </c>
      <c r="F254" s="3265"/>
      <c r="G254" s="3266">
        <f t="shared" si="124"/>
        <v>0</v>
      </c>
      <c r="H254" s="3267">
        <f t="shared" si="125"/>
        <v>0</v>
      </c>
      <c r="I254" s="3275"/>
      <c r="J254" s="3275"/>
      <c r="K254" s="3275"/>
      <c r="L254" s="3275"/>
      <c r="M254" s="3275"/>
      <c r="N254" s="3275"/>
      <c r="O254" s="3275"/>
      <c r="P254" s="3275"/>
      <c r="Q254" s="3275"/>
      <c r="R254" s="3275"/>
      <c r="S254" s="3275"/>
      <c r="T254" s="3275"/>
      <c r="U254" s="3275"/>
      <c r="V254" s="3275"/>
      <c r="W254" s="3275"/>
      <c r="X254" s="3275"/>
      <c r="Y254" s="3275"/>
      <c r="Z254" s="3275"/>
      <c r="AA254" s="3275"/>
      <c r="AB254" s="3275"/>
      <c r="AC254" s="3264">
        <f t="shared" si="126"/>
        <v>0</v>
      </c>
      <c r="AD254" s="3285"/>
      <c r="AE254" s="3285"/>
      <c r="AF254" s="3285"/>
      <c r="AG254" s="3285"/>
      <c r="AH254" s="3285"/>
      <c r="AI254" s="3285"/>
      <c r="AJ254" s="3285"/>
      <c r="AK254" s="3285"/>
      <c r="AL254" s="3285"/>
      <c r="AM254" s="3285"/>
      <c r="AN254" s="3285"/>
      <c r="AO254" s="3285"/>
      <c r="AP254" s="3285"/>
      <c r="AQ254" s="3285"/>
      <c r="AR254" s="3285"/>
      <c r="AS254" s="3285"/>
      <c r="AT254" s="3295"/>
      <c r="AU254" s="3296"/>
      <c r="AV254" s="830">
        <f t="shared" si="127"/>
        <v>0</v>
      </c>
      <c r="AW254" s="830">
        <f t="shared" si="128"/>
        <v>0</v>
      </c>
      <c r="AX254" s="830">
        <f t="shared" si="129"/>
        <v>0</v>
      </c>
      <c r="AY254" s="3310">
        <f t="shared" si="130"/>
        <v>0</v>
      </c>
      <c r="AZ254" s="3264">
        <f t="shared" si="131"/>
        <v>0</v>
      </c>
      <c r="BA254" s="3264">
        <f t="shared" si="132"/>
        <v>0</v>
      </c>
      <c r="BB254" s="3264">
        <f t="shared" si="133"/>
        <v>0</v>
      </c>
      <c r="BC254" s="3264">
        <f t="shared" si="134"/>
        <v>0</v>
      </c>
      <c r="BD254" s="3264">
        <f t="shared" si="135"/>
        <v>0</v>
      </c>
      <c r="BE254" s="3264">
        <f t="shared" si="136"/>
        <v>0</v>
      </c>
      <c r="BF254" s="3264">
        <f t="shared" si="137"/>
        <v>0</v>
      </c>
      <c r="BG254" s="3264">
        <f t="shared" si="138"/>
        <v>0</v>
      </c>
      <c r="BH254" s="3264">
        <f t="shared" si="139"/>
        <v>0</v>
      </c>
      <c r="BI254" s="3264">
        <f t="shared" si="140"/>
        <v>0</v>
      </c>
      <c r="BJ254" s="3264">
        <f t="shared" si="141"/>
        <v>0</v>
      </c>
      <c r="BK254" s="3264">
        <f t="shared" si="142"/>
        <v>0</v>
      </c>
      <c r="BL254" s="3264">
        <f t="shared" si="143"/>
        <v>0</v>
      </c>
      <c r="BM254" s="3264">
        <f t="shared" si="144"/>
        <v>0</v>
      </c>
      <c r="BN254" s="3264">
        <f t="shared" si="145"/>
        <v>0</v>
      </c>
      <c r="BO254" s="3264">
        <f t="shared" si="146"/>
        <v>0</v>
      </c>
      <c r="BP254" s="3264">
        <f t="shared" si="147"/>
        <v>0</v>
      </c>
      <c r="BQ254" s="3264">
        <f t="shared" si="148"/>
        <v>0</v>
      </c>
      <c r="BR254" s="3264">
        <f t="shared" si="149"/>
        <v>0</v>
      </c>
      <c r="BS254" s="3264">
        <f t="shared" si="150"/>
        <v>0</v>
      </c>
      <c r="BT254" s="3317">
        <f t="shared" si="151"/>
        <v>0</v>
      </c>
    </row>
    <row r="255" spans="1:72">
      <c r="A255" s="3262"/>
      <c r="B255" s="3263"/>
      <c r="C255" s="3263"/>
      <c r="D255" s="3268"/>
      <c r="E255" s="3264">
        <f t="shared" si="123"/>
        <v>0</v>
      </c>
      <c r="F255" s="3265"/>
      <c r="G255" s="3266">
        <f t="shared" si="124"/>
        <v>0</v>
      </c>
      <c r="H255" s="3267">
        <f t="shared" si="125"/>
        <v>0</v>
      </c>
      <c r="I255" s="3275"/>
      <c r="J255" s="3275"/>
      <c r="K255" s="3275"/>
      <c r="L255" s="3275"/>
      <c r="M255" s="3275"/>
      <c r="N255" s="3275"/>
      <c r="O255" s="3275"/>
      <c r="P255" s="3275"/>
      <c r="Q255" s="3275"/>
      <c r="R255" s="3275"/>
      <c r="S255" s="3275"/>
      <c r="T255" s="3275"/>
      <c r="U255" s="3275"/>
      <c r="V255" s="3275"/>
      <c r="W255" s="3275"/>
      <c r="X255" s="3275"/>
      <c r="Y255" s="3275"/>
      <c r="Z255" s="3275"/>
      <c r="AA255" s="3275"/>
      <c r="AB255" s="3275"/>
      <c r="AC255" s="3264">
        <f t="shared" si="126"/>
        <v>0</v>
      </c>
      <c r="AD255" s="3285"/>
      <c r="AE255" s="3285"/>
      <c r="AF255" s="3285"/>
      <c r="AG255" s="3285"/>
      <c r="AH255" s="3285"/>
      <c r="AI255" s="3285"/>
      <c r="AJ255" s="3285"/>
      <c r="AK255" s="3285"/>
      <c r="AL255" s="3285"/>
      <c r="AM255" s="3285"/>
      <c r="AN255" s="3285"/>
      <c r="AO255" s="3285"/>
      <c r="AP255" s="3285"/>
      <c r="AQ255" s="3285"/>
      <c r="AR255" s="3285"/>
      <c r="AS255" s="3285"/>
      <c r="AT255" s="3295"/>
      <c r="AU255" s="3296"/>
      <c r="AV255" s="830">
        <f t="shared" si="127"/>
        <v>0</v>
      </c>
      <c r="AW255" s="830">
        <f t="shared" si="128"/>
        <v>0</v>
      </c>
      <c r="AX255" s="830">
        <f t="shared" si="129"/>
        <v>0</v>
      </c>
      <c r="AY255" s="3310">
        <f t="shared" si="130"/>
        <v>0</v>
      </c>
      <c r="AZ255" s="3264">
        <f t="shared" si="131"/>
        <v>0</v>
      </c>
      <c r="BA255" s="3264">
        <f t="shared" si="132"/>
        <v>0</v>
      </c>
      <c r="BB255" s="3264">
        <f t="shared" si="133"/>
        <v>0</v>
      </c>
      <c r="BC255" s="3264">
        <f t="shared" si="134"/>
        <v>0</v>
      </c>
      <c r="BD255" s="3264">
        <f t="shared" si="135"/>
        <v>0</v>
      </c>
      <c r="BE255" s="3264">
        <f t="shared" si="136"/>
        <v>0</v>
      </c>
      <c r="BF255" s="3264">
        <f t="shared" si="137"/>
        <v>0</v>
      </c>
      <c r="BG255" s="3264">
        <f t="shared" si="138"/>
        <v>0</v>
      </c>
      <c r="BH255" s="3264">
        <f t="shared" si="139"/>
        <v>0</v>
      </c>
      <c r="BI255" s="3264">
        <f t="shared" si="140"/>
        <v>0</v>
      </c>
      <c r="BJ255" s="3264">
        <f t="shared" si="141"/>
        <v>0</v>
      </c>
      <c r="BK255" s="3264">
        <f t="shared" si="142"/>
        <v>0</v>
      </c>
      <c r="BL255" s="3264">
        <f t="shared" si="143"/>
        <v>0</v>
      </c>
      <c r="BM255" s="3264">
        <f t="shared" si="144"/>
        <v>0</v>
      </c>
      <c r="BN255" s="3264">
        <f t="shared" si="145"/>
        <v>0</v>
      </c>
      <c r="BO255" s="3264">
        <f t="shared" si="146"/>
        <v>0</v>
      </c>
      <c r="BP255" s="3264">
        <f t="shared" si="147"/>
        <v>0</v>
      </c>
      <c r="BQ255" s="3264">
        <f t="shared" si="148"/>
        <v>0</v>
      </c>
      <c r="BR255" s="3264">
        <f t="shared" si="149"/>
        <v>0</v>
      </c>
      <c r="BS255" s="3264">
        <f t="shared" si="150"/>
        <v>0</v>
      </c>
      <c r="BT255" s="3317">
        <f t="shared" si="151"/>
        <v>0</v>
      </c>
    </row>
    <row r="256" spans="1:72">
      <c r="A256" s="3262"/>
      <c r="B256" s="3263"/>
      <c r="C256" s="3263"/>
      <c r="D256" s="3268"/>
      <c r="E256" s="3264">
        <f t="shared" si="123"/>
        <v>0</v>
      </c>
      <c r="F256" s="3265"/>
      <c r="G256" s="3266">
        <f t="shared" si="124"/>
        <v>0</v>
      </c>
      <c r="H256" s="3267">
        <f t="shared" si="125"/>
        <v>0</v>
      </c>
      <c r="I256" s="3275"/>
      <c r="J256" s="3275"/>
      <c r="K256" s="3275"/>
      <c r="L256" s="3275"/>
      <c r="M256" s="3275"/>
      <c r="N256" s="3275"/>
      <c r="O256" s="3275"/>
      <c r="P256" s="3275"/>
      <c r="Q256" s="3275"/>
      <c r="R256" s="3275"/>
      <c r="S256" s="3275"/>
      <c r="T256" s="3275"/>
      <c r="U256" s="3275"/>
      <c r="V256" s="3275"/>
      <c r="W256" s="3275"/>
      <c r="X256" s="3275"/>
      <c r="Y256" s="3275"/>
      <c r="Z256" s="3275"/>
      <c r="AA256" s="3275"/>
      <c r="AB256" s="3275"/>
      <c r="AC256" s="3264">
        <f t="shared" si="126"/>
        <v>0</v>
      </c>
      <c r="AD256" s="3285"/>
      <c r="AE256" s="3285"/>
      <c r="AF256" s="3285"/>
      <c r="AG256" s="3285"/>
      <c r="AH256" s="3285"/>
      <c r="AI256" s="3285"/>
      <c r="AJ256" s="3285"/>
      <c r="AK256" s="3285"/>
      <c r="AL256" s="3285"/>
      <c r="AM256" s="3285"/>
      <c r="AN256" s="3285"/>
      <c r="AO256" s="3285"/>
      <c r="AP256" s="3285"/>
      <c r="AQ256" s="3285"/>
      <c r="AR256" s="3285"/>
      <c r="AS256" s="3285"/>
      <c r="AT256" s="3295"/>
      <c r="AU256" s="3296"/>
      <c r="AV256" s="830">
        <f t="shared" si="127"/>
        <v>0</v>
      </c>
      <c r="AW256" s="830">
        <f t="shared" si="128"/>
        <v>0</v>
      </c>
      <c r="AX256" s="830">
        <f t="shared" si="129"/>
        <v>0</v>
      </c>
      <c r="AY256" s="3310">
        <f t="shared" si="130"/>
        <v>0</v>
      </c>
      <c r="AZ256" s="3264">
        <f t="shared" si="131"/>
        <v>0</v>
      </c>
      <c r="BA256" s="3264">
        <f t="shared" si="132"/>
        <v>0</v>
      </c>
      <c r="BB256" s="3264">
        <f t="shared" si="133"/>
        <v>0</v>
      </c>
      <c r="BC256" s="3264">
        <f t="shared" si="134"/>
        <v>0</v>
      </c>
      <c r="BD256" s="3264">
        <f t="shared" si="135"/>
        <v>0</v>
      </c>
      <c r="BE256" s="3264">
        <f t="shared" si="136"/>
        <v>0</v>
      </c>
      <c r="BF256" s="3264">
        <f t="shared" si="137"/>
        <v>0</v>
      </c>
      <c r="BG256" s="3264">
        <f t="shared" si="138"/>
        <v>0</v>
      </c>
      <c r="BH256" s="3264">
        <f t="shared" si="139"/>
        <v>0</v>
      </c>
      <c r="BI256" s="3264">
        <f t="shared" si="140"/>
        <v>0</v>
      </c>
      <c r="BJ256" s="3264">
        <f t="shared" si="141"/>
        <v>0</v>
      </c>
      <c r="BK256" s="3264">
        <f t="shared" si="142"/>
        <v>0</v>
      </c>
      <c r="BL256" s="3264">
        <f t="shared" si="143"/>
        <v>0</v>
      </c>
      <c r="BM256" s="3264">
        <f t="shared" si="144"/>
        <v>0</v>
      </c>
      <c r="BN256" s="3264">
        <f t="shared" si="145"/>
        <v>0</v>
      </c>
      <c r="BO256" s="3264">
        <f t="shared" si="146"/>
        <v>0</v>
      </c>
      <c r="BP256" s="3264">
        <f t="shared" si="147"/>
        <v>0</v>
      </c>
      <c r="BQ256" s="3264">
        <f t="shared" si="148"/>
        <v>0</v>
      </c>
      <c r="BR256" s="3264">
        <f t="shared" si="149"/>
        <v>0</v>
      </c>
      <c r="BS256" s="3264">
        <f t="shared" si="150"/>
        <v>0</v>
      </c>
      <c r="BT256" s="3317">
        <f t="shared" si="151"/>
        <v>0</v>
      </c>
    </row>
    <row r="257" spans="1:72">
      <c r="A257" s="3262"/>
      <c r="B257" s="3263"/>
      <c r="C257" s="3263"/>
      <c r="D257" s="3268"/>
      <c r="E257" s="3264">
        <f t="shared" si="123"/>
        <v>0</v>
      </c>
      <c r="F257" s="3265"/>
      <c r="G257" s="3266">
        <f t="shared" si="124"/>
        <v>0</v>
      </c>
      <c r="H257" s="3267">
        <f t="shared" si="125"/>
        <v>0</v>
      </c>
      <c r="I257" s="3275"/>
      <c r="J257" s="3275"/>
      <c r="K257" s="3275"/>
      <c r="L257" s="3275"/>
      <c r="M257" s="3275"/>
      <c r="N257" s="3275"/>
      <c r="O257" s="3275"/>
      <c r="P257" s="3275"/>
      <c r="Q257" s="3275"/>
      <c r="R257" s="3275"/>
      <c r="S257" s="3275"/>
      <c r="T257" s="3275"/>
      <c r="U257" s="3275"/>
      <c r="V257" s="3275"/>
      <c r="W257" s="3275"/>
      <c r="X257" s="3275"/>
      <c r="Y257" s="3275"/>
      <c r="Z257" s="3275"/>
      <c r="AA257" s="3275"/>
      <c r="AB257" s="3275"/>
      <c r="AC257" s="3264">
        <f t="shared" si="126"/>
        <v>0</v>
      </c>
      <c r="AD257" s="3285"/>
      <c r="AE257" s="3285"/>
      <c r="AF257" s="3285"/>
      <c r="AG257" s="3285"/>
      <c r="AH257" s="3285"/>
      <c r="AI257" s="3285"/>
      <c r="AJ257" s="3285"/>
      <c r="AK257" s="3285"/>
      <c r="AL257" s="3285"/>
      <c r="AM257" s="3285"/>
      <c r="AN257" s="3285"/>
      <c r="AO257" s="3285"/>
      <c r="AP257" s="3285"/>
      <c r="AQ257" s="3285"/>
      <c r="AR257" s="3285"/>
      <c r="AS257" s="3285"/>
      <c r="AT257" s="3295"/>
      <c r="AU257" s="3296"/>
      <c r="AV257" s="830">
        <f t="shared" si="127"/>
        <v>0</v>
      </c>
      <c r="AW257" s="830">
        <f t="shared" si="128"/>
        <v>0</v>
      </c>
      <c r="AX257" s="830">
        <f t="shared" si="129"/>
        <v>0</v>
      </c>
      <c r="AY257" s="3310">
        <f t="shared" si="130"/>
        <v>0</v>
      </c>
      <c r="AZ257" s="3264">
        <f t="shared" si="131"/>
        <v>0</v>
      </c>
      <c r="BA257" s="3264">
        <f t="shared" si="132"/>
        <v>0</v>
      </c>
      <c r="BB257" s="3264">
        <f t="shared" si="133"/>
        <v>0</v>
      </c>
      <c r="BC257" s="3264">
        <f t="shared" si="134"/>
        <v>0</v>
      </c>
      <c r="BD257" s="3264">
        <f t="shared" si="135"/>
        <v>0</v>
      </c>
      <c r="BE257" s="3264">
        <f t="shared" si="136"/>
        <v>0</v>
      </c>
      <c r="BF257" s="3264">
        <f t="shared" si="137"/>
        <v>0</v>
      </c>
      <c r="BG257" s="3264">
        <f t="shared" si="138"/>
        <v>0</v>
      </c>
      <c r="BH257" s="3264">
        <f t="shared" si="139"/>
        <v>0</v>
      </c>
      <c r="BI257" s="3264">
        <f t="shared" si="140"/>
        <v>0</v>
      </c>
      <c r="BJ257" s="3264">
        <f t="shared" si="141"/>
        <v>0</v>
      </c>
      <c r="BK257" s="3264">
        <f t="shared" si="142"/>
        <v>0</v>
      </c>
      <c r="BL257" s="3264">
        <f t="shared" si="143"/>
        <v>0</v>
      </c>
      <c r="BM257" s="3264">
        <f t="shared" si="144"/>
        <v>0</v>
      </c>
      <c r="BN257" s="3264">
        <f t="shared" si="145"/>
        <v>0</v>
      </c>
      <c r="BO257" s="3264">
        <f t="shared" si="146"/>
        <v>0</v>
      </c>
      <c r="BP257" s="3264">
        <f t="shared" si="147"/>
        <v>0</v>
      </c>
      <c r="BQ257" s="3264">
        <f t="shared" si="148"/>
        <v>0</v>
      </c>
      <c r="BR257" s="3264">
        <f t="shared" si="149"/>
        <v>0</v>
      </c>
      <c r="BS257" s="3264">
        <f t="shared" si="150"/>
        <v>0</v>
      </c>
      <c r="BT257" s="3317">
        <f t="shared" si="151"/>
        <v>0</v>
      </c>
    </row>
    <row r="258" spans="1:72">
      <c r="A258" s="3262"/>
      <c r="B258" s="3263"/>
      <c r="C258" s="3263"/>
      <c r="D258" s="3268"/>
      <c r="E258" s="3264">
        <f t="shared" si="123"/>
        <v>0</v>
      </c>
      <c r="F258" s="3265"/>
      <c r="G258" s="3266">
        <f t="shared" si="124"/>
        <v>0</v>
      </c>
      <c r="H258" s="3267">
        <f t="shared" si="125"/>
        <v>0</v>
      </c>
      <c r="I258" s="3275"/>
      <c r="J258" s="3275"/>
      <c r="K258" s="3275"/>
      <c r="L258" s="3275"/>
      <c r="M258" s="3275"/>
      <c r="N258" s="3275"/>
      <c r="O258" s="3275"/>
      <c r="P258" s="3275"/>
      <c r="Q258" s="3275"/>
      <c r="R258" s="3275"/>
      <c r="S258" s="3275"/>
      <c r="T258" s="3275"/>
      <c r="U258" s="3275"/>
      <c r="V258" s="3275"/>
      <c r="W258" s="3275"/>
      <c r="X258" s="3275"/>
      <c r="Y258" s="3275"/>
      <c r="Z258" s="3275"/>
      <c r="AA258" s="3275"/>
      <c r="AB258" s="3275"/>
      <c r="AC258" s="3264">
        <f t="shared" si="126"/>
        <v>0</v>
      </c>
      <c r="AD258" s="3285"/>
      <c r="AE258" s="3285"/>
      <c r="AF258" s="3285"/>
      <c r="AG258" s="3285"/>
      <c r="AH258" s="3285"/>
      <c r="AI258" s="3285"/>
      <c r="AJ258" s="3285"/>
      <c r="AK258" s="3285"/>
      <c r="AL258" s="3285"/>
      <c r="AM258" s="3285"/>
      <c r="AN258" s="3285"/>
      <c r="AO258" s="3285"/>
      <c r="AP258" s="3285"/>
      <c r="AQ258" s="3285"/>
      <c r="AR258" s="3285"/>
      <c r="AS258" s="3285"/>
      <c r="AT258" s="3295"/>
      <c r="AU258" s="3296"/>
      <c r="AV258" s="830">
        <f t="shared" si="127"/>
        <v>0</v>
      </c>
      <c r="AW258" s="830">
        <f t="shared" si="128"/>
        <v>0</v>
      </c>
      <c r="AX258" s="830">
        <f t="shared" si="129"/>
        <v>0</v>
      </c>
      <c r="AY258" s="3310">
        <f t="shared" si="130"/>
        <v>0</v>
      </c>
      <c r="AZ258" s="3264">
        <f t="shared" si="131"/>
        <v>0</v>
      </c>
      <c r="BA258" s="3264">
        <f t="shared" si="132"/>
        <v>0</v>
      </c>
      <c r="BB258" s="3264">
        <f t="shared" si="133"/>
        <v>0</v>
      </c>
      <c r="BC258" s="3264">
        <f t="shared" si="134"/>
        <v>0</v>
      </c>
      <c r="BD258" s="3264">
        <f t="shared" si="135"/>
        <v>0</v>
      </c>
      <c r="BE258" s="3264">
        <f t="shared" si="136"/>
        <v>0</v>
      </c>
      <c r="BF258" s="3264">
        <f t="shared" si="137"/>
        <v>0</v>
      </c>
      <c r="BG258" s="3264">
        <f t="shared" si="138"/>
        <v>0</v>
      </c>
      <c r="BH258" s="3264">
        <f t="shared" si="139"/>
        <v>0</v>
      </c>
      <c r="BI258" s="3264">
        <f t="shared" si="140"/>
        <v>0</v>
      </c>
      <c r="BJ258" s="3264">
        <f t="shared" si="141"/>
        <v>0</v>
      </c>
      <c r="BK258" s="3264">
        <f t="shared" si="142"/>
        <v>0</v>
      </c>
      <c r="BL258" s="3264">
        <f t="shared" si="143"/>
        <v>0</v>
      </c>
      <c r="BM258" s="3264">
        <f t="shared" si="144"/>
        <v>0</v>
      </c>
      <c r="BN258" s="3264">
        <f t="shared" si="145"/>
        <v>0</v>
      </c>
      <c r="BO258" s="3264">
        <f t="shared" si="146"/>
        <v>0</v>
      </c>
      <c r="BP258" s="3264">
        <f t="shared" si="147"/>
        <v>0</v>
      </c>
      <c r="BQ258" s="3264">
        <f t="shared" si="148"/>
        <v>0</v>
      </c>
      <c r="BR258" s="3264">
        <f t="shared" si="149"/>
        <v>0</v>
      </c>
      <c r="BS258" s="3264">
        <f t="shared" si="150"/>
        <v>0</v>
      </c>
      <c r="BT258" s="3317">
        <f t="shared" si="151"/>
        <v>0</v>
      </c>
    </row>
    <row r="259" spans="1:72">
      <c r="A259" s="3262"/>
      <c r="B259" s="3263"/>
      <c r="C259" s="3263"/>
      <c r="D259" s="3268"/>
      <c r="E259" s="3264">
        <f t="shared" si="123"/>
        <v>0</v>
      </c>
      <c r="F259" s="3265"/>
      <c r="G259" s="3266">
        <f t="shared" si="124"/>
        <v>0</v>
      </c>
      <c r="H259" s="3267">
        <f t="shared" si="125"/>
        <v>0</v>
      </c>
      <c r="I259" s="3275"/>
      <c r="J259" s="3275"/>
      <c r="K259" s="3275"/>
      <c r="L259" s="3275"/>
      <c r="M259" s="3275"/>
      <c r="N259" s="3275"/>
      <c r="O259" s="3275"/>
      <c r="P259" s="3275"/>
      <c r="Q259" s="3275"/>
      <c r="R259" s="3275"/>
      <c r="S259" s="3275"/>
      <c r="T259" s="3275"/>
      <c r="U259" s="3275"/>
      <c r="V259" s="3275"/>
      <c r="W259" s="3275"/>
      <c r="X259" s="3275"/>
      <c r="Y259" s="3275"/>
      <c r="Z259" s="3275"/>
      <c r="AA259" s="3275"/>
      <c r="AB259" s="3275"/>
      <c r="AC259" s="3264">
        <f t="shared" si="126"/>
        <v>0</v>
      </c>
      <c r="AD259" s="3285"/>
      <c r="AE259" s="3285"/>
      <c r="AF259" s="3285"/>
      <c r="AG259" s="3285"/>
      <c r="AH259" s="3285"/>
      <c r="AI259" s="3285"/>
      <c r="AJ259" s="3285"/>
      <c r="AK259" s="3285"/>
      <c r="AL259" s="3285"/>
      <c r="AM259" s="3285"/>
      <c r="AN259" s="3285"/>
      <c r="AO259" s="3285"/>
      <c r="AP259" s="3285"/>
      <c r="AQ259" s="3285"/>
      <c r="AR259" s="3285"/>
      <c r="AS259" s="3285"/>
      <c r="AT259" s="3295"/>
      <c r="AU259" s="3296"/>
      <c r="AV259" s="830">
        <f t="shared" si="127"/>
        <v>0</v>
      </c>
      <c r="AW259" s="830">
        <f t="shared" si="128"/>
        <v>0</v>
      </c>
      <c r="AX259" s="830">
        <f t="shared" si="129"/>
        <v>0</v>
      </c>
      <c r="AY259" s="3310">
        <f t="shared" si="130"/>
        <v>0</v>
      </c>
      <c r="AZ259" s="3264">
        <f t="shared" si="131"/>
        <v>0</v>
      </c>
      <c r="BA259" s="3264">
        <f t="shared" si="132"/>
        <v>0</v>
      </c>
      <c r="BB259" s="3264">
        <f t="shared" si="133"/>
        <v>0</v>
      </c>
      <c r="BC259" s="3264">
        <f t="shared" si="134"/>
        <v>0</v>
      </c>
      <c r="BD259" s="3264">
        <f t="shared" si="135"/>
        <v>0</v>
      </c>
      <c r="BE259" s="3264">
        <f t="shared" si="136"/>
        <v>0</v>
      </c>
      <c r="BF259" s="3264">
        <f t="shared" si="137"/>
        <v>0</v>
      </c>
      <c r="BG259" s="3264">
        <f t="shared" si="138"/>
        <v>0</v>
      </c>
      <c r="BH259" s="3264">
        <f t="shared" si="139"/>
        <v>0</v>
      </c>
      <c r="BI259" s="3264">
        <f t="shared" si="140"/>
        <v>0</v>
      </c>
      <c r="BJ259" s="3264">
        <f t="shared" si="141"/>
        <v>0</v>
      </c>
      <c r="BK259" s="3264">
        <f t="shared" si="142"/>
        <v>0</v>
      </c>
      <c r="BL259" s="3264">
        <f t="shared" si="143"/>
        <v>0</v>
      </c>
      <c r="BM259" s="3264">
        <f t="shared" si="144"/>
        <v>0</v>
      </c>
      <c r="BN259" s="3264">
        <f t="shared" si="145"/>
        <v>0</v>
      </c>
      <c r="BO259" s="3264">
        <f t="shared" si="146"/>
        <v>0</v>
      </c>
      <c r="BP259" s="3264">
        <f t="shared" si="147"/>
        <v>0</v>
      </c>
      <c r="BQ259" s="3264">
        <f t="shared" si="148"/>
        <v>0</v>
      </c>
      <c r="BR259" s="3264">
        <f t="shared" si="149"/>
        <v>0</v>
      </c>
      <c r="BS259" s="3264">
        <f t="shared" si="150"/>
        <v>0</v>
      </c>
      <c r="BT259" s="3317">
        <f t="shared" si="151"/>
        <v>0</v>
      </c>
    </row>
    <row r="260" spans="1:72">
      <c r="A260" s="3262"/>
      <c r="B260" s="3263"/>
      <c r="C260" s="3263"/>
      <c r="D260" s="3268"/>
      <c r="E260" s="3264">
        <f t="shared" si="123"/>
        <v>0</v>
      </c>
      <c r="F260" s="3265"/>
      <c r="G260" s="3266">
        <f t="shared" si="124"/>
        <v>0</v>
      </c>
      <c r="H260" s="3267">
        <f t="shared" si="125"/>
        <v>0</v>
      </c>
      <c r="I260" s="3275"/>
      <c r="J260" s="3275"/>
      <c r="K260" s="3275"/>
      <c r="L260" s="3275"/>
      <c r="M260" s="3275"/>
      <c r="N260" s="3275"/>
      <c r="O260" s="3275"/>
      <c r="P260" s="3275"/>
      <c r="Q260" s="3275"/>
      <c r="R260" s="3275"/>
      <c r="S260" s="3275"/>
      <c r="T260" s="3275"/>
      <c r="U260" s="3275"/>
      <c r="V260" s="3275"/>
      <c r="W260" s="3275"/>
      <c r="X260" s="3275"/>
      <c r="Y260" s="3275"/>
      <c r="Z260" s="3275"/>
      <c r="AA260" s="3275"/>
      <c r="AB260" s="3275"/>
      <c r="AC260" s="3264">
        <f t="shared" si="126"/>
        <v>0</v>
      </c>
      <c r="AD260" s="3285"/>
      <c r="AE260" s="3285"/>
      <c r="AF260" s="3285"/>
      <c r="AG260" s="3285"/>
      <c r="AH260" s="3285"/>
      <c r="AI260" s="3285"/>
      <c r="AJ260" s="3285"/>
      <c r="AK260" s="3285"/>
      <c r="AL260" s="3285"/>
      <c r="AM260" s="3285"/>
      <c r="AN260" s="3285"/>
      <c r="AO260" s="3285"/>
      <c r="AP260" s="3285"/>
      <c r="AQ260" s="3285"/>
      <c r="AR260" s="3285"/>
      <c r="AS260" s="3285"/>
      <c r="AT260" s="3295"/>
      <c r="AU260" s="3296"/>
      <c r="AV260" s="830">
        <f t="shared" si="127"/>
        <v>0</v>
      </c>
      <c r="AW260" s="830">
        <f t="shared" si="128"/>
        <v>0</v>
      </c>
      <c r="AX260" s="830">
        <f t="shared" si="129"/>
        <v>0</v>
      </c>
      <c r="AY260" s="3310">
        <f t="shared" si="130"/>
        <v>0</v>
      </c>
      <c r="AZ260" s="3264">
        <f t="shared" si="131"/>
        <v>0</v>
      </c>
      <c r="BA260" s="3264">
        <f t="shared" si="132"/>
        <v>0</v>
      </c>
      <c r="BB260" s="3264">
        <f t="shared" si="133"/>
        <v>0</v>
      </c>
      <c r="BC260" s="3264">
        <f t="shared" si="134"/>
        <v>0</v>
      </c>
      <c r="BD260" s="3264">
        <f t="shared" si="135"/>
        <v>0</v>
      </c>
      <c r="BE260" s="3264">
        <f t="shared" si="136"/>
        <v>0</v>
      </c>
      <c r="BF260" s="3264">
        <f t="shared" si="137"/>
        <v>0</v>
      </c>
      <c r="BG260" s="3264">
        <f t="shared" si="138"/>
        <v>0</v>
      </c>
      <c r="BH260" s="3264">
        <f t="shared" si="139"/>
        <v>0</v>
      </c>
      <c r="BI260" s="3264">
        <f t="shared" si="140"/>
        <v>0</v>
      </c>
      <c r="BJ260" s="3264">
        <f t="shared" si="141"/>
        <v>0</v>
      </c>
      <c r="BK260" s="3264">
        <f t="shared" si="142"/>
        <v>0</v>
      </c>
      <c r="BL260" s="3264">
        <f t="shared" si="143"/>
        <v>0</v>
      </c>
      <c r="BM260" s="3264">
        <f t="shared" si="144"/>
        <v>0</v>
      </c>
      <c r="BN260" s="3264">
        <f t="shared" si="145"/>
        <v>0</v>
      </c>
      <c r="BO260" s="3264">
        <f t="shared" si="146"/>
        <v>0</v>
      </c>
      <c r="BP260" s="3264">
        <f t="shared" si="147"/>
        <v>0</v>
      </c>
      <c r="BQ260" s="3264">
        <f t="shared" si="148"/>
        <v>0</v>
      </c>
      <c r="BR260" s="3264">
        <f t="shared" si="149"/>
        <v>0</v>
      </c>
      <c r="BS260" s="3264">
        <f t="shared" si="150"/>
        <v>0</v>
      </c>
      <c r="BT260" s="3317">
        <f t="shared" si="151"/>
        <v>0</v>
      </c>
    </row>
    <row r="261" spans="1:72">
      <c r="A261" s="3262"/>
      <c r="B261" s="3263"/>
      <c r="C261" s="3263"/>
      <c r="D261" s="3268"/>
      <c r="E261" s="3264">
        <f t="shared" si="123"/>
        <v>0</v>
      </c>
      <c r="F261" s="3265"/>
      <c r="G261" s="3266">
        <f t="shared" si="124"/>
        <v>0</v>
      </c>
      <c r="H261" s="3267">
        <f t="shared" si="125"/>
        <v>0</v>
      </c>
      <c r="I261" s="3275"/>
      <c r="J261" s="3275"/>
      <c r="K261" s="3275"/>
      <c r="L261" s="3275"/>
      <c r="M261" s="3275"/>
      <c r="N261" s="3275"/>
      <c r="O261" s="3275"/>
      <c r="P261" s="3275"/>
      <c r="Q261" s="3275"/>
      <c r="R261" s="3275"/>
      <c r="S261" s="3275"/>
      <c r="T261" s="3275"/>
      <c r="U261" s="3275"/>
      <c r="V261" s="3275"/>
      <c r="W261" s="3275"/>
      <c r="X261" s="3275"/>
      <c r="Y261" s="3275"/>
      <c r="Z261" s="3275"/>
      <c r="AA261" s="3275"/>
      <c r="AB261" s="3275"/>
      <c r="AC261" s="3264">
        <f t="shared" si="126"/>
        <v>0</v>
      </c>
      <c r="AD261" s="3285"/>
      <c r="AE261" s="3285"/>
      <c r="AF261" s="3285"/>
      <c r="AG261" s="3285"/>
      <c r="AH261" s="3285"/>
      <c r="AI261" s="3285"/>
      <c r="AJ261" s="3285"/>
      <c r="AK261" s="3285"/>
      <c r="AL261" s="3285"/>
      <c r="AM261" s="3285"/>
      <c r="AN261" s="3285"/>
      <c r="AO261" s="3285"/>
      <c r="AP261" s="3285"/>
      <c r="AQ261" s="3285"/>
      <c r="AR261" s="3285"/>
      <c r="AS261" s="3285"/>
      <c r="AT261" s="3295"/>
      <c r="AU261" s="3296"/>
      <c r="AV261" s="830">
        <f t="shared" si="127"/>
        <v>0</v>
      </c>
      <c r="AW261" s="830">
        <f t="shared" si="128"/>
        <v>0</v>
      </c>
      <c r="AX261" s="830">
        <f t="shared" si="129"/>
        <v>0</v>
      </c>
      <c r="AY261" s="3310">
        <f t="shared" si="130"/>
        <v>0</v>
      </c>
      <c r="AZ261" s="3264">
        <f t="shared" si="131"/>
        <v>0</v>
      </c>
      <c r="BA261" s="3264">
        <f t="shared" si="132"/>
        <v>0</v>
      </c>
      <c r="BB261" s="3264">
        <f t="shared" si="133"/>
        <v>0</v>
      </c>
      <c r="BC261" s="3264">
        <f t="shared" si="134"/>
        <v>0</v>
      </c>
      <c r="BD261" s="3264">
        <f t="shared" si="135"/>
        <v>0</v>
      </c>
      <c r="BE261" s="3264">
        <f t="shared" si="136"/>
        <v>0</v>
      </c>
      <c r="BF261" s="3264">
        <f t="shared" si="137"/>
        <v>0</v>
      </c>
      <c r="BG261" s="3264">
        <f t="shared" si="138"/>
        <v>0</v>
      </c>
      <c r="BH261" s="3264">
        <f t="shared" si="139"/>
        <v>0</v>
      </c>
      <c r="BI261" s="3264">
        <f t="shared" si="140"/>
        <v>0</v>
      </c>
      <c r="BJ261" s="3264">
        <f t="shared" si="141"/>
        <v>0</v>
      </c>
      <c r="BK261" s="3264">
        <f t="shared" si="142"/>
        <v>0</v>
      </c>
      <c r="BL261" s="3264">
        <f t="shared" si="143"/>
        <v>0</v>
      </c>
      <c r="BM261" s="3264">
        <f t="shared" si="144"/>
        <v>0</v>
      </c>
      <c r="BN261" s="3264">
        <f t="shared" si="145"/>
        <v>0</v>
      </c>
      <c r="BO261" s="3264">
        <f t="shared" si="146"/>
        <v>0</v>
      </c>
      <c r="BP261" s="3264">
        <f t="shared" si="147"/>
        <v>0</v>
      </c>
      <c r="BQ261" s="3264">
        <f t="shared" si="148"/>
        <v>0</v>
      </c>
      <c r="BR261" s="3264">
        <f t="shared" si="149"/>
        <v>0</v>
      </c>
      <c r="BS261" s="3264">
        <f t="shared" si="150"/>
        <v>0</v>
      </c>
      <c r="BT261" s="3317">
        <f t="shared" si="151"/>
        <v>0</v>
      </c>
    </row>
    <row r="262" spans="1:72">
      <c r="A262" s="3262"/>
      <c r="B262" s="3263"/>
      <c r="C262" s="3263"/>
      <c r="D262" s="3268"/>
      <c r="E262" s="3264">
        <f t="shared" si="123"/>
        <v>0</v>
      </c>
      <c r="F262" s="3265"/>
      <c r="G262" s="3266">
        <f t="shared" si="124"/>
        <v>0</v>
      </c>
      <c r="H262" s="3267">
        <f t="shared" si="125"/>
        <v>0</v>
      </c>
      <c r="I262" s="3275"/>
      <c r="J262" s="3275"/>
      <c r="K262" s="3275"/>
      <c r="L262" s="3275"/>
      <c r="M262" s="3275"/>
      <c r="N262" s="3275"/>
      <c r="O262" s="3275"/>
      <c r="P262" s="3275"/>
      <c r="Q262" s="3275"/>
      <c r="R262" s="3275"/>
      <c r="S262" s="3275"/>
      <c r="T262" s="3275"/>
      <c r="U262" s="3275"/>
      <c r="V262" s="3275"/>
      <c r="W262" s="3275"/>
      <c r="X262" s="3275"/>
      <c r="Y262" s="3275"/>
      <c r="Z262" s="3275"/>
      <c r="AA262" s="3275"/>
      <c r="AB262" s="3275"/>
      <c r="AC262" s="3264">
        <f t="shared" si="126"/>
        <v>0</v>
      </c>
      <c r="AD262" s="3285"/>
      <c r="AE262" s="3285"/>
      <c r="AF262" s="3285"/>
      <c r="AG262" s="3285"/>
      <c r="AH262" s="3285"/>
      <c r="AI262" s="3285"/>
      <c r="AJ262" s="3285"/>
      <c r="AK262" s="3285"/>
      <c r="AL262" s="3285"/>
      <c r="AM262" s="3285"/>
      <c r="AN262" s="3285"/>
      <c r="AO262" s="3285"/>
      <c r="AP262" s="3285"/>
      <c r="AQ262" s="3285"/>
      <c r="AR262" s="3285"/>
      <c r="AS262" s="3285"/>
      <c r="AT262" s="3295"/>
      <c r="AU262" s="3296"/>
      <c r="AV262" s="830">
        <f t="shared" si="127"/>
        <v>0</v>
      </c>
      <c r="AW262" s="830">
        <f t="shared" si="128"/>
        <v>0</v>
      </c>
      <c r="AX262" s="830">
        <f t="shared" si="129"/>
        <v>0</v>
      </c>
      <c r="AY262" s="3310">
        <f t="shared" si="130"/>
        <v>0</v>
      </c>
      <c r="AZ262" s="3264">
        <f t="shared" si="131"/>
        <v>0</v>
      </c>
      <c r="BA262" s="3264">
        <f t="shared" si="132"/>
        <v>0</v>
      </c>
      <c r="BB262" s="3264">
        <f t="shared" si="133"/>
        <v>0</v>
      </c>
      <c r="BC262" s="3264">
        <f t="shared" si="134"/>
        <v>0</v>
      </c>
      <c r="BD262" s="3264">
        <f t="shared" si="135"/>
        <v>0</v>
      </c>
      <c r="BE262" s="3264">
        <f t="shared" si="136"/>
        <v>0</v>
      </c>
      <c r="BF262" s="3264">
        <f t="shared" si="137"/>
        <v>0</v>
      </c>
      <c r="BG262" s="3264">
        <f t="shared" si="138"/>
        <v>0</v>
      </c>
      <c r="BH262" s="3264">
        <f t="shared" si="139"/>
        <v>0</v>
      </c>
      <c r="BI262" s="3264">
        <f t="shared" si="140"/>
        <v>0</v>
      </c>
      <c r="BJ262" s="3264">
        <f t="shared" si="141"/>
        <v>0</v>
      </c>
      <c r="BK262" s="3264">
        <f t="shared" si="142"/>
        <v>0</v>
      </c>
      <c r="BL262" s="3264">
        <f t="shared" si="143"/>
        <v>0</v>
      </c>
      <c r="BM262" s="3264">
        <f t="shared" si="144"/>
        <v>0</v>
      </c>
      <c r="BN262" s="3264">
        <f t="shared" si="145"/>
        <v>0</v>
      </c>
      <c r="BO262" s="3264">
        <f t="shared" si="146"/>
        <v>0</v>
      </c>
      <c r="BP262" s="3264">
        <f t="shared" si="147"/>
        <v>0</v>
      </c>
      <c r="BQ262" s="3264">
        <f t="shared" si="148"/>
        <v>0</v>
      </c>
      <c r="BR262" s="3264">
        <f t="shared" si="149"/>
        <v>0</v>
      </c>
      <c r="BS262" s="3264">
        <f t="shared" si="150"/>
        <v>0</v>
      </c>
      <c r="BT262" s="3317">
        <f t="shared" si="151"/>
        <v>0</v>
      </c>
    </row>
    <row r="263" spans="1:72">
      <c r="A263" s="3262"/>
      <c r="B263" s="3263"/>
      <c r="C263" s="3263"/>
      <c r="D263" s="3268"/>
      <c r="E263" s="3264">
        <f t="shared" si="123"/>
        <v>0</v>
      </c>
      <c r="F263" s="3265"/>
      <c r="G263" s="3266">
        <f t="shared" si="124"/>
        <v>0</v>
      </c>
      <c r="H263" s="3267">
        <f t="shared" si="125"/>
        <v>0</v>
      </c>
      <c r="I263" s="3275"/>
      <c r="J263" s="3275"/>
      <c r="K263" s="3275"/>
      <c r="L263" s="3275"/>
      <c r="M263" s="3275"/>
      <c r="N263" s="3275"/>
      <c r="O263" s="3275"/>
      <c r="P263" s="3275"/>
      <c r="Q263" s="3275"/>
      <c r="R263" s="3275"/>
      <c r="S263" s="3275"/>
      <c r="T263" s="3275"/>
      <c r="U263" s="3275"/>
      <c r="V263" s="3275"/>
      <c r="W263" s="3275"/>
      <c r="X263" s="3275"/>
      <c r="Y263" s="3275"/>
      <c r="Z263" s="3275"/>
      <c r="AA263" s="3275"/>
      <c r="AB263" s="3275"/>
      <c r="AC263" s="3264">
        <f t="shared" si="126"/>
        <v>0</v>
      </c>
      <c r="AD263" s="3285"/>
      <c r="AE263" s="3285"/>
      <c r="AF263" s="3285"/>
      <c r="AG263" s="3285"/>
      <c r="AH263" s="3285"/>
      <c r="AI263" s="3285"/>
      <c r="AJ263" s="3285"/>
      <c r="AK263" s="3285"/>
      <c r="AL263" s="3285"/>
      <c r="AM263" s="3285"/>
      <c r="AN263" s="3285"/>
      <c r="AO263" s="3285"/>
      <c r="AP263" s="3285"/>
      <c r="AQ263" s="3285"/>
      <c r="AR263" s="3285"/>
      <c r="AS263" s="3285"/>
      <c r="AT263" s="3295"/>
      <c r="AU263" s="3296"/>
      <c r="AV263" s="830">
        <f t="shared" si="127"/>
        <v>0</v>
      </c>
      <c r="AW263" s="830">
        <f t="shared" si="128"/>
        <v>0</v>
      </c>
      <c r="AX263" s="830">
        <f t="shared" si="129"/>
        <v>0</v>
      </c>
      <c r="AY263" s="3310">
        <f t="shared" si="130"/>
        <v>0</v>
      </c>
      <c r="AZ263" s="3264">
        <f t="shared" si="131"/>
        <v>0</v>
      </c>
      <c r="BA263" s="3264">
        <f t="shared" si="132"/>
        <v>0</v>
      </c>
      <c r="BB263" s="3264">
        <f t="shared" si="133"/>
        <v>0</v>
      </c>
      <c r="BC263" s="3264">
        <f t="shared" si="134"/>
        <v>0</v>
      </c>
      <c r="BD263" s="3264">
        <f t="shared" si="135"/>
        <v>0</v>
      </c>
      <c r="BE263" s="3264">
        <f t="shared" si="136"/>
        <v>0</v>
      </c>
      <c r="BF263" s="3264">
        <f t="shared" si="137"/>
        <v>0</v>
      </c>
      <c r="BG263" s="3264">
        <f t="shared" si="138"/>
        <v>0</v>
      </c>
      <c r="BH263" s="3264">
        <f t="shared" si="139"/>
        <v>0</v>
      </c>
      <c r="BI263" s="3264">
        <f t="shared" si="140"/>
        <v>0</v>
      </c>
      <c r="BJ263" s="3264">
        <f t="shared" si="141"/>
        <v>0</v>
      </c>
      <c r="BK263" s="3264">
        <f t="shared" si="142"/>
        <v>0</v>
      </c>
      <c r="BL263" s="3264">
        <f t="shared" si="143"/>
        <v>0</v>
      </c>
      <c r="BM263" s="3264">
        <f t="shared" si="144"/>
        <v>0</v>
      </c>
      <c r="BN263" s="3264">
        <f t="shared" si="145"/>
        <v>0</v>
      </c>
      <c r="BO263" s="3264">
        <f t="shared" si="146"/>
        <v>0</v>
      </c>
      <c r="BP263" s="3264">
        <f t="shared" si="147"/>
        <v>0</v>
      </c>
      <c r="BQ263" s="3264">
        <f t="shared" si="148"/>
        <v>0</v>
      </c>
      <c r="BR263" s="3264">
        <f t="shared" si="149"/>
        <v>0</v>
      </c>
      <c r="BS263" s="3264">
        <f t="shared" si="150"/>
        <v>0</v>
      </c>
      <c r="BT263" s="3317">
        <f t="shared" si="151"/>
        <v>0</v>
      </c>
    </row>
    <row r="264" spans="1:72">
      <c r="A264" s="3262"/>
      <c r="B264" s="3263"/>
      <c r="C264" s="3263"/>
      <c r="D264" s="3268"/>
      <c r="E264" s="3264">
        <f t="shared" si="123"/>
        <v>0</v>
      </c>
      <c r="F264" s="3265"/>
      <c r="G264" s="3266">
        <f t="shared" si="124"/>
        <v>0</v>
      </c>
      <c r="H264" s="3267">
        <f t="shared" si="125"/>
        <v>0</v>
      </c>
      <c r="I264" s="3275"/>
      <c r="J264" s="3275"/>
      <c r="K264" s="3275"/>
      <c r="L264" s="3275"/>
      <c r="M264" s="3275"/>
      <c r="N264" s="3275"/>
      <c r="O264" s="3275"/>
      <c r="P264" s="3275"/>
      <c r="Q264" s="3275"/>
      <c r="R264" s="3275"/>
      <c r="S264" s="3275"/>
      <c r="T264" s="3275"/>
      <c r="U264" s="3275"/>
      <c r="V264" s="3275"/>
      <c r="W264" s="3275"/>
      <c r="X264" s="3275"/>
      <c r="Y264" s="3275"/>
      <c r="Z264" s="3275"/>
      <c r="AA264" s="3275"/>
      <c r="AB264" s="3275"/>
      <c r="AC264" s="3264">
        <f t="shared" si="126"/>
        <v>0</v>
      </c>
      <c r="AD264" s="3285"/>
      <c r="AE264" s="3285"/>
      <c r="AF264" s="3285"/>
      <c r="AG264" s="3285"/>
      <c r="AH264" s="3285"/>
      <c r="AI264" s="3285"/>
      <c r="AJ264" s="3285"/>
      <c r="AK264" s="3285"/>
      <c r="AL264" s="3285"/>
      <c r="AM264" s="3285"/>
      <c r="AN264" s="3285"/>
      <c r="AO264" s="3285"/>
      <c r="AP264" s="3285"/>
      <c r="AQ264" s="3285"/>
      <c r="AR264" s="3285"/>
      <c r="AS264" s="3285"/>
      <c r="AT264" s="3295"/>
      <c r="AU264" s="3296"/>
      <c r="AV264" s="830">
        <f t="shared" si="127"/>
        <v>0</v>
      </c>
      <c r="AW264" s="830">
        <f t="shared" si="128"/>
        <v>0</v>
      </c>
      <c r="AX264" s="830">
        <f t="shared" si="129"/>
        <v>0</v>
      </c>
      <c r="AY264" s="3310">
        <f t="shared" si="130"/>
        <v>0</v>
      </c>
      <c r="AZ264" s="3264">
        <f t="shared" si="131"/>
        <v>0</v>
      </c>
      <c r="BA264" s="3264">
        <f t="shared" si="132"/>
        <v>0</v>
      </c>
      <c r="BB264" s="3264">
        <f t="shared" si="133"/>
        <v>0</v>
      </c>
      <c r="BC264" s="3264">
        <f t="shared" si="134"/>
        <v>0</v>
      </c>
      <c r="BD264" s="3264">
        <f t="shared" si="135"/>
        <v>0</v>
      </c>
      <c r="BE264" s="3264">
        <f t="shared" si="136"/>
        <v>0</v>
      </c>
      <c r="BF264" s="3264">
        <f t="shared" si="137"/>
        <v>0</v>
      </c>
      <c r="BG264" s="3264">
        <f t="shared" si="138"/>
        <v>0</v>
      </c>
      <c r="BH264" s="3264">
        <f t="shared" si="139"/>
        <v>0</v>
      </c>
      <c r="BI264" s="3264">
        <f t="shared" si="140"/>
        <v>0</v>
      </c>
      <c r="BJ264" s="3264">
        <f t="shared" si="141"/>
        <v>0</v>
      </c>
      <c r="BK264" s="3264">
        <f t="shared" si="142"/>
        <v>0</v>
      </c>
      <c r="BL264" s="3264">
        <f t="shared" si="143"/>
        <v>0</v>
      </c>
      <c r="BM264" s="3264">
        <f t="shared" si="144"/>
        <v>0</v>
      </c>
      <c r="BN264" s="3264">
        <f t="shared" si="145"/>
        <v>0</v>
      </c>
      <c r="BO264" s="3264">
        <f t="shared" si="146"/>
        <v>0</v>
      </c>
      <c r="BP264" s="3264">
        <f t="shared" si="147"/>
        <v>0</v>
      </c>
      <c r="BQ264" s="3264">
        <f t="shared" si="148"/>
        <v>0</v>
      </c>
      <c r="BR264" s="3264">
        <f t="shared" si="149"/>
        <v>0</v>
      </c>
      <c r="BS264" s="3264">
        <f t="shared" si="150"/>
        <v>0</v>
      </c>
      <c r="BT264" s="3317">
        <f t="shared" si="151"/>
        <v>0</v>
      </c>
    </row>
    <row r="265" spans="1:72">
      <c r="A265" s="3262"/>
      <c r="B265" s="3263"/>
      <c r="C265" s="3263"/>
      <c r="D265" s="3268"/>
      <c r="E265" s="3264">
        <f t="shared" si="123"/>
        <v>0</v>
      </c>
      <c r="F265" s="3265"/>
      <c r="G265" s="3266">
        <f t="shared" si="124"/>
        <v>0</v>
      </c>
      <c r="H265" s="3267">
        <f t="shared" si="125"/>
        <v>0</v>
      </c>
      <c r="I265" s="3275"/>
      <c r="J265" s="3275"/>
      <c r="K265" s="3275"/>
      <c r="L265" s="3275"/>
      <c r="M265" s="3275"/>
      <c r="N265" s="3275"/>
      <c r="O265" s="3275"/>
      <c r="P265" s="3275"/>
      <c r="Q265" s="3275"/>
      <c r="R265" s="3275"/>
      <c r="S265" s="3275"/>
      <c r="T265" s="3275"/>
      <c r="U265" s="3275"/>
      <c r="V265" s="3275"/>
      <c r="W265" s="3275"/>
      <c r="X265" s="3275"/>
      <c r="Y265" s="3275"/>
      <c r="Z265" s="3275"/>
      <c r="AA265" s="3275"/>
      <c r="AB265" s="3275"/>
      <c r="AC265" s="3264">
        <f t="shared" si="126"/>
        <v>0</v>
      </c>
      <c r="AD265" s="3285"/>
      <c r="AE265" s="3285"/>
      <c r="AF265" s="3285"/>
      <c r="AG265" s="3285"/>
      <c r="AH265" s="3285"/>
      <c r="AI265" s="3285"/>
      <c r="AJ265" s="3285"/>
      <c r="AK265" s="3285"/>
      <c r="AL265" s="3285"/>
      <c r="AM265" s="3285"/>
      <c r="AN265" s="3285"/>
      <c r="AO265" s="3285"/>
      <c r="AP265" s="3285"/>
      <c r="AQ265" s="3285"/>
      <c r="AR265" s="3285"/>
      <c r="AS265" s="3285"/>
      <c r="AT265" s="3295"/>
      <c r="AU265" s="3296"/>
      <c r="AV265" s="830">
        <f t="shared" si="127"/>
        <v>0</v>
      </c>
      <c r="AW265" s="830">
        <f t="shared" si="128"/>
        <v>0</v>
      </c>
      <c r="AX265" s="830">
        <f t="shared" si="129"/>
        <v>0</v>
      </c>
      <c r="AY265" s="3310">
        <f t="shared" si="130"/>
        <v>0</v>
      </c>
      <c r="AZ265" s="3264">
        <f t="shared" si="131"/>
        <v>0</v>
      </c>
      <c r="BA265" s="3264">
        <f t="shared" si="132"/>
        <v>0</v>
      </c>
      <c r="BB265" s="3264">
        <f t="shared" si="133"/>
        <v>0</v>
      </c>
      <c r="BC265" s="3264">
        <f t="shared" si="134"/>
        <v>0</v>
      </c>
      <c r="BD265" s="3264">
        <f t="shared" si="135"/>
        <v>0</v>
      </c>
      <c r="BE265" s="3264">
        <f t="shared" si="136"/>
        <v>0</v>
      </c>
      <c r="BF265" s="3264">
        <f t="shared" si="137"/>
        <v>0</v>
      </c>
      <c r="BG265" s="3264">
        <f t="shared" si="138"/>
        <v>0</v>
      </c>
      <c r="BH265" s="3264">
        <f t="shared" si="139"/>
        <v>0</v>
      </c>
      <c r="BI265" s="3264">
        <f t="shared" si="140"/>
        <v>0</v>
      </c>
      <c r="BJ265" s="3264">
        <f t="shared" si="141"/>
        <v>0</v>
      </c>
      <c r="BK265" s="3264">
        <f t="shared" si="142"/>
        <v>0</v>
      </c>
      <c r="BL265" s="3264">
        <f t="shared" si="143"/>
        <v>0</v>
      </c>
      <c r="BM265" s="3264">
        <f t="shared" si="144"/>
        <v>0</v>
      </c>
      <c r="BN265" s="3264">
        <f t="shared" si="145"/>
        <v>0</v>
      </c>
      <c r="BO265" s="3264">
        <f t="shared" si="146"/>
        <v>0</v>
      </c>
      <c r="BP265" s="3264">
        <f t="shared" si="147"/>
        <v>0</v>
      </c>
      <c r="BQ265" s="3264">
        <f t="shared" si="148"/>
        <v>0</v>
      </c>
      <c r="BR265" s="3264">
        <f t="shared" si="149"/>
        <v>0</v>
      </c>
      <c r="BS265" s="3264">
        <f t="shared" si="150"/>
        <v>0</v>
      </c>
      <c r="BT265" s="3317">
        <f t="shared" si="151"/>
        <v>0</v>
      </c>
    </row>
    <row r="266" spans="1:72">
      <c r="A266" s="3262"/>
      <c r="B266" s="3263"/>
      <c r="C266" s="3263"/>
      <c r="D266" s="3268"/>
      <c r="E266" s="3264">
        <f t="shared" si="123"/>
        <v>0</v>
      </c>
      <c r="F266" s="3265"/>
      <c r="G266" s="3266">
        <f t="shared" si="124"/>
        <v>0</v>
      </c>
      <c r="H266" s="3267">
        <f t="shared" si="125"/>
        <v>0</v>
      </c>
      <c r="I266" s="3275"/>
      <c r="J266" s="3275"/>
      <c r="K266" s="3275"/>
      <c r="L266" s="3275"/>
      <c r="M266" s="3275"/>
      <c r="N266" s="3275"/>
      <c r="O266" s="3275"/>
      <c r="P266" s="3275"/>
      <c r="Q266" s="3275"/>
      <c r="R266" s="3275"/>
      <c r="S266" s="3275"/>
      <c r="T266" s="3275"/>
      <c r="U266" s="3275"/>
      <c r="V266" s="3275"/>
      <c r="W266" s="3275"/>
      <c r="X266" s="3275"/>
      <c r="Y266" s="3275"/>
      <c r="Z266" s="3275"/>
      <c r="AA266" s="3275"/>
      <c r="AB266" s="3275"/>
      <c r="AC266" s="3264">
        <f t="shared" si="126"/>
        <v>0</v>
      </c>
      <c r="AD266" s="3285"/>
      <c r="AE266" s="3285"/>
      <c r="AF266" s="3285"/>
      <c r="AG266" s="3285"/>
      <c r="AH266" s="3285"/>
      <c r="AI266" s="3285"/>
      <c r="AJ266" s="3285"/>
      <c r="AK266" s="3285"/>
      <c r="AL266" s="3285"/>
      <c r="AM266" s="3285"/>
      <c r="AN266" s="3285"/>
      <c r="AO266" s="3285"/>
      <c r="AP266" s="3285"/>
      <c r="AQ266" s="3285"/>
      <c r="AR266" s="3285"/>
      <c r="AS266" s="3285"/>
      <c r="AT266" s="3295"/>
      <c r="AU266" s="3296"/>
      <c r="AV266" s="830">
        <f t="shared" si="127"/>
        <v>0</v>
      </c>
      <c r="AW266" s="830">
        <f t="shared" si="128"/>
        <v>0</v>
      </c>
      <c r="AX266" s="830">
        <f t="shared" si="129"/>
        <v>0</v>
      </c>
      <c r="AY266" s="3310">
        <f t="shared" si="130"/>
        <v>0</v>
      </c>
      <c r="AZ266" s="3264">
        <f t="shared" si="131"/>
        <v>0</v>
      </c>
      <c r="BA266" s="3264">
        <f t="shared" si="132"/>
        <v>0</v>
      </c>
      <c r="BB266" s="3264">
        <f t="shared" si="133"/>
        <v>0</v>
      </c>
      <c r="BC266" s="3264">
        <f t="shared" si="134"/>
        <v>0</v>
      </c>
      <c r="BD266" s="3264">
        <f t="shared" si="135"/>
        <v>0</v>
      </c>
      <c r="BE266" s="3264">
        <f t="shared" si="136"/>
        <v>0</v>
      </c>
      <c r="BF266" s="3264">
        <f t="shared" si="137"/>
        <v>0</v>
      </c>
      <c r="BG266" s="3264">
        <f t="shared" si="138"/>
        <v>0</v>
      </c>
      <c r="BH266" s="3264">
        <f t="shared" si="139"/>
        <v>0</v>
      </c>
      <c r="BI266" s="3264">
        <f t="shared" si="140"/>
        <v>0</v>
      </c>
      <c r="BJ266" s="3264">
        <f t="shared" si="141"/>
        <v>0</v>
      </c>
      <c r="BK266" s="3264">
        <f t="shared" si="142"/>
        <v>0</v>
      </c>
      <c r="BL266" s="3264">
        <f t="shared" si="143"/>
        <v>0</v>
      </c>
      <c r="BM266" s="3264">
        <f t="shared" si="144"/>
        <v>0</v>
      </c>
      <c r="BN266" s="3264">
        <f t="shared" si="145"/>
        <v>0</v>
      </c>
      <c r="BO266" s="3264">
        <f t="shared" si="146"/>
        <v>0</v>
      </c>
      <c r="BP266" s="3264">
        <f t="shared" si="147"/>
        <v>0</v>
      </c>
      <c r="BQ266" s="3264">
        <f t="shared" si="148"/>
        <v>0</v>
      </c>
      <c r="BR266" s="3264">
        <f t="shared" si="149"/>
        <v>0</v>
      </c>
      <c r="BS266" s="3264">
        <f t="shared" si="150"/>
        <v>0</v>
      </c>
      <c r="BT266" s="3317">
        <f t="shared" si="151"/>
        <v>0</v>
      </c>
    </row>
    <row r="267" spans="1:72">
      <c r="A267" s="3262"/>
      <c r="B267" s="3263"/>
      <c r="C267" s="3263"/>
      <c r="D267" s="3268"/>
      <c r="E267" s="3264">
        <f t="shared" si="123"/>
        <v>0</v>
      </c>
      <c r="F267" s="3265"/>
      <c r="G267" s="3266">
        <f t="shared" si="124"/>
        <v>0</v>
      </c>
      <c r="H267" s="3267">
        <f t="shared" si="125"/>
        <v>0</v>
      </c>
      <c r="I267" s="3275"/>
      <c r="J267" s="3275"/>
      <c r="K267" s="3275"/>
      <c r="L267" s="3275"/>
      <c r="M267" s="3275"/>
      <c r="N267" s="3275"/>
      <c r="O267" s="3275"/>
      <c r="P267" s="3275"/>
      <c r="Q267" s="3275"/>
      <c r="R267" s="3275"/>
      <c r="S267" s="3275"/>
      <c r="T267" s="3275"/>
      <c r="U267" s="3275"/>
      <c r="V267" s="3275"/>
      <c r="W267" s="3275"/>
      <c r="X267" s="3275"/>
      <c r="Y267" s="3275"/>
      <c r="Z267" s="3275"/>
      <c r="AA267" s="3275"/>
      <c r="AB267" s="3275"/>
      <c r="AC267" s="3264">
        <f t="shared" si="126"/>
        <v>0</v>
      </c>
      <c r="AD267" s="3285"/>
      <c r="AE267" s="3285"/>
      <c r="AF267" s="3285"/>
      <c r="AG267" s="3285"/>
      <c r="AH267" s="3285"/>
      <c r="AI267" s="3285"/>
      <c r="AJ267" s="3285"/>
      <c r="AK267" s="3285"/>
      <c r="AL267" s="3285"/>
      <c r="AM267" s="3285"/>
      <c r="AN267" s="3285"/>
      <c r="AO267" s="3285"/>
      <c r="AP267" s="3285"/>
      <c r="AQ267" s="3285"/>
      <c r="AR267" s="3285"/>
      <c r="AS267" s="3285"/>
      <c r="AT267" s="3295"/>
      <c r="AU267" s="3296"/>
      <c r="AV267" s="830">
        <f t="shared" si="127"/>
        <v>0</v>
      </c>
      <c r="AW267" s="830">
        <f t="shared" si="128"/>
        <v>0</v>
      </c>
      <c r="AX267" s="830">
        <f t="shared" si="129"/>
        <v>0</v>
      </c>
      <c r="AY267" s="3310">
        <f t="shared" si="130"/>
        <v>0</v>
      </c>
      <c r="AZ267" s="3264">
        <f t="shared" si="131"/>
        <v>0</v>
      </c>
      <c r="BA267" s="3264">
        <f t="shared" si="132"/>
        <v>0</v>
      </c>
      <c r="BB267" s="3264">
        <f t="shared" si="133"/>
        <v>0</v>
      </c>
      <c r="BC267" s="3264">
        <f t="shared" si="134"/>
        <v>0</v>
      </c>
      <c r="BD267" s="3264">
        <f t="shared" si="135"/>
        <v>0</v>
      </c>
      <c r="BE267" s="3264">
        <f t="shared" si="136"/>
        <v>0</v>
      </c>
      <c r="BF267" s="3264">
        <f t="shared" si="137"/>
        <v>0</v>
      </c>
      <c r="BG267" s="3264">
        <f t="shared" si="138"/>
        <v>0</v>
      </c>
      <c r="BH267" s="3264">
        <f t="shared" si="139"/>
        <v>0</v>
      </c>
      <c r="BI267" s="3264">
        <f t="shared" si="140"/>
        <v>0</v>
      </c>
      <c r="BJ267" s="3264">
        <f t="shared" si="141"/>
        <v>0</v>
      </c>
      <c r="BK267" s="3264">
        <f t="shared" si="142"/>
        <v>0</v>
      </c>
      <c r="BL267" s="3264">
        <f t="shared" si="143"/>
        <v>0</v>
      </c>
      <c r="BM267" s="3264">
        <f t="shared" si="144"/>
        <v>0</v>
      </c>
      <c r="BN267" s="3264">
        <f t="shared" si="145"/>
        <v>0</v>
      </c>
      <c r="BO267" s="3264">
        <f t="shared" si="146"/>
        <v>0</v>
      </c>
      <c r="BP267" s="3264">
        <f t="shared" si="147"/>
        <v>0</v>
      </c>
      <c r="BQ267" s="3264">
        <f t="shared" si="148"/>
        <v>0</v>
      </c>
      <c r="BR267" s="3264">
        <f t="shared" si="149"/>
        <v>0</v>
      </c>
      <c r="BS267" s="3264">
        <f t="shared" si="150"/>
        <v>0</v>
      </c>
      <c r="BT267" s="3317">
        <f t="shared" si="151"/>
        <v>0</v>
      </c>
    </row>
    <row r="268" spans="1:72">
      <c r="A268" s="3262"/>
      <c r="B268" s="3263"/>
      <c r="C268" s="3263"/>
      <c r="D268" s="3268"/>
      <c r="E268" s="3264">
        <f t="shared" si="123"/>
        <v>0</v>
      </c>
      <c r="F268" s="3265"/>
      <c r="G268" s="3266">
        <f t="shared" si="124"/>
        <v>0</v>
      </c>
      <c r="H268" s="3267">
        <f t="shared" si="125"/>
        <v>0</v>
      </c>
      <c r="I268" s="3275"/>
      <c r="J268" s="3275"/>
      <c r="K268" s="3275"/>
      <c r="L268" s="3275"/>
      <c r="M268" s="3275"/>
      <c r="N268" s="3275"/>
      <c r="O268" s="3275"/>
      <c r="P268" s="3275"/>
      <c r="Q268" s="3275"/>
      <c r="R268" s="3275"/>
      <c r="S268" s="3275"/>
      <c r="T268" s="3275"/>
      <c r="U268" s="3275"/>
      <c r="V268" s="3275"/>
      <c r="W268" s="3275"/>
      <c r="X268" s="3275"/>
      <c r="Y268" s="3275"/>
      <c r="Z268" s="3275"/>
      <c r="AA268" s="3275"/>
      <c r="AB268" s="3275"/>
      <c r="AC268" s="3264">
        <f t="shared" si="126"/>
        <v>0</v>
      </c>
      <c r="AD268" s="3285"/>
      <c r="AE268" s="3285"/>
      <c r="AF268" s="3285"/>
      <c r="AG268" s="3285"/>
      <c r="AH268" s="3285"/>
      <c r="AI268" s="3285"/>
      <c r="AJ268" s="3285"/>
      <c r="AK268" s="3285"/>
      <c r="AL268" s="3285"/>
      <c r="AM268" s="3285"/>
      <c r="AN268" s="3285"/>
      <c r="AO268" s="3285"/>
      <c r="AP268" s="3285"/>
      <c r="AQ268" s="3285"/>
      <c r="AR268" s="3285"/>
      <c r="AS268" s="3285"/>
      <c r="AT268" s="3295"/>
      <c r="AU268" s="3296"/>
      <c r="AV268" s="830">
        <f t="shared" si="127"/>
        <v>0</v>
      </c>
      <c r="AW268" s="830">
        <f t="shared" si="128"/>
        <v>0</v>
      </c>
      <c r="AX268" s="830">
        <f t="shared" si="129"/>
        <v>0</v>
      </c>
      <c r="AY268" s="3310">
        <f t="shared" si="130"/>
        <v>0</v>
      </c>
      <c r="AZ268" s="3264">
        <f t="shared" si="131"/>
        <v>0</v>
      </c>
      <c r="BA268" s="3264">
        <f t="shared" si="132"/>
        <v>0</v>
      </c>
      <c r="BB268" s="3264">
        <f t="shared" si="133"/>
        <v>0</v>
      </c>
      <c r="BC268" s="3264">
        <f t="shared" si="134"/>
        <v>0</v>
      </c>
      <c r="BD268" s="3264">
        <f t="shared" si="135"/>
        <v>0</v>
      </c>
      <c r="BE268" s="3264">
        <f t="shared" si="136"/>
        <v>0</v>
      </c>
      <c r="BF268" s="3264">
        <f t="shared" si="137"/>
        <v>0</v>
      </c>
      <c r="BG268" s="3264">
        <f t="shared" si="138"/>
        <v>0</v>
      </c>
      <c r="BH268" s="3264">
        <f t="shared" si="139"/>
        <v>0</v>
      </c>
      <c r="BI268" s="3264">
        <f t="shared" si="140"/>
        <v>0</v>
      </c>
      <c r="BJ268" s="3264">
        <f t="shared" si="141"/>
        <v>0</v>
      </c>
      <c r="BK268" s="3264">
        <f t="shared" si="142"/>
        <v>0</v>
      </c>
      <c r="BL268" s="3264">
        <f t="shared" si="143"/>
        <v>0</v>
      </c>
      <c r="BM268" s="3264">
        <f t="shared" si="144"/>
        <v>0</v>
      </c>
      <c r="BN268" s="3264">
        <f t="shared" si="145"/>
        <v>0</v>
      </c>
      <c r="BO268" s="3264">
        <f t="shared" si="146"/>
        <v>0</v>
      </c>
      <c r="BP268" s="3264">
        <f t="shared" si="147"/>
        <v>0</v>
      </c>
      <c r="BQ268" s="3264">
        <f t="shared" si="148"/>
        <v>0</v>
      </c>
      <c r="BR268" s="3264">
        <f t="shared" si="149"/>
        <v>0</v>
      </c>
      <c r="BS268" s="3264">
        <f t="shared" si="150"/>
        <v>0</v>
      </c>
      <c r="BT268" s="3317">
        <f t="shared" si="151"/>
        <v>0</v>
      </c>
    </row>
    <row r="269" spans="1:72">
      <c r="A269" s="3262"/>
      <c r="B269" s="3263"/>
      <c r="C269" s="3263"/>
      <c r="D269" s="3268"/>
      <c r="E269" s="3264">
        <f t="shared" si="123"/>
        <v>0</v>
      </c>
      <c r="F269" s="3265"/>
      <c r="G269" s="3266">
        <f t="shared" si="124"/>
        <v>0</v>
      </c>
      <c r="H269" s="3267">
        <f t="shared" si="125"/>
        <v>0</v>
      </c>
      <c r="I269" s="3275"/>
      <c r="J269" s="3275"/>
      <c r="K269" s="3275"/>
      <c r="L269" s="3275"/>
      <c r="M269" s="3275"/>
      <c r="N269" s="3275"/>
      <c r="O269" s="3275"/>
      <c r="P269" s="3275"/>
      <c r="Q269" s="3275"/>
      <c r="R269" s="3275"/>
      <c r="S269" s="3275"/>
      <c r="T269" s="3275"/>
      <c r="U269" s="3275"/>
      <c r="V269" s="3275"/>
      <c r="W269" s="3275"/>
      <c r="X269" s="3275"/>
      <c r="Y269" s="3275"/>
      <c r="Z269" s="3275"/>
      <c r="AA269" s="3275"/>
      <c r="AB269" s="3275"/>
      <c r="AC269" s="3264">
        <f t="shared" si="126"/>
        <v>0</v>
      </c>
      <c r="AD269" s="3285"/>
      <c r="AE269" s="3285"/>
      <c r="AF269" s="3285"/>
      <c r="AG269" s="3285"/>
      <c r="AH269" s="3285"/>
      <c r="AI269" s="3285"/>
      <c r="AJ269" s="3285"/>
      <c r="AK269" s="3285"/>
      <c r="AL269" s="3285"/>
      <c r="AM269" s="3285"/>
      <c r="AN269" s="3285"/>
      <c r="AO269" s="3285"/>
      <c r="AP269" s="3285"/>
      <c r="AQ269" s="3285"/>
      <c r="AR269" s="3285"/>
      <c r="AS269" s="3285"/>
      <c r="AT269" s="3295"/>
      <c r="AU269" s="3296"/>
      <c r="AV269" s="830">
        <f t="shared" si="127"/>
        <v>0</v>
      </c>
      <c r="AW269" s="830">
        <f t="shared" si="128"/>
        <v>0</v>
      </c>
      <c r="AX269" s="830">
        <f t="shared" si="129"/>
        <v>0</v>
      </c>
      <c r="AY269" s="3310">
        <f t="shared" si="130"/>
        <v>0</v>
      </c>
      <c r="AZ269" s="3264">
        <f t="shared" si="131"/>
        <v>0</v>
      </c>
      <c r="BA269" s="3264">
        <f t="shared" si="132"/>
        <v>0</v>
      </c>
      <c r="BB269" s="3264">
        <f t="shared" si="133"/>
        <v>0</v>
      </c>
      <c r="BC269" s="3264">
        <f t="shared" si="134"/>
        <v>0</v>
      </c>
      <c r="BD269" s="3264">
        <f t="shared" si="135"/>
        <v>0</v>
      </c>
      <c r="BE269" s="3264">
        <f t="shared" si="136"/>
        <v>0</v>
      </c>
      <c r="BF269" s="3264">
        <f t="shared" si="137"/>
        <v>0</v>
      </c>
      <c r="BG269" s="3264">
        <f t="shared" si="138"/>
        <v>0</v>
      </c>
      <c r="BH269" s="3264">
        <f t="shared" si="139"/>
        <v>0</v>
      </c>
      <c r="BI269" s="3264">
        <f t="shared" si="140"/>
        <v>0</v>
      </c>
      <c r="BJ269" s="3264">
        <f t="shared" si="141"/>
        <v>0</v>
      </c>
      <c r="BK269" s="3264">
        <f t="shared" si="142"/>
        <v>0</v>
      </c>
      <c r="BL269" s="3264">
        <f t="shared" si="143"/>
        <v>0</v>
      </c>
      <c r="BM269" s="3264">
        <f t="shared" si="144"/>
        <v>0</v>
      </c>
      <c r="BN269" s="3264">
        <f t="shared" si="145"/>
        <v>0</v>
      </c>
      <c r="BO269" s="3264">
        <f t="shared" si="146"/>
        <v>0</v>
      </c>
      <c r="BP269" s="3264">
        <f t="shared" si="147"/>
        <v>0</v>
      </c>
      <c r="BQ269" s="3264">
        <f t="shared" si="148"/>
        <v>0</v>
      </c>
      <c r="BR269" s="3264">
        <f t="shared" si="149"/>
        <v>0</v>
      </c>
      <c r="BS269" s="3264">
        <f t="shared" si="150"/>
        <v>0</v>
      </c>
      <c r="BT269" s="3317">
        <f t="shared" si="151"/>
        <v>0</v>
      </c>
    </row>
    <row r="270" spans="1:72">
      <c r="A270" s="3262"/>
      <c r="B270" s="3263"/>
      <c r="C270" s="3263"/>
      <c r="D270" s="3268"/>
      <c r="E270" s="3264">
        <f t="shared" si="123"/>
        <v>0</v>
      </c>
      <c r="F270" s="3265"/>
      <c r="G270" s="3266">
        <f t="shared" si="124"/>
        <v>0</v>
      </c>
      <c r="H270" s="3267">
        <f t="shared" si="125"/>
        <v>0</v>
      </c>
      <c r="I270" s="3275"/>
      <c r="J270" s="3275"/>
      <c r="K270" s="3275"/>
      <c r="L270" s="3275"/>
      <c r="M270" s="3275"/>
      <c r="N270" s="3275"/>
      <c r="O270" s="3275"/>
      <c r="P270" s="3275"/>
      <c r="Q270" s="3275"/>
      <c r="R270" s="3275"/>
      <c r="S270" s="3275"/>
      <c r="T270" s="3275"/>
      <c r="U270" s="3275"/>
      <c r="V270" s="3275"/>
      <c r="W270" s="3275"/>
      <c r="X270" s="3275"/>
      <c r="Y270" s="3275"/>
      <c r="Z270" s="3275"/>
      <c r="AA270" s="3275"/>
      <c r="AB270" s="3275"/>
      <c r="AC270" s="3264">
        <f t="shared" si="126"/>
        <v>0</v>
      </c>
      <c r="AD270" s="3285"/>
      <c r="AE270" s="3285"/>
      <c r="AF270" s="3285"/>
      <c r="AG270" s="3285"/>
      <c r="AH270" s="3285"/>
      <c r="AI270" s="3285"/>
      <c r="AJ270" s="3285"/>
      <c r="AK270" s="3285"/>
      <c r="AL270" s="3285"/>
      <c r="AM270" s="3285"/>
      <c r="AN270" s="3285"/>
      <c r="AO270" s="3285"/>
      <c r="AP270" s="3285"/>
      <c r="AQ270" s="3285"/>
      <c r="AR270" s="3285"/>
      <c r="AS270" s="3285"/>
      <c r="AT270" s="3295"/>
      <c r="AU270" s="3296"/>
      <c r="AV270" s="830">
        <f t="shared" si="127"/>
        <v>0</v>
      </c>
      <c r="AW270" s="830">
        <f t="shared" si="128"/>
        <v>0</v>
      </c>
      <c r="AX270" s="830">
        <f t="shared" si="129"/>
        <v>0</v>
      </c>
      <c r="AY270" s="3310">
        <f t="shared" si="130"/>
        <v>0</v>
      </c>
      <c r="AZ270" s="3264">
        <f t="shared" si="131"/>
        <v>0</v>
      </c>
      <c r="BA270" s="3264">
        <f t="shared" si="132"/>
        <v>0</v>
      </c>
      <c r="BB270" s="3264">
        <f t="shared" si="133"/>
        <v>0</v>
      </c>
      <c r="BC270" s="3264">
        <f t="shared" si="134"/>
        <v>0</v>
      </c>
      <c r="BD270" s="3264">
        <f t="shared" si="135"/>
        <v>0</v>
      </c>
      <c r="BE270" s="3264">
        <f t="shared" si="136"/>
        <v>0</v>
      </c>
      <c r="BF270" s="3264">
        <f t="shared" si="137"/>
        <v>0</v>
      </c>
      <c r="BG270" s="3264">
        <f t="shared" si="138"/>
        <v>0</v>
      </c>
      <c r="BH270" s="3264">
        <f t="shared" si="139"/>
        <v>0</v>
      </c>
      <c r="BI270" s="3264">
        <f t="shared" si="140"/>
        <v>0</v>
      </c>
      <c r="BJ270" s="3264">
        <f t="shared" si="141"/>
        <v>0</v>
      </c>
      <c r="BK270" s="3264">
        <f t="shared" si="142"/>
        <v>0</v>
      </c>
      <c r="BL270" s="3264">
        <f t="shared" si="143"/>
        <v>0</v>
      </c>
      <c r="BM270" s="3264">
        <f t="shared" si="144"/>
        <v>0</v>
      </c>
      <c r="BN270" s="3264">
        <f t="shared" si="145"/>
        <v>0</v>
      </c>
      <c r="BO270" s="3264">
        <f t="shared" si="146"/>
        <v>0</v>
      </c>
      <c r="BP270" s="3264">
        <f t="shared" si="147"/>
        <v>0</v>
      </c>
      <c r="BQ270" s="3264">
        <f t="shared" si="148"/>
        <v>0</v>
      </c>
      <c r="BR270" s="3264">
        <f t="shared" si="149"/>
        <v>0</v>
      </c>
      <c r="BS270" s="3264">
        <f t="shared" si="150"/>
        <v>0</v>
      </c>
      <c r="BT270" s="3317">
        <f t="shared" si="151"/>
        <v>0</v>
      </c>
    </row>
    <row r="271" spans="1:72">
      <c r="A271" s="3262"/>
      <c r="B271" s="3263"/>
      <c r="C271" s="3263"/>
      <c r="D271" s="3268"/>
      <c r="E271" s="3264">
        <f t="shared" si="123"/>
        <v>0</v>
      </c>
      <c r="F271" s="3265"/>
      <c r="G271" s="3266">
        <f t="shared" si="124"/>
        <v>0</v>
      </c>
      <c r="H271" s="3267">
        <f t="shared" si="125"/>
        <v>0</v>
      </c>
      <c r="I271" s="3275"/>
      <c r="J271" s="3275"/>
      <c r="K271" s="3275"/>
      <c r="L271" s="3275"/>
      <c r="M271" s="3275"/>
      <c r="N271" s="3275"/>
      <c r="O271" s="3275"/>
      <c r="P271" s="3275"/>
      <c r="Q271" s="3275"/>
      <c r="R271" s="3275"/>
      <c r="S271" s="3275"/>
      <c r="T271" s="3275"/>
      <c r="U271" s="3275"/>
      <c r="V271" s="3275"/>
      <c r="W271" s="3275"/>
      <c r="X271" s="3275"/>
      <c r="Y271" s="3275"/>
      <c r="Z271" s="3275"/>
      <c r="AA271" s="3275"/>
      <c r="AB271" s="3275"/>
      <c r="AC271" s="3264">
        <f t="shared" si="126"/>
        <v>0</v>
      </c>
      <c r="AD271" s="3285"/>
      <c r="AE271" s="3285"/>
      <c r="AF271" s="3285"/>
      <c r="AG271" s="3285"/>
      <c r="AH271" s="3285"/>
      <c r="AI271" s="3285"/>
      <c r="AJ271" s="3285"/>
      <c r="AK271" s="3285"/>
      <c r="AL271" s="3285"/>
      <c r="AM271" s="3285"/>
      <c r="AN271" s="3285"/>
      <c r="AO271" s="3285"/>
      <c r="AP271" s="3285"/>
      <c r="AQ271" s="3285"/>
      <c r="AR271" s="3285"/>
      <c r="AS271" s="3285"/>
      <c r="AT271" s="3295"/>
      <c r="AU271" s="3296"/>
      <c r="AV271" s="830">
        <f t="shared" si="127"/>
        <v>0</v>
      </c>
      <c r="AW271" s="830">
        <f t="shared" si="128"/>
        <v>0</v>
      </c>
      <c r="AX271" s="830">
        <f t="shared" si="129"/>
        <v>0</v>
      </c>
      <c r="AY271" s="3310">
        <f t="shared" si="130"/>
        <v>0</v>
      </c>
      <c r="AZ271" s="3264">
        <f t="shared" si="131"/>
        <v>0</v>
      </c>
      <c r="BA271" s="3264">
        <f t="shared" si="132"/>
        <v>0</v>
      </c>
      <c r="BB271" s="3264">
        <f t="shared" si="133"/>
        <v>0</v>
      </c>
      <c r="BC271" s="3264">
        <f t="shared" si="134"/>
        <v>0</v>
      </c>
      <c r="BD271" s="3264">
        <f t="shared" si="135"/>
        <v>0</v>
      </c>
      <c r="BE271" s="3264">
        <f t="shared" si="136"/>
        <v>0</v>
      </c>
      <c r="BF271" s="3264">
        <f t="shared" si="137"/>
        <v>0</v>
      </c>
      <c r="BG271" s="3264">
        <f t="shared" si="138"/>
        <v>0</v>
      </c>
      <c r="BH271" s="3264">
        <f t="shared" si="139"/>
        <v>0</v>
      </c>
      <c r="BI271" s="3264">
        <f t="shared" si="140"/>
        <v>0</v>
      </c>
      <c r="BJ271" s="3264">
        <f t="shared" si="141"/>
        <v>0</v>
      </c>
      <c r="BK271" s="3264">
        <f t="shared" si="142"/>
        <v>0</v>
      </c>
      <c r="BL271" s="3264">
        <f t="shared" si="143"/>
        <v>0</v>
      </c>
      <c r="BM271" s="3264">
        <f t="shared" si="144"/>
        <v>0</v>
      </c>
      <c r="BN271" s="3264">
        <f t="shared" si="145"/>
        <v>0</v>
      </c>
      <c r="BO271" s="3264">
        <f t="shared" si="146"/>
        <v>0</v>
      </c>
      <c r="BP271" s="3264">
        <f t="shared" si="147"/>
        <v>0</v>
      </c>
      <c r="BQ271" s="3264">
        <f t="shared" si="148"/>
        <v>0</v>
      </c>
      <c r="BR271" s="3264">
        <f t="shared" si="149"/>
        <v>0</v>
      </c>
      <c r="BS271" s="3264">
        <f t="shared" si="150"/>
        <v>0</v>
      </c>
      <c r="BT271" s="3317">
        <f t="shared" si="151"/>
        <v>0</v>
      </c>
    </row>
    <row r="272" spans="1:72">
      <c r="A272" s="3262"/>
      <c r="B272" s="3263"/>
      <c r="C272" s="3263"/>
      <c r="D272" s="3268"/>
      <c r="E272" s="3264">
        <f t="shared" si="123"/>
        <v>0</v>
      </c>
      <c r="F272" s="3265"/>
      <c r="G272" s="3266">
        <f t="shared" si="124"/>
        <v>0</v>
      </c>
      <c r="H272" s="3267">
        <f t="shared" si="125"/>
        <v>0</v>
      </c>
      <c r="I272" s="3275"/>
      <c r="J272" s="3275"/>
      <c r="K272" s="3275"/>
      <c r="L272" s="3275"/>
      <c r="M272" s="3275"/>
      <c r="N272" s="3275"/>
      <c r="O272" s="3275"/>
      <c r="P272" s="3275"/>
      <c r="Q272" s="3275"/>
      <c r="R272" s="3275"/>
      <c r="S272" s="3275"/>
      <c r="T272" s="3275"/>
      <c r="U272" s="3275"/>
      <c r="V272" s="3275"/>
      <c r="W272" s="3275"/>
      <c r="X272" s="3275"/>
      <c r="Y272" s="3275"/>
      <c r="Z272" s="3275"/>
      <c r="AA272" s="3275"/>
      <c r="AB272" s="3275"/>
      <c r="AC272" s="3264">
        <f t="shared" si="126"/>
        <v>0</v>
      </c>
      <c r="AD272" s="3285"/>
      <c r="AE272" s="3285"/>
      <c r="AF272" s="3285"/>
      <c r="AG272" s="3285"/>
      <c r="AH272" s="3285"/>
      <c r="AI272" s="3285"/>
      <c r="AJ272" s="3285"/>
      <c r="AK272" s="3285"/>
      <c r="AL272" s="3285"/>
      <c r="AM272" s="3285"/>
      <c r="AN272" s="3285"/>
      <c r="AO272" s="3285"/>
      <c r="AP272" s="3285"/>
      <c r="AQ272" s="3285"/>
      <c r="AR272" s="3285"/>
      <c r="AS272" s="3285"/>
      <c r="AT272" s="3295"/>
      <c r="AU272" s="3296"/>
      <c r="AV272" s="830">
        <f t="shared" si="127"/>
        <v>0</v>
      </c>
      <c r="AW272" s="830">
        <f t="shared" si="128"/>
        <v>0</v>
      </c>
      <c r="AX272" s="830">
        <f t="shared" si="129"/>
        <v>0</v>
      </c>
      <c r="AY272" s="3310">
        <f t="shared" si="130"/>
        <v>0</v>
      </c>
      <c r="AZ272" s="3264">
        <f t="shared" si="131"/>
        <v>0</v>
      </c>
      <c r="BA272" s="3264">
        <f t="shared" si="132"/>
        <v>0</v>
      </c>
      <c r="BB272" s="3264">
        <f t="shared" si="133"/>
        <v>0</v>
      </c>
      <c r="BC272" s="3264">
        <f t="shared" si="134"/>
        <v>0</v>
      </c>
      <c r="BD272" s="3264">
        <f t="shared" si="135"/>
        <v>0</v>
      </c>
      <c r="BE272" s="3264">
        <f t="shared" si="136"/>
        <v>0</v>
      </c>
      <c r="BF272" s="3264">
        <f t="shared" si="137"/>
        <v>0</v>
      </c>
      <c r="BG272" s="3264">
        <f t="shared" si="138"/>
        <v>0</v>
      </c>
      <c r="BH272" s="3264">
        <f t="shared" si="139"/>
        <v>0</v>
      </c>
      <c r="BI272" s="3264">
        <f t="shared" si="140"/>
        <v>0</v>
      </c>
      <c r="BJ272" s="3264">
        <f t="shared" si="141"/>
        <v>0</v>
      </c>
      <c r="BK272" s="3264">
        <f t="shared" si="142"/>
        <v>0</v>
      </c>
      <c r="BL272" s="3264">
        <f t="shared" si="143"/>
        <v>0</v>
      </c>
      <c r="BM272" s="3264">
        <f t="shared" si="144"/>
        <v>0</v>
      </c>
      <c r="BN272" s="3264">
        <f t="shared" si="145"/>
        <v>0</v>
      </c>
      <c r="BO272" s="3264">
        <f t="shared" si="146"/>
        <v>0</v>
      </c>
      <c r="BP272" s="3264">
        <f t="shared" si="147"/>
        <v>0</v>
      </c>
      <c r="BQ272" s="3264">
        <f t="shared" si="148"/>
        <v>0</v>
      </c>
      <c r="BR272" s="3264">
        <f t="shared" si="149"/>
        <v>0</v>
      </c>
      <c r="BS272" s="3264">
        <f t="shared" si="150"/>
        <v>0</v>
      </c>
      <c r="BT272" s="3317">
        <f t="shared" si="151"/>
        <v>0</v>
      </c>
    </row>
    <row r="273" spans="1:72">
      <c r="A273" s="3262"/>
      <c r="B273" s="3263"/>
      <c r="C273" s="3263"/>
      <c r="D273" s="3268"/>
      <c r="E273" s="3264">
        <f t="shared" si="123"/>
        <v>0</v>
      </c>
      <c r="F273" s="3265"/>
      <c r="G273" s="3266">
        <f t="shared" si="124"/>
        <v>0</v>
      </c>
      <c r="H273" s="3267">
        <f t="shared" si="125"/>
        <v>0</v>
      </c>
      <c r="I273" s="3275"/>
      <c r="J273" s="3275"/>
      <c r="K273" s="3275"/>
      <c r="L273" s="3275"/>
      <c r="M273" s="3275"/>
      <c r="N273" s="3275"/>
      <c r="O273" s="3275"/>
      <c r="P273" s="3275"/>
      <c r="Q273" s="3275"/>
      <c r="R273" s="3275"/>
      <c r="S273" s="3275"/>
      <c r="T273" s="3275"/>
      <c r="U273" s="3275"/>
      <c r="V273" s="3275"/>
      <c r="W273" s="3275"/>
      <c r="X273" s="3275"/>
      <c r="Y273" s="3275"/>
      <c r="Z273" s="3275"/>
      <c r="AA273" s="3275"/>
      <c r="AB273" s="3275"/>
      <c r="AC273" s="3264">
        <f t="shared" si="126"/>
        <v>0</v>
      </c>
      <c r="AD273" s="3285"/>
      <c r="AE273" s="3285"/>
      <c r="AF273" s="3285"/>
      <c r="AG273" s="3285"/>
      <c r="AH273" s="3285"/>
      <c r="AI273" s="3285"/>
      <c r="AJ273" s="3285"/>
      <c r="AK273" s="3285"/>
      <c r="AL273" s="3285"/>
      <c r="AM273" s="3285"/>
      <c r="AN273" s="3285"/>
      <c r="AO273" s="3285"/>
      <c r="AP273" s="3285"/>
      <c r="AQ273" s="3285"/>
      <c r="AR273" s="3285"/>
      <c r="AS273" s="3285"/>
      <c r="AT273" s="3295"/>
      <c r="AU273" s="3296"/>
      <c r="AV273" s="830">
        <f t="shared" si="127"/>
        <v>0</v>
      </c>
      <c r="AW273" s="830">
        <f t="shared" si="128"/>
        <v>0</v>
      </c>
      <c r="AX273" s="830">
        <f t="shared" si="129"/>
        <v>0</v>
      </c>
      <c r="AY273" s="3310">
        <f t="shared" si="130"/>
        <v>0</v>
      </c>
      <c r="AZ273" s="3264">
        <f t="shared" si="131"/>
        <v>0</v>
      </c>
      <c r="BA273" s="3264">
        <f t="shared" si="132"/>
        <v>0</v>
      </c>
      <c r="BB273" s="3264">
        <f t="shared" si="133"/>
        <v>0</v>
      </c>
      <c r="BC273" s="3264">
        <f t="shared" si="134"/>
        <v>0</v>
      </c>
      <c r="BD273" s="3264">
        <f t="shared" si="135"/>
        <v>0</v>
      </c>
      <c r="BE273" s="3264">
        <f t="shared" si="136"/>
        <v>0</v>
      </c>
      <c r="BF273" s="3264">
        <f t="shared" si="137"/>
        <v>0</v>
      </c>
      <c r="BG273" s="3264">
        <f t="shared" si="138"/>
        <v>0</v>
      </c>
      <c r="BH273" s="3264">
        <f t="shared" si="139"/>
        <v>0</v>
      </c>
      <c r="BI273" s="3264">
        <f t="shared" si="140"/>
        <v>0</v>
      </c>
      <c r="BJ273" s="3264">
        <f t="shared" si="141"/>
        <v>0</v>
      </c>
      <c r="BK273" s="3264">
        <f t="shared" si="142"/>
        <v>0</v>
      </c>
      <c r="BL273" s="3264">
        <f t="shared" si="143"/>
        <v>0</v>
      </c>
      <c r="BM273" s="3264">
        <f t="shared" si="144"/>
        <v>0</v>
      </c>
      <c r="BN273" s="3264">
        <f t="shared" si="145"/>
        <v>0</v>
      </c>
      <c r="BO273" s="3264">
        <f t="shared" si="146"/>
        <v>0</v>
      </c>
      <c r="BP273" s="3264">
        <f t="shared" si="147"/>
        <v>0</v>
      </c>
      <c r="BQ273" s="3264">
        <f t="shared" si="148"/>
        <v>0</v>
      </c>
      <c r="BR273" s="3264">
        <f t="shared" si="149"/>
        <v>0</v>
      </c>
      <c r="BS273" s="3264">
        <f t="shared" si="150"/>
        <v>0</v>
      </c>
      <c r="BT273" s="3317">
        <f t="shared" si="151"/>
        <v>0</v>
      </c>
    </row>
    <row r="274" spans="1:72">
      <c r="A274" s="3262"/>
      <c r="B274" s="3263"/>
      <c r="C274" s="3263"/>
      <c r="D274" s="3268"/>
      <c r="E274" s="3264">
        <f t="shared" si="123"/>
        <v>0</v>
      </c>
      <c r="F274" s="3265"/>
      <c r="G274" s="3266">
        <f t="shared" si="124"/>
        <v>0</v>
      </c>
      <c r="H274" s="3267">
        <f t="shared" si="125"/>
        <v>0</v>
      </c>
      <c r="I274" s="3275"/>
      <c r="J274" s="3275"/>
      <c r="K274" s="3275"/>
      <c r="L274" s="3275"/>
      <c r="M274" s="3275"/>
      <c r="N274" s="3275"/>
      <c r="O274" s="3275"/>
      <c r="P274" s="3275"/>
      <c r="Q274" s="3275"/>
      <c r="R274" s="3275"/>
      <c r="S274" s="3275"/>
      <c r="T274" s="3275"/>
      <c r="U274" s="3275"/>
      <c r="V274" s="3275"/>
      <c r="W274" s="3275"/>
      <c r="X274" s="3275"/>
      <c r="Y274" s="3275"/>
      <c r="Z274" s="3275"/>
      <c r="AA274" s="3275"/>
      <c r="AB274" s="3275"/>
      <c r="AC274" s="3264">
        <f t="shared" si="126"/>
        <v>0</v>
      </c>
      <c r="AD274" s="3285"/>
      <c r="AE274" s="3285"/>
      <c r="AF274" s="3285"/>
      <c r="AG274" s="3285"/>
      <c r="AH274" s="3285"/>
      <c r="AI274" s="3285"/>
      <c r="AJ274" s="3285"/>
      <c r="AK274" s="3285"/>
      <c r="AL274" s="3285"/>
      <c r="AM274" s="3285"/>
      <c r="AN274" s="3285"/>
      <c r="AO274" s="3285"/>
      <c r="AP274" s="3285"/>
      <c r="AQ274" s="3285"/>
      <c r="AR274" s="3285"/>
      <c r="AS274" s="3285"/>
      <c r="AT274" s="3295"/>
      <c r="AU274" s="3296"/>
      <c r="AV274" s="830">
        <f t="shared" si="127"/>
        <v>0</v>
      </c>
      <c r="AW274" s="830">
        <f t="shared" si="128"/>
        <v>0</v>
      </c>
      <c r="AX274" s="830">
        <f t="shared" si="129"/>
        <v>0</v>
      </c>
      <c r="AY274" s="3310">
        <f t="shared" si="130"/>
        <v>0</v>
      </c>
      <c r="AZ274" s="3264">
        <f t="shared" si="131"/>
        <v>0</v>
      </c>
      <c r="BA274" s="3264">
        <f t="shared" si="132"/>
        <v>0</v>
      </c>
      <c r="BB274" s="3264">
        <f t="shared" si="133"/>
        <v>0</v>
      </c>
      <c r="BC274" s="3264">
        <f t="shared" si="134"/>
        <v>0</v>
      </c>
      <c r="BD274" s="3264">
        <f t="shared" si="135"/>
        <v>0</v>
      </c>
      <c r="BE274" s="3264">
        <f t="shared" si="136"/>
        <v>0</v>
      </c>
      <c r="BF274" s="3264">
        <f t="shared" si="137"/>
        <v>0</v>
      </c>
      <c r="BG274" s="3264">
        <f t="shared" si="138"/>
        <v>0</v>
      </c>
      <c r="BH274" s="3264">
        <f t="shared" si="139"/>
        <v>0</v>
      </c>
      <c r="BI274" s="3264">
        <f t="shared" si="140"/>
        <v>0</v>
      </c>
      <c r="BJ274" s="3264">
        <f t="shared" si="141"/>
        <v>0</v>
      </c>
      <c r="BK274" s="3264">
        <f t="shared" si="142"/>
        <v>0</v>
      </c>
      <c r="BL274" s="3264">
        <f t="shared" si="143"/>
        <v>0</v>
      </c>
      <c r="BM274" s="3264">
        <f t="shared" si="144"/>
        <v>0</v>
      </c>
      <c r="BN274" s="3264">
        <f t="shared" si="145"/>
        <v>0</v>
      </c>
      <c r="BO274" s="3264">
        <f t="shared" si="146"/>
        <v>0</v>
      </c>
      <c r="BP274" s="3264">
        <f t="shared" si="147"/>
        <v>0</v>
      </c>
      <c r="BQ274" s="3264">
        <f t="shared" si="148"/>
        <v>0</v>
      </c>
      <c r="BR274" s="3264">
        <f t="shared" si="149"/>
        <v>0</v>
      </c>
      <c r="BS274" s="3264">
        <f t="shared" si="150"/>
        <v>0</v>
      </c>
      <c r="BT274" s="3317">
        <f t="shared" si="151"/>
        <v>0</v>
      </c>
    </row>
    <row r="275" spans="1:72">
      <c r="A275" s="3262"/>
      <c r="B275" s="3263"/>
      <c r="C275" s="3263"/>
      <c r="D275" s="3268"/>
      <c r="E275" s="3264">
        <f t="shared" si="123"/>
        <v>0</v>
      </c>
      <c r="F275" s="3265"/>
      <c r="G275" s="3266">
        <f t="shared" si="124"/>
        <v>0</v>
      </c>
      <c r="H275" s="3267">
        <f t="shared" si="125"/>
        <v>0</v>
      </c>
      <c r="I275" s="3275"/>
      <c r="J275" s="3275"/>
      <c r="K275" s="3275"/>
      <c r="L275" s="3275"/>
      <c r="M275" s="3275"/>
      <c r="N275" s="3275"/>
      <c r="O275" s="3275"/>
      <c r="P275" s="3275"/>
      <c r="Q275" s="3275"/>
      <c r="R275" s="3275"/>
      <c r="S275" s="3275"/>
      <c r="T275" s="3275"/>
      <c r="U275" s="3275"/>
      <c r="V275" s="3275"/>
      <c r="W275" s="3275"/>
      <c r="X275" s="3275"/>
      <c r="Y275" s="3275"/>
      <c r="Z275" s="3275"/>
      <c r="AA275" s="3275"/>
      <c r="AB275" s="3275"/>
      <c r="AC275" s="3264">
        <f t="shared" si="126"/>
        <v>0</v>
      </c>
      <c r="AD275" s="3285"/>
      <c r="AE275" s="3285"/>
      <c r="AF275" s="3285"/>
      <c r="AG275" s="3285"/>
      <c r="AH275" s="3285"/>
      <c r="AI275" s="3285"/>
      <c r="AJ275" s="3285"/>
      <c r="AK275" s="3285"/>
      <c r="AL275" s="3285"/>
      <c r="AM275" s="3285"/>
      <c r="AN275" s="3285"/>
      <c r="AO275" s="3285"/>
      <c r="AP275" s="3285"/>
      <c r="AQ275" s="3285"/>
      <c r="AR275" s="3285"/>
      <c r="AS275" s="3285"/>
      <c r="AT275" s="3295"/>
      <c r="AU275" s="3296"/>
      <c r="AV275" s="830">
        <f t="shared" si="127"/>
        <v>0</v>
      </c>
      <c r="AW275" s="830">
        <f t="shared" si="128"/>
        <v>0</v>
      </c>
      <c r="AX275" s="830">
        <f t="shared" si="129"/>
        <v>0</v>
      </c>
      <c r="AY275" s="3310">
        <f t="shared" si="130"/>
        <v>0</v>
      </c>
      <c r="AZ275" s="3264">
        <f t="shared" si="131"/>
        <v>0</v>
      </c>
      <c r="BA275" s="3264">
        <f t="shared" si="132"/>
        <v>0</v>
      </c>
      <c r="BB275" s="3264">
        <f t="shared" si="133"/>
        <v>0</v>
      </c>
      <c r="BC275" s="3264">
        <f t="shared" si="134"/>
        <v>0</v>
      </c>
      <c r="BD275" s="3264">
        <f t="shared" si="135"/>
        <v>0</v>
      </c>
      <c r="BE275" s="3264">
        <f t="shared" si="136"/>
        <v>0</v>
      </c>
      <c r="BF275" s="3264">
        <f t="shared" si="137"/>
        <v>0</v>
      </c>
      <c r="BG275" s="3264">
        <f t="shared" si="138"/>
        <v>0</v>
      </c>
      <c r="BH275" s="3264">
        <f t="shared" si="139"/>
        <v>0</v>
      </c>
      <c r="BI275" s="3264">
        <f t="shared" si="140"/>
        <v>0</v>
      </c>
      <c r="BJ275" s="3264">
        <f t="shared" si="141"/>
        <v>0</v>
      </c>
      <c r="BK275" s="3264">
        <f t="shared" si="142"/>
        <v>0</v>
      </c>
      <c r="BL275" s="3264">
        <f t="shared" si="143"/>
        <v>0</v>
      </c>
      <c r="BM275" s="3264">
        <f t="shared" si="144"/>
        <v>0</v>
      </c>
      <c r="BN275" s="3264">
        <f t="shared" si="145"/>
        <v>0</v>
      </c>
      <c r="BO275" s="3264">
        <f t="shared" si="146"/>
        <v>0</v>
      </c>
      <c r="BP275" s="3264">
        <f t="shared" si="147"/>
        <v>0</v>
      </c>
      <c r="BQ275" s="3264">
        <f t="shared" si="148"/>
        <v>0</v>
      </c>
      <c r="BR275" s="3264">
        <f t="shared" si="149"/>
        <v>0</v>
      </c>
      <c r="BS275" s="3264">
        <f t="shared" si="150"/>
        <v>0</v>
      </c>
      <c r="BT275" s="3317">
        <f t="shared" si="151"/>
        <v>0</v>
      </c>
    </row>
    <row r="276" spans="1:72">
      <c r="A276" s="3262"/>
      <c r="B276" s="3263"/>
      <c r="C276" s="3263"/>
      <c r="D276" s="3268"/>
      <c r="E276" s="3264">
        <f t="shared" si="123"/>
        <v>0</v>
      </c>
      <c r="F276" s="3265"/>
      <c r="G276" s="3266">
        <f t="shared" si="124"/>
        <v>0</v>
      </c>
      <c r="H276" s="3267">
        <f t="shared" si="125"/>
        <v>0</v>
      </c>
      <c r="I276" s="3275"/>
      <c r="J276" s="3275"/>
      <c r="K276" s="3275"/>
      <c r="L276" s="3275"/>
      <c r="M276" s="3275"/>
      <c r="N276" s="3275"/>
      <c r="O276" s="3275"/>
      <c r="P276" s="3275"/>
      <c r="Q276" s="3275"/>
      <c r="R276" s="3275"/>
      <c r="S276" s="3275"/>
      <c r="T276" s="3275"/>
      <c r="U276" s="3275"/>
      <c r="V276" s="3275"/>
      <c r="W276" s="3275"/>
      <c r="X276" s="3275"/>
      <c r="Y276" s="3275"/>
      <c r="Z276" s="3275"/>
      <c r="AA276" s="3275"/>
      <c r="AB276" s="3275"/>
      <c r="AC276" s="3264">
        <f t="shared" si="126"/>
        <v>0</v>
      </c>
      <c r="AD276" s="3285"/>
      <c r="AE276" s="3285"/>
      <c r="AF276" s="3285"/>
      <c r="AG276" s="3285"/>
      <c r="AH276" s="3285"/>
      <c r="AI276" s="3285"/>
      <c r="AJ276" s="3285"/>
      <c r="AK276" s="3285"/>
      <c r="AL276" s="3285"/>
      <c r="AM276" s="3285"/>
      <c r="AN276" s="3285"/>
      <c r="AO276" s="3285"/>
      <c r="AP276" s="3285"/>
      <c r="AQ276" s="3285"/>
      <c r="AR276" s="3285"/>
      <c r="AS276" s="3285"/>
      <c r="AT276" s="3295"/>
      <c r="AU276" s="3296"/>
      <c r="AV276" s="830">
        <f t="shared" si="127"/>
        <v>0</v>
      </c>
      <c r="AW276" s="830">
        <f t="shared" si="128"/>
        <v>0</v>
      </c>
      <c r="AX276" s="830">
        <f t="shared" si="129"/>
        <v>0</v>
      </c>
      <c r="AY276" s="3310">
        <f t="shared" si="130"/>
        <v>0</v>
      </c>
      <c r="AZ276" s="3264">
        <f t="shared" si="131"/>
        <v>0</v>
      </c>
      <c r="BA276" s="3264">
        <f t="shared" si="132"/>
        <v>0</v>
      </c>
      <c r="BB276" s="3264">
        <f t="shared" si="133"/>
        <v>0</v>
      </c>
      <c r="BC276" s="3264">
        <f t="shared" si="134"/>
        <v>0</v>
      </c>
      <c r="BD276" s="3264">
        <f t="shared" si="135"/>
        <v>0</v>
      </c>
      <c r="BE276" s="3264">
        <f t="shared" si="136"/>
        <v>0</v>
      </c>
      <c r="BF276" s="3264">
        <f t="shared" si="137"/>
        <v>0</v>
      </c>
      <c r="BG276" s="3264">
        <f t="shared" si="138"/>
        <v>0</v>
      </c>
      <c r="BH276" s="3264">
        <f t="shared" si="139"/>
        <v>0</v>
      </c>
      <c r="BI276" s="3264">
        <f t="shared" si="140"/>
        <v>0</v>
      </c>
      <c r="BJ276" s="3264">
        <f t="shared" si="141"/>
        <v>0</v>
      </c>
      <c r="BK276" s="3264">
        <f t="shared" si="142"/>
        <v>0</v>
      </c>
      <c r="BL276" s="3264">
        <f t="shared" si="143"/>
        <v>0</v>
      </c>
      <c r="BM276" s="3264">
        <f t="shared" si="144"/>
        <v>0</v>
      </c>
      <c r="BN276" s="3264">
        <f t="shared" si="145"/>
        <v>0</v>
      </c>
      <c r="BO276" s="3264">
        <f t="shared" si="146"/>
        <v>0</v>
      </c>
      <c r="BP276" s="3264">
        <f t="shared" si="147"/>
        <v>0</v>
      </c>
      <c r="BQ276" s="3264">
        <f t="shared" si="148"/>
        <v>0</v>
      </c>
      <c r="BR276" s="3264">
        <f t="shared" si="149"/>
        <v>0</v>
      </c>
      <c r="BS276" s="3264">
        <f t="shared" si="150"/>
        <v>0</v>
      </c>
      <c r="BT276" s="3317">
        <f t="shared" si="151"/>
        <v>0</v>
      </c>
    </row>
    <row r="277" spans="1:72">
      <c r="A277" s="3262"/>
      <c r="B277" s="3263"/>
      <c r="C277" s="3263"/>
      <c r="D277" s="3268"/>
      <c r="E277" s="3264">
        <f t="shared" si="123"/>
        <v>0</v>
      </c>
      <c r="F277" s="3265"/>
      <c r="G277" s="3266">
        <f t="shared" si="124"/>
        <v>0</v>
      </c>
      <c r="H277" s="3267">
        <f t="shared" si="125"/>
        <v>0</v>
      </c>
      <c r="I277" s="3275"/>
      <c r="J277" s="3275"/>
      <c r="K277" s="3275"/>
      <c r="L277" s="3275"/>
      <c r="M277" s="3275"/>
      <c r="N277" s="3275"/>
      <c r="O277" s="3275"/>
      <c r="P277" s="3275"/>
      <c r="Q277" s="3275"/>
      <c r="R277" s="3275"/>
      <c r="S277" s="3275"/>
      <c r="T277" s="3275"/>
      <c r="U277" s="3275"/>
      <c r="V277" s="3275"/>
      <c r="W277" s="3275"/>
      <c r="X277" s="3275"/>
      <c r="Y277" s="3275"/>
      <c r="Z277" s="3275"/>
      <c r="AA277" s="3275"/>
      <c r="AB277" s="3275"/>
      <c r="AC277" s="3264">
        <f t="shared" si="126"/>
        <v>0</v>
      </c>
      <c r="AD277" s="3285"/>
      <c r="AE277" s="3285"/>
      <c r="AF277" s="3285"/>
      <c r="AG277" s="3285"/>
      <c r="AH277" s="3285"/>
      <c r="AI277" s="3285"/>
      <c r="AJ277" s="3285"/>
      <c r="AK277" s="3285"/>
      <c r="AL277" s="3285"/>
      <c r="AM277" s="3285"/>
      <c r="AN277" s="3285"/>
      <c r="AO277" s="3285"/>
      <c r="AP277" s="3285"/>
      <c r="AQ277" s="3285"/>
      <c r="AR277" s="3285"/>
      <c r="AS277" s="3285"/>
      <c r="AT277" s="3295"/>
      <c r="AU277" s="3296"/>
      <c r="AV277" s="830">
        <f t="shared" si="127"/>
        <v>0</v>
      </c>
      <c r="AW277" s="830">
        <f t="shared" si="128"/>
        <v>0</v>
      </c>
      <c r="AX277" s="830">
        <f t="shared" si="129"/>
        <v>0</v>
      </c>
      <c r="AY277" s="3310">
        <f t="shared" si="130"/>
        <v>0</v>
      </c>
      <c r="AZ277" s="3264">
        <f t="shared" si="131"/>
        <v>0</v>
      </c>
      <c r="BA277" s="3264">
        <f t="shared" si="132"/>
        <v>0</v>
      </c>
      <c r="BB277" s="3264">
        <f t="shared" si="133"/>
        <v>0</v>
      </c>
      <c r="BC277" s="3264">
        <f t="shared" si="134"/>
        <v>0</v>
      </c>
      <c r="BD277" s="3264">
        <f t="shared" si="135"/>
        <v>0</v>
      </c>
      <c r="BE277" s="3264">
        <f t="shared" si="136"/>
        <v>0</v>
      </c>
      <c r="BF277" s="3264">
        <f t="shared" si="137"/>
        <v>0</v>
      </c>
      <c r="BG277" s="3264">
        <f t="shared" si="138"/>
        <v>0</v>
      </c>
      <c r="BH277" s="3264">
        <f t="shared" si="139"/>
        <v>0</v>
      </c>
      <c r="BI277" s="3264">
        <f t="shared" si="140"/>
        <v>0</v>
      </c>
      <c r="BJ277" s="3264">
        <f t="shared" si="141"/>
        <v>0</v>
      </c>
      <c r="BK277" s="3264">
        <f t="shared" si="142"/>
        <v>0</v>
      </c>
      <c r="BL277" s="3264">
        <f t="shared" si="143"/>
        <v>0</v>
      </c>
      <c r="BM277" s="3264">
        <f t="shared" si="144"/>
        <v>0</v>
      </c>
      <c r="BN277" s="3264">
        <f t="shared" si="145"/>
        <v>0</v>
      </c>
      <c r="BO277" s="3264">
        <f t="shared" si="146"/>
        <v>0</v>
      </c>
      <c r="BP277" s="3264">
        <f t="shared" si="147"/>
        <v>0</v>
      </c>
      <c r="BQ277" s="3264">
        <f t="shared" si="148"/>
        <v>0</v>
      </c>
      <c r="BR277" s="3264">
        <f t="shared" si="149"/>
        <v>0</v>
      </c>
      <c r="BS277" s="3264">
        <f t="shared" si="150"/>
        <v>0</v>
      </c>
      <c r="BT277" s="3317">
        <f t="shared" si="151"/>
        <v>0</v>
      </c>
    </row>
    <row r="278" spans="1:72">
      <c r="A278" s="3262"/>
      <c r="B278" s="3263"/>
      <c r="C278" s="3263"/>
      <c r="D278" s="3268"/>
      <c r="E278" s="3264">
        <f t="shared" si="123"/>
        <v>0</v>
      </c>
      <c r="F278" s="3265"/>
      <c r="G278" s="3266">
        <f t="shared" si="124"/>
        <v>0</v>
      </c>
      <c r="H278" s="3267">
        <f t="shared" si="125"/>
        <v>0</v>
      </c>
      <c r="I278" s="3275"/>
      <c r="J278" s="3275"/>
      <c r="K278" s="3275"/>
      <c r="L278" s="3275"/>
      <c r="M278" s="3275"/>
      <c r="N278" s="3275"/>
      <c r="O278" s="3275"/>
      <c r="P278" s="3275"/>
      <c r="Q278" s="3275"/>
      <c r="R278" s="3275"/>
      <c r="S278" s="3275"/>
      <c r="T278" s="3275"/>
      <c r="U278" s="3275"/>
      <c r="V278" s="3275"/>
      <c r="W278" s="3275"/>
      <c r="X278" s="3275"/>
      <c r="Y278" s="3275"/>
      <c r="Z278" s="3275"/>
      <c r="AA278" s="3275"/>
      <c r="AB278" s="3275"/>
      <c r="AC278" s="3264">
        <f t="shared" si="126"/>
        <v>0</v>
      </c>
      <c r="AD278" s="3285"/>
      <c r="AE278" s="3285"/>
      <c r="AF278" s="3285"/>
      <c r="AG278" s="3285"/>
      <c r="AH278" s="3285"/>
      <c r="AI278" s="3285"/>
      <c r="AJ278" s="3285"/>
      <c r="AK278" s="3285"/>
      <c r="AL278" s="3285"/>
      <c r="AM278" s="3285"/>
      <c r="AN278" s="3285"/>
      <c r="AO278" s="3285"/>
      <c r="AP278" s="3285"/>
      <c r="AQ278" s="3285"/>
      <c r="AR278" s="3285"/>
      <c r="AS278" s="3285"/>
      <c r="AT278" s="3295"/>
      <c r="AU278" s="3296"/>
      <c r="AV278" s="830">
        <f t="shared" si="127"/>
        <v>0</v>
      </c>
      <c r="AW278" s="830">
        <f t="shared" si="128"/>
        <v>0</v>
      </c>
      <c r="AX278" s="830">
        <f t="shared" si="129"/>
        <v>0</v>
      </c>
      <c r="AY278" s="3310">
        <f t="shared" si="130"/>
        <v>0</v>
      </c>
      <c r="AZ278" s="3264">
        <f t="shared" si="131"/>
        <v>0</v>
      </c>
      <c r="BA278" s="3264">
        <f t="shared" si="132"/>
        <v>0</v>
      </c>
      <c r="BB278" s="3264">
        <f t="shared" si="133"/>
        <v>0</v>
      </c>
      <c r="BC278" s="3264">
        <f t="shared" si="134"/>
        <v>0</v>
      </c>
      <c r="BD278" s="3264">
        <f t="shared" si="135"/>
        <v>0</v>
      </c>
      <c r="BE278" s="3264">
        <f t="shared" si="136"/>
        <v>0</v>
      </c>
      <c r="BF278" s="3264">
        <f t="shared" si="137"/>
        <v>0</v>
      </c>
      <c r="BG278" s="3264">
        <f t="shared" si="138"/>
        <v>0</v>
      </c>
      <c r="BH278" s="3264">
        <f t="shared" si="139"/>
        <v>0</v>
      </c>
      <c r="BI278" s="3264">
        <f t="shared" si="140"/>
        <v>0</v>
      </c>
      <c r="BJ278" s="3264">
        <f t="shared" si="141"/>
        <v>0</v>
      </c>
      <c r="BK278" s="3264">
        <f t="shared" si="142"/>
        <v>0</v>
      </c>
      <c r="BL278" s="3264">
        <f t="shared" si="143"/>
        <v>0</v>
      </c>
      <c r="BM278" s="3264">
        <f t="shared" si="144"/>
        <v>0</v>
      </c>
      <c r="BN278" s="3264">
        <f t="shared" si="145"/>
        <v>0</v>
      </c>
      <c r="BO278" s="3264">
        <f t="shared" si="146"/>
        <v>0</v>
      </c>
      <c r="BP278" s="3264">
        <f t="shared" si="147"/>
        <v>0</v>
      </c>
      <c r="BQ278" s="3264">
        <f t="shared" si="148"/>
        <v>0</v>
      </c>
      <c r="BR278" s="3264">
        <f t="shared" si="149"/>
        <v>0</v>
      </c>
      <c r="BS278" s="3264">
        <f t="shared" si="150"/>
        <v>0</v>
      </c>
      <c r="BT278" s="3317">
        <f t="shared" si="151"/>
        <v>0</v>
      </c>
    </row>
    <row r="279" spans="1:72">
      <c r="A279" s="3262"/>
      <c r="B279" s="3263"/>
      <c r="C279" s="3263"/>
      <c r="D279" s="3268"/>
      <c r="E279" s="3264">
        <f t="shared" si="123"/>
        <v>0</v>
      </c>
      <c r="F279" s="3265"/>
      <c r="G279" s="3266">
        <f t="shared" si="124"/>
        <v>0</v>
      </c>
      <c r="H279" s="3267">
        <f t="shared" si="125"/>
        <v>0</v>
      </c>
      <c r="I279" s="3275"/>
      <c r="J279" s="3275"/>
      <c r="K279" s="3275"/>
      <c r="L279" s="3275"/>
      <c r="M279" s="3275"/>
      <c r="N279" s="3275"/>
      <c r="O279" s="3275"/>
      <c r="P279" s="3275"/>
      <c r="Q279" s="3275"/>
      <c r="R279" s="3275"/>
      <c r="S279" s="3275"/>
      <c r="T279" s="3275"/>
      <c r="U279" s="3275"/>
      <c r="V279" s="3275"/>
      <c r="W279" s="3275"/>
      <c r="X279" s="3275"/>
      <c r="Y279" s="3275"/>
      <c r="Z279" s="3275"/>
      <c r="AA279" s="3275"/>
      <c r="AB279" s="3275"/>
      <c r="AC279" s="3264">
        <f t="shared" si="126"/>
        <v>0</v>
      </c>
      <c r="AD279" s="3285"/>
      <c r="AE279" s="3285"/>
      <c r="AF279" s="3285"/>
      <c r="AG279" s="3285"/>
      <c r="AH279" s="3285"/>
      <c r="AI279" s="3285"/>
      <c r="AJ279" s="3285"/>
      <c r="AK279" s="3285"/>
      <c r="AL279" s="3285"/>
      <c r="AM279" s="3285"/>
      <c r="AN279" s="3285"/>
      <c r="AO279" s="3285"/>
      <c r="AP279" s="3285"/>
      <c r="AQ279" s="3285"/>
      <c r="AR279" s="3285"/>
      <c r="AS279" s="3285"/>
      <c r="AT279" s="3295"/>
      <c r="AU279" s="3296"/>
      <c r="AV279" s="830">
        <f t="shared" si="127"/>
        <v>0</v>
      </c>
      <c r="AW279" s="830">
        <f t="shared" si="128"/>
        <v>0</v>
      </c>
      <c r="AX279" s="830">
        <f t="shared" si="129"/>
        <v>0</v>
      </c>
      <c r="AY279" s="3310">
        <f t="shared" si="130"/>
        <v>0</v>
      </c>
      <c r="AZ279" s="3264">
        <f t="shared" si="131"/>
        <v>0</v>
      </c>
      <c r="BA279" s="3264">
        <f t="shared" si="132"/>
        <v>0</v>
      </c>
      <c r="BB279" s="3264">
        <f t="shared" si="133"/>
        <v>0</v>
      </c>
      <c r="BC279" s="3264">
        <f t="shared" si="134"/>
        <v>0</v>
      </c>
      <c r="BD279" s="3264">
        <f t="shared" si="135"/>
        <v>0</v>
      </c>
      <c r="BE279" s="3264">
        <f t="shared" si="136"/>
        <v>0</v>
      </c>
      <c r="BF279" s="3264">
        <f t="shared" si="137"/>
        <v>0</v>
      </c>
      <c r="BG279" s="3264">
        <f t="shared" si="138"/>
        <v>0</v>
      </c>
      <c r="BH279" s="3264">
        <f t="shared" si="139"/>
        <v>0</v>
      </c>
      <c r="BI279" s="3264">
        <f t="shared" si="140"/>
        <v>0</v>
      </c>
      <c r="BJ279" s="3264">
        <f t="shared" si="141"/>
        <v>0</v>
      </c>
      <c r="BK279" s="3264">
        <f t="shared" si="142"/>
        <v>0</v>
      </c>
      <c r="BL279" s="3264">
        <f t="shared" si="143"/>
        <v>0</v>
      </c>
      <c r="BM279" s="3264">
        <f t="shared" si="144"/>
        <v>0</v>
      </c>
      <c r="BN279" s="3264">
        <f t="shared" si="145"/>
        <v>0</v>
      </c>
      <c r="BO279" s="3264">
        <f t="shared" si="146"/>
        <v>0</v>
      </c>
      <c r="BP279" s="3264">
        <f t="shared" si="147"/>
        <v>0</v>
      </c>
      <c r="BQ279" s="3264">
        <f t="shared" si="148"/>
        <v>0</v>
      </c>
      <c r="BR279" s="3264">
        <f t="shared" si="149"/>
        <v>0</v>
      </c>
      <c r="BS279" s="3264">
        <f t="shared" si="150"/>
        <v>0</v>
      </c>
      <c r="BT279" s="3317">
        <f t="shared" si="151"/>
        <v>0</v>
      </c>
    </row>
    <row r="280" spans="1:72">
      <c r="A280" s="3262"/>
      <c r="B280" s="3263"/>
      <c r="C280" s="3263"/>
      <c r="D280" s="3268"/>
      <c r="E280" s="3264">
        <f t="shared" si="123"/>
        <v>0</v>
      </c>
      <c r="F280" s="3265"/>
      <c r="G280" s="3266">
        <f t="shared" si="124"/>
        <v>0</v>
      </c>
      <c r="H280" s="3267">
        <f t="shared" si="125"/>
        <v>0</v>
      </c>
      <c r="I280" s="3275"/>
      <c r="J280" s="3275"/>
      <c r="K280" s="3275"/>
      <c r="L280" s="3275"/>
      <c r="M280" s="3275"/>
      <c r="N280" s="3275"/>
      <c r="O280" s="3275"/>
      <c r="P280" s="3275"/>
      <c r="Q280" s="3275"/>
      <c r="R280" s="3275"/>
      <c r="S280" s="3275"/>
      <c r="T280" s="3275"/>
      <c r="U280" s="3275"/>
      <c r="V280" s="3275"/>
      <c r="W280" s="3275"/>
      <c r="X280" s="3275"/>
      <c r="Y280" s="3275"/>
      <c r="Z280" s="3275"/>
      <c r="AA280" s="3275"/>
      <c r="AB280" s="3275"/>
      <c r="AC280" s="3264">
        <f t="shared" si="126"/>
        <v>0</v>
      </c>
      <c r="AD280" s="3285"/>
      <c r="AE280" s="3285"/>
      <c r="AF280" s="3285"/>
      <c r="AG280" s="3285"/>
      <c r="AH280" s="3285"/>
      <c r="AI280" s="3285"/>
      <c r="AJ280" s="3285"/>
      <c r="AK280" s="3285"/>
      <c r="AL280" s="3285"/>
      <c r="AM280" s="3285"/>
      <c r="AN280" s="3285"/>
      <c r="AO280" s="3285"/>
      <c r="AP280" s="3285"/>
      <c r="AQ280" s="3285"/>
      <c r="AR280" s="3285"/>
      <c r="AS280" s="3285"/>
      <c r="AT280" s="3295"/>
      <c r="AU280" s="3296"/>
      <c r="AV280" s="830">
        <f t="shared" si="127"/>
        <v>0</v>
      </c>
      <c r="AW280" s="830">
        <f t="shared" si="128"/>
        <v>0</v>
      </c>
      <c r="AX280" s="830">
        <f t="shared" si="129"/>
        <v>0</v>
      </c>
      <c r="AY280" s="3310">
        <f t="shared" si="130"/>
        <v>0</v>
      </c>
      <c r="AZ280" s="3264">
        <f t="shared" si="131"/>
        <v>0</v>
      </c>
      <c r="BA280" s="3264">
        <f t="shared" si="132"/>
        <v>0</v>
      </c>
      <c r="BB280" s="3264">
        <f t="shared" si="133"/>
        <v>0</v>
      </c>
      <c r="BC280" s="3264">
        <f t="shared" si="134"/>
        <v>0</v>
      </c>
      <c r="BD280" s="3264">
        <f t="shared" si="135"/>
        <v>0</v>
      </c>
      <c r="BE280" s="3264">
        <f t="shared" si="136"/>
        <v>0</v>
      </c>
      <c r="BF280" s="3264">
        <f t="shared" si="137"/>
        <v>0</v>
      </c>
      <c r="BG280" s="3264">
        <f t="shared" si="138"/>
        <v>0</v>
      </c>
      <c r="BH280" s="3264">
        <f t="shared" si="139"/>
        <v>0</v>
      </c>
      <c r="BI280" s="3264">
        <f t="shared" si="140"/>
        <v>0</v>
      </c>
      <c r="BJ280" s="3264">
        <f t="shared" si="141"/>
        <v>0</v>
      </c>
      <c r="BK280" s="3264">
        <f t="shared" si="142"/>
        <v>0</v>
      </c>
      <c r="BL280" s="3264">
        <f t="shared" si="143"/>
        <v>0</v>
      </c>
      <c r="BM280" s="3264">
        <f t="shared" si="144"/>
        <v>0</v>
      </c>
      <c r="BN280" s="3264">
        <f t="shared" si="145"/>
        <v>0</v>
      </c>
      <c r="BO280" s="3264">
        <f t="shared" si="146"/>
        <v>0</v>
      </c>
      <c r="BP280" s="3264">
        <f t="shared" si="147"/>
        <v>0</v>
      </c>
      <c r="BQ280" s="3264">
        <f t="shared" si="148"/>
        <v>0</v>
      </c>
      <c r="BR280" s="3264">
        <f t="shared" si="149"/>
        <v>0</v>
      </c>
      <c r="BS280" s="3264">
        <f t="shared" si="150"/>
        <v>0</v>
      </c>
      <c r="BT280" s="3317">
        <f t="shared" si="151"/>
        <v>0</v>
      </c>
    </row>
    <row r="281" spans="1:72">
      <c r="A281" s="3262"/>
      <c r="B281" s="3263"/>
      <c r="C281" s="3263"/>
      <c r="D281" s="3268"/>
      <c r="E281" s="3264">
        <f t="shared" si="123"/>
        <v>0</v>
      </c>
      <c r="F281" s="3265"/>
      <c r="G281" s="3266">
        <f t="shared" si="124"/>
        <v>0</v>
      </c>
      <c r="H281" s="3267">
        <f t="shared" si="125"/>
        <v>0</v>
      </c>
      <c r="I281" s="3275"/>
      <c r="J281" s="3275"/>
      <c r="K281" s="3275"/>
      <c r="L281" s="3275"/>
      <c r="M281" s="3275"/>
      <c r="N281" s="3275"/>
      <c r="O281" s="3275"/>
      <c r="P281" s="3275"/>
      <c r="Q281" s="3275"/>
      <c r="R281" s="3275"/>
      <c r="S281" s="3275"/>
      <c r="T281" s="3275"/>
      <c r="U281" s="3275"/>
      <c r="V281" s="3275"/>
      <c r="W281" s="3275"/>
      <c r="X281" s="3275"/>
      <c r="Y281" s="3275"/>
      <c r="Z281" s="3275"/>
      <c r="AA281" s="3275"/>
      <c r="AB281" s="3275"/>
      <c r="AC281" s="3264">
        <f t="shared" si="126"/>
        <v>0</v>
      </c>
      <c r="AD281" s="3285"/>
      <c r="AE281" s="3285"/>
      <c r="AF281" s="3285"/>
      <c r="AG281" s="3285"/>
      <c r="AH281" s="3285"/>
      <c r="AI281" s="3285"/>
      <c r="AJ281" s="3285"/>
      <c r="AK281" s="3285"/>
      <c r="AL281" s="3285"/>
      <c r="AM281" s="3285"/>
      <c r="AN281" s="3285"/>
      <c r="AO281" s="3285"/>
      <c r="AP281" s="3285"/>
      <c r="AQ281" s="3285"/>
      <c r="AR281" s="3285"/>
      <c r="AS281" s="3285"/>
      <c r="AT281" s="3295"/>
      <c r="AU281" s="3296"/>
      <c r="AV281" s="830">
        <f t="shared" si="127"/>
        <v>0</v>
      </c>
      <c r="AW281" s="830">
        <f t="shared" si="128"/>
        <v>0</v>
      </c>
      <c r="AX281" s="830">
        <f t="shared" si="129"/>
        <v>0</v>
      </c>
      <c r="AY281" s="3310">
        <f t="shared" si="130"/>
        <v>0</v>
      </c>
      <c r="AZ281" s="3264">
        <f t="shared" si="131"/>
        <v>0</v>
      </c>
      <c r="BA281" s="3264">
        <f t="shared" si="132"/>
        <v>0</v>
      </c>
      <c r="BB281" s="3264">
        <f t="shared" si="133"/>
        <v>0</v>
      </c>
      <c r="BC281" s="3264">
        <f t="shared" si="134"/>
        <v>0</v>
      </c>
      <c r="BD281" s="3264">
        <f t="shared" si="135"/>
        <v>0</v>
      </c>
      <c r="BE281" s="3264">
        <f t="shared" si="136"/>
        <v>0</v>
      </c>
      <c r="BF281" s="3264">
        <f t="shared" si="137"/>
        <v>0</v>
      </c>
      <c r="BG281" s="3264">
        <f t="shared" si="138"/>
        <v>0</v>
      </c>
      <c r="BH281" s="3264">
        <f t="shared" si="139"/>
        <v>0</v>
      </c>
      <c r="BI281" s="3264">
        <f t="shared" si="140"/>
        <v>0</v>
      </c>
      <c r="BJ281" s="3264">
        <f t="shared" si="141"/>
        <v>0</v>
      </c>
      <c r="BK281" s="3264">
        <f t="shared" si="142"/>
        <v>0</v>
      </c>
      <c r="BL281" s="3264">
        <f t="shared" si="143"/>
        <v>0</v>
      </c>
      <c r="BM281" s="3264">
        <f t="shared" si="144"/>
        <v>0</v>
      </c>
      <c r="BN281" s="3264">
        <f t="shared" si="145"/>
        <v>0</v>
      </c>
      <c r="BO281" s="3264">
        <f t="shared" si="146"/>
        <v>0</v>
      </c>
      <c r="BP281" s="3264">
        <f t="shared" si="147"/>
        <v>0</v>
      </c>
      <c r="BQ281" s="3264">
        <f t="shared" si="148"/>
        <v>0</v>
      </c>
      <c r="BR281" s="3264">
        <f t="shared" si="149"/>
        <v>0</v>
      </c>
      <c r="BS281" s="3264">
        <f t="shared" si="150"/>
        <v>0</v>
      </c>
      <c r="BT281" s="3317">
        <f t="shared" si="151"/>
        <v>0</v>
      </c>
    </row>
    <row r="282" spans="1:72">
      <c r="A282" s="3262"/>
      <c r="B282" s="3263"/>
      <c r="C282" s="3263"/>
      <c r="D282" s="3268"/>
      <c r="E282" s="3264">
        <f t="shared" si="123"/>
        <v>0</v>
      </c>
      <c r="F282" s="3265"/>
      <c r="G282" s="3266">
        <f t="shared" si="124"/>
        <v>0</v>
      </c>
      <c r="H282" s="3267">
        <f t="shared" si="125"/>
        <v>0</v>
      </c>
      <c r="I282" s="3275"/>
      <c r="J282" s="3275"/>
      <c r="K282" s="3275"/>
      <c r="L282" s="3275"/>
      <c r="M282" s="3275"/>
      <c r="N282" s="3275"/>
      <c r="O282" s="3275"/>
      <c r="P282" s="3275"/>
      <c r="Q282" s="3275"/>
      <c r="R282" s="3275"/>
      <c r="S282" s="3275"/>
      <c r="T282" s="3275"/>
      <c r="U282" s="3275"/>
      <c r="V282" s="3275"/>
      <c r="W282" s="3275"/>
      <c r="X282" s="3275"/>
      <c r="Y282" s="3275"/>
      <c r="Z282" s="3275"/>
      <c r="AA282" s="3275"/>
      <c r="AB282" s="3275"/>
      <c r="AC282" s="3264">
        <f t="shared" si="126"/>
        <v>0</v>
      </c>
      <c r="AD282" s="3285"/>
      <c r="AE282" s="3285"/>
      <c r="AF282" s="3285"/>
      <c r="AG282" s="3285"/>
      <c r="AH282" s="3285"/>
      <c r="AI282" s="3285"/>
      <c r="AJ282" s="3285"/>
      <c r="AK282" s="3285"/>
      <c r="AL282" s="3285"/>
      <c r="AM282" s="3285"/>
      <c r="AN282" s="3285"/>
      <c r="AO282" s="3285"/>
      <c r="AP282" s="3285"/>
      <c r="AQ282" s="3285"/>
      <c r="AR282" s="3285"/>
      <c r="AS282" s="3285"/>
      <c r="AT282" s="3295"/>
      <c r="AU282" s="3296"/>
      <c r="AV282" s="830">
        <f t="shared" si="127"/>
        <v>0</v>
      </c>
      <c r="AW282" s="830">
        <f t="shared" si="128"/>
        <v>0</v>
      </c>
      <c r="AX282" s="830">
        <f t="shared" si="129"/>
        <v>0</v>
      </c>
      <c r="AY282" s="3310">
        <f t="shared" si="130"/>
        <v>0</v>
      </c>
      <c r="AZ282" s="3264">
        <f t="shared" si="131"/>
        <v>0</v>
      </c>
      <c r="BA282" s="3264">
        <f t="shared" si="132"/>
        <v>0</v>
      </c>
      <c r="BB282" s="3264">
        <f t="shared" si="133"/>
        <v>0</v>
      </c>
      <c r="BC282" s="3264">
        <f t="shared" si="134"/>
        <v>0</v>
      </c>
      <c r="BD282" s="3264">
        <f t="shared" si="135"/>
        <v>0</v>
      </c>
      <c r="BE282" s="3264">
        <f t="shared" si="136"/>
        <v>0</v>
      </c>
      <c r="BF282" s="3264">
        <f t="shared" si="137"/>
        <v>0</v>
      </c>
      <c r="BG282" s="3264">
        <f t="shared" si="138"/>
        <v>0</v>
      </c>
      <c r="BH282" s="3264">
        <f t="shared" si="139"/>
        <v>0</v>
      </c>
      <c r="BI282" s="3264">
        <f t="shared" si="140"/>
        <v>0</v>
      </c>
      <c r="BJ282" s="3264">
        <f t="shared" si="141"/>
        <v>0</v>
      </c>
      <c r="BK282" s="3264">
        <f t="shared" si="142"/>
        <v>0</v>
      </c>
      <c r="BL282" s="3264">
        <f t="shared" si="143"/>
        <v>0</v>
      </c>
      <c r="BM282" s="3264">
        <f t="shared" si="144"/>
        <v>0</v>
      </c>
      <c r="BN282" s="3264">
        <f t="shared" si="145"/>
        <v>0</v>
      </c>
      <c r="BO282" s="3264">
        <f t="shared" si="146"/>
        <v>0</v>
      </c>
      <c r="BP282" s="3264">
        <f t="shared" si="147"/>
        <v>0</v>
      </c>
      <c r="BQ282" s="3264">
        <f t="shared" si="148"/>
        <v>0</v>
      </c>
      <c r="BR282" s="3264">
        <f t="shared" si="149"/>
        <v>0</v>
      </c>
      <c r="BS282" s="3264">
        <f t="shared" si="150"/>
        <v>0</v>
      </c>
      <c r="BT282" s="3317">
        <f t="shared" si="151"/>
        <v>0</v>
      </c>
    </row>
    <row r="283" spans="1:72">
      <c r="A283" s="3262"/>
      <c r="B283" s="3263"/>
      <c r="C283" s="3263"/>
      <c r="D283" s="3268"/>
      <c r="E283" s="3264">
        <f t="shared" si="123"/>
        <v>0</v>
      </c>
      <c r="F283" s="3265"/>
      <c r="G283" s="3266">
        <f t="shared" si="124"/>
        <v>0</v>
      </c>
      <c r="H283" s="3267">
        <f t="shared" si="125"/>
        <v>0</v>
      </c>
      <c r="I283" s="3275"/>
      <c r="J283" s="3275"/>
      <c r="K283" s="3275"/>
      <c r="L283" s="3275"/>
      <c r="M283" s="3275"/>
      <c r="N283" s="3275"/>
      <c r="O283" s="3275"/>
      <c r="P283" s="3275"/>
      <c r="Q283" s="3275"/>
      <c r="R283" s="3275"/>
      <c r="S283" s="3275"/>
      <c r="T283" s="3275"/>
      <c r="U283" s="3275"/>
      <c r="V283" s="3275"/>
      <c r="W283" s="3275"/>
      <c r="X283" s="3275"/>
      <c r="Y283" s="3275"/>
      <c r="Z283" s="3275"/>
      <c r="AA283" s="3275"/>
      <c r="AB283" s="3275"/>
      <c r="AC283" s="3264">
        <f t="shared" si="126"/>
        <v>0</v>
      </c>
      <c r="AD283" s="3285"/>
      <c r="AE283" s="3285"/>
      <c r="AF283" s="3285"/>
      <c r="AG283" s="3285"/>
      <c r="AH283" s="3285"/>
      <c r="AI283" s="3285"/>
      <c r="AJ283" s="3285"/>
      <c r="AK283" s="3285"/>
      <c r="AL283" s="3285"/>
      <c r="AM283" s="3285"/>
      <c r="AN283" s="3285"/>
      <c r="AO283" s="3285"/>
      <c r="AP283" s="3285"/>
      <c r="AQ283" s="3285"/>
      <c r="AR283" s="3285"/>
      <c r="AS283" s="3285"/>
      <c r="AT283" s="3295"/>
      <c r="AU283" s="3296"/>
      <c r="AV283" s="830">
        <f t="shared" si="127"/>
        <v>0</v>
      </c>
      <c r="AW283" s="830">
        <f t="shared" si="128"/>
        <v>0</v>
      </c>
      <c r="AX283" s="830">
        <f t="shared" si="129"/>
        <v>0</v>
      </c>
      <c r="AY283" s="3310">
        <f t="shared" si="130"/>
        <v>0</v>
      </c>
      <c r="AZ283" s="3264">
        <f t="shared" si="131"/>
        <v>0</v>
      </c>
      <c r="BA283" s="3264">
        <f t="shared" si="132"/>
        <v>0</v>
      </c>
      <c r="BB283" s="3264">
        <f t="shared" si="133"/>
        <v>0</v>
      </c>
      <c r="BC283" s="3264">
        <f t="shared" si="134"/>
        <v>0</v>
      </c>
      <c r="BD283" s="3264">
        <f t="shared" si="135"/>
        <v>0</v>
      </c>
      <c r="BE283" s="3264">
        <f t="shared" si="136"/>
        <v>0</v>
      </c>
      <c r="BF283" s="3264">
        <f t="shared" si="137"/>
        <v>0</v>
      </c>
      <c r="BG283" s="3264">
        <f t="shared" si="138"/>
        <v>0</v>
      </c>
      <c r="BH283" s="3264">
        <f t="shared" si="139"/>
        <v>0</v>
      </c>
      <c r="BI283" s="3264">
        <f t="shared" si="140"/>
        <v>0</v>
      </c>
      <c r="BJ283" s="3264">
        <f t="shared" si="141"/>
        <v>0</v>
      </c>
      <c r="BK283" s="3264">
        <f t="shared" si="142"/>
        <v>0</v>
      </c>
      <c r="BL283" s="3264">
        <f t="shared" si="143"/>
        <v>0</v>
      </c>
      <c r="BM283" s="3264">
        <f t="shared" si="144"/>
        <v>0</v>
      </c>
      <c r="BN283" s="3264">
        <f t="shared" si="145"/>
        <v>0</v>
      </c>
      <c r="BO283" s="3264">
        <f t="shared" si="146"/>
        <v>0</v>
      </c>
      <c r="BP283" s="3264">
        <f t="shared" si="147"/>
        <v>0</v>
      </c>
      <c r="BQ283" s="3264">
        <f t="shared" si="148"/>
        <v>0</v>
      </c>
      <c r="BR283" s="3264">
        <f t="shared" si="149"/>
        <v>0</v>
      </c>
      <c r="BS283" s="3264">
        <f t="shared" si="150"/>
        <v>0</v>
      </c>
      <c r="BT283" s="3317">
        <f t="shared" si="151"/>
        <v>0</v>
      </c>
    </row>
    <row r="284" spans="1:72">
      <c r="A284" s="3262"/>
      <c r="B284" s="3263"/>
      <c r="C284" s="3263"/>
      <c r="D284" s="3268"/>
      <c r="E284" s="3264">
        <f t="shared" si="123"/>
        <v>0</v>
      </c>
      <c r="F284" s="3265"/>
      <c r="G284" s="3266">
        <f t="shared" si="124"/>
        <v>0</v>
      </c>
      <c r="H284" s="3267">
        <f t="shared" si="125"/>
        <v>0</v>
      </c>
      <c r="I284" s="3275"/>
      <c r="J284" s="3275"/>
      <c r="K284" s="3275"/>
      <c r="L284" s="3275"/>
      <c r="M284" s="3275"/>
      <c r="N284" s="3275"/>
      <c r="O284" s="3275"/>
      <c r="P284" s="3275"/>
      <c r="Q284" s="3275"/>
      <c r="R284" s="3275"/>
      <c r="S284" s="3275"/>
      <c r="T284" s="3275"/>
      <c r="U284" s="3275"/>
      <c r="V284" s="3275"/>
      <c r="W284" s="3275"/>
      <c r="X284" s="3275"/>
      <c r="Y284" s="3275"/>
      <c r="Z284" s="3275"/>
      <c r="AA284" s="3275"/>
      <c r="AB284" s="3275"/>
      <c r="AC284" s="3264">
        <f t="shared" si="126"/>
        <v>0</v>
      </c>
      <c r="AD284" s="3285"/>
      <c r="AE284" s="3285"/>
      <c r="AF284" s="3285"/>
      <c r="AG284" s="3285"/>
      <c r="AH284" s="3285"/>
      <c r="AI284" s="3285"/>
      <c r="AJ284" s="3285"/>
      <c r="AK284" s="3285"/>
      <c r="AL284" s="3285"/>
      <c r="AM284" s="3285"/>
      <c r="AN284" s="3285"/>
      <c r="AO284" s="3285"/>
      <c r="AP284" s="3285"/>
      <c r="AQ284" s="3285"/>
      <c r="AR284" s="3285"/>
      <c r="AS284" s="3285"/>
      <c r="AT284" s="3295"/>
      <c r="AU284" s="3296"/>
      <c r="AV284" s="830">
        <f t="shared" si="127"/>
        <v>0</v>
      </c>
      <c r="AW284" s="830">
        <f t="shared" si="128"/>
        <v>0</v>
      </c>
      <c r="AX284" s="830">
        <f t="shared" si="129"/>
        <v>0</v>
      </c>
      <c r="AY284" s="3310">
        <f t="shared" si="130"/>
        <v>0</v>
      </c>
      <c r="AZ284" s="3264">
        <f t="shared" si="131"/>
        <v>0</v>
      </c>
      <c r="BA284" s="3264">
        <f t="shared" si="132"/>
        <v>0</v>
      </c>
      <c r="BB284" s="3264">
        <f t="shared" si="133"/>
        <v>0</v>
      </c>
      <c r="BC284" s="3264">
        <f t="shared" si="134"/>
        <v>0</v>
      </c>
      <c r="BD284" s="3264">
        <f t="shared" si="135"/>
        <v>0</v>
      </c>
      <c r="BE284" s="3264">
        <f t="shared" si="136"/>
        <v>0</v>
      </c>
      <c r="BF284" s="3264">
        <f t="shared" si="137"/>
        <v>0</v>
      </c>
      <c r="BG284" s="3264">
        <f t="shared" si="138"/>
        <v>0</v>
      </c>
      <c r="BH284" s="3264">
        <f t="shared" si="139"/>
        <v>0</v>
      </c>
      <c r="BI284" s="3264">
        <f t="shared" si="140"/>
        <v>0</v>
      </c>
      <c r="BJ284" s="3264">
        <f t="shared" si="141"/>
        <v>0</v>
      </c>
      <c r="BK284" s="3264">
        <f t="shared" si="142"/>
        <v>0</v>
      </c>
      <c r="BL284" s="3264">
        <f t="shared" si="143"/>
        <v>0</v>
      </c>
      <c r="BM284" s="3264">
        <f t="shared" si="144"/>
        <v>0</v>
      </c>
      <c r="BN284" s="3264">
        <f t="shared" si="145"/>
        <v>0</v>
      </c>
      <c r="BO284" s="3264">
        <f t="shared" si="146"/>
        <v>0</v>
      </c>
      <c r="BP284" s="3264">
        <f t="shared" si="147"/>
        <v>0</v>
      </c>
      <c r="BQ284" s="3264">
        <f t="shared" si="148"/>
        <v>0</v>
      </c>
      <c r="BR284" s="3264">
        <f t="shared" si="149"/>
        <v>0</v>
      </c>
      <c r="BS284" s="3264">
        <f t="shared" si="150"/>
        <v>0</v>
      </c>
      <c r="BT284" s="3317">
        <f t="shared" si="151"/>
        <v>0</v>
      </c>
    </row>
    <row r="285" spans="1:72">
      <c r="A285" s="3262"/>
      <c r="B285" s="3263"/>
      <c r="C285" s="3263"/>
      <c r="D285" s="3268"/>
      <c r="E285" s="3264">
        <f t="shared" si="123"/>
        <v>0</v>
      </c>
      <c r="F285" s="3265"/>
      <c r="G285" s="3266">
        <f t="shared" si="124"/>
        <v>0</v>
      </c>
      <c r="H285" s="3267">
        <f t="shared" si="125"/>
        <v>0</v>
      </c>
      <c r="I285" s="3275"/>
      <c r="J285" s="3275"/>
      <c r="K285" s="3275"/>
      <c r="L285" s="3275"/>
      <c r="M285" s="3275"/>
      <c r="N285" s="3275"/>
      <c r="O285" s="3275"/>
      <c r="P285" s="3275"/>
      <c r="Q285" s="3275"/>
      <c r="R285" s="3275"/>
      <c r="S285" s="3275"/>
      <c r="T285" s="3275"/>
      <c r="U285" s="3275"/>
      <c r="V285" s="3275"/>
      <c r="W285" s="3275"/>
      <c r="X285" s="3275"/>
      <c r="Y285" s="3275"/>
      <c r="Z285" s="3275"/>
      <c r="AA285" s="3275"/>
      <c r="AB285" s="3275"/>
      <c r="AC285" s="3264">
        <f t="shared" si="126"/>
        <v>0</v>
      </c>
      <c r="AD285" s="3285"/>
      <c r="AE285" s="3285"/>
      <c r="AF285" s="3285"/>
      <c r="AG285" s="3285"/>
      <c r="AH285" s="3285"/>
      <c r="AI285" s="3285"/>
      <c r="AJ285" s="3285"/>
      <c r="AK285" s="3285"/>
      <c r="AL285" s="3285"/>
      <c r="AM285" s="3285"/>
      <c r="AN285" s="3285"/>
      <c r="AO285" s="3285"/>
      <c r="AP285" s="3285"/>
      <c r="AQ285" s="3285"/>
      <c r="AR285" s="3285"/>
      <c r="AS285" s="3285"/>
      <c r="AT285" s="3295"/>
      <c r="AU285" s="3296"/>
      <c r="AV285" s="830">
        <f t="shared" si="127"/>
        <v>0</v>
      </c>
      <c r="AW285" s="830">
        <f t="shared" si="128"/>
        <v>0</v>
      </c>
      <c r="AX285" s="830">
        <f t="shared" si="129"/>
        <v>0</v>
      </c>
      <c r="AY285" s="3310">
        <f t="shared" si="130"/>
        <v>0</v>
      </c>
      <c r="AZ285" s="3264">
        <f t="shared" si="131"/>
        <v>0</v>
      </c>
      <c r="BA285" s="3264">
        <f t="shared" si="132"/>
        <v>0</v>
      </c>
      <c r="BB285" s="3264">
        <f t="shared" si="133"/>
        <v>0</v>
      </c>
      <c r="BC285" s="3264">
        <f t="shared" si="134"/>
        <v>0</v>
      </c>
      <c r="BD285" s="3264">
        <f t="shared" si="135"/>
        <v>0</v>
      </c>
      <c r="BE285" s="3264">
        <f t="shared" si="136"/>
        <v>0</v>
      </c>
      <c r="BF285" s="3264">
        <f t="shared" si="137"/>
        <v>0</v>
      </c>
      <c r="BG285" s="3264">
        <f t="shared" si="138"/>
        <v>0</v>
      </c>
      <c r="BH285" s="3264">
        <f t="shared" si="139"/>
        <v>0</v>
      </c>
      <c r="BI285" s="3264">
        <f t="shared" si="140"/>
        <v>0</v>
      </c>
      <c r="BJ285" s="3264">
        <f t="shared" si="141"/>
        <v>0</v>
      </c>
      <c r="BK285" s="3264">
        <f t="shared" si="142"/>
        <v>0</v>
      </c>
      <c r="BL285" s="3264">
        <f t="shared" si="143"/>
        <v>0</v>
      </c>
      <c r="BM285" s="3264">
        <f t="shared" si="144"/>
        <v>0</v>
      </c>
      <c r="BN285" s="3264">
        <f t="shared" si="145"/>
        <v>0</v>
      </c>
      <c r="BO285" s="3264">
        <f t="shared" si="146"/>
        <v>0</v>
      </c>
      <c r="BP285" s="3264">
        <f t="shared" si="147"/>
        <v>0</v>
      </c>
      <c r="BQ285" s="3264">
        <f t="shared" si="148"/>
        <v>0</v>
      </c>
      <c r="BR285" s="3264">
        <f t="shared" si="149"/>
        <v>0</v>
      </c>
      <c r="BS285" s="3264">
        <f t="shared" si="150"/>
        <v>0</v>
      </c>
      <c r="BT285" s="3317">
        <f t="shared" si="151"/>
        <v>0</v>
      </c>
    </row>
    <row r="286" spans="1:72">
      <c r="A286" s="3262"/>
      <c r="B286" s="3263"/>
      <c r="C286" s="3263"/>
      <c r="D286" s="3268"/>
      <c r="E286" s="3264">
        <f t="shared" si="123"/>
        <v>0</v>
      </c>
      <c r="F286" s="3265"/>
      <c r="G286" s="3266">
        <f t="shared" si="124"/>
        <v>0</v>
      </c>
      <c r="H286" s="3267">
        <f t="shared" si="125"/>
        <v>0</v>
      </c>
      <c r="I286" s="3275"/>
      <c r="J286" s="3275"/>
      <c r="K286" s="3275"/>
      <c r="L286" s="3275"/>
      <c r="M286" s="3275"/>
      <c r="N286" s="3275"/>
      <c r="O286" s="3275"/>
      <c r="P286" s="3275"/>
      <c r="Q286" s="3275"/>
      <c r="R286" s="3275"/>
      <c r="S286" s="3275"/>
      <c r="T286" s="3275"/>
      <c r="U286" s="3275"/>
      <c r="V286" s="3275"/>
      <c r="W286" s="3275"/>
      <c r="X286" s="3275"/>
      <c r="Y286" s="3275"/>
      <c r="Z286" s="3275"/>
      <c r="AA286" s="3275"/>
      <c r="AB286" s="3275"/>
      <c r="AC286" s="3264">
        <f t="shared" si="126"/>
        <v>0</v>
      </c>
      <c r="AD286" s="3285"/>
      <c r="AE286" s="3285"/>
      <c r="AF286" s="3285"/>
      <c r="AG286" s="3285"/>
      <c r="AH286" s="3285"/>
      <c r="AI286" s="3285"/>
      <c r="AJ286" s="3285"/>
      <c r="AK286" s="3285"/>
      <c r="AL286" s="3285"/>
      <c r="AM286" s="3285"/>
      <c r="AN286" s="3285"/>
      <c r="AO286" s="3285"/>
      <c r="AP286" s="3285"/>
      <c r="AQ286" s="3285"/>
      <c r="AR286" s="3285"/>
      <c r="AS286" s="3285"/>
      <c r="AT286" s="3295"/>
      <c r="AU286" s="3296"/>
      <c r="AV286" s="830">
        <f t="shared" si="127"/>
        <v>0</v>
      </c>
      <c r="AW286" s="830">
        <f t="shared" si="128"/>
        <v>0</v>
      </c>
      <c r="AX286" s="830">
        <f t="shared" si="129"/>
        <v>0</v>
      </c>
      <c r="AY286" s="3310">
        <f t="shared" si="130"/>
        <v>0</v>
      </c>
      <c r="AZ286" s="3264">
        <f t="shared" si="131"/>
        <v>0</v>
      </c>
      <c r="BA286" s="3264">
        <f t="shared" si="132"/>
        <v>0</v>
      </c>
      <c r="BB286" s="3264">
        <f t="shared" si="133"/>
        <v>0</v>
      </c>
      <c r="BC286" s="3264">
        <f t="shared" si="134"/>
        <v>0</v>
      </c>
      <c r="BD286" s="3264">
        <f t="shared" si="135"/>
        <v>0</v>
      </c>
      <c r="BE286" s="3264">
        <f t="shared" si="136"/>
        <v>0</v>
      </c>
      <c r="BF286" s="3264">
        <f t="shared" si="137"/>
        <v>0</v>
      </c>
      <c r="BG286" s="3264">
        <f t="shared" si="138"/>
        <v>0</v>
      </c>
      <c r="BH286" s="3264">
        <f t="shared" si="139"/>
        <v>0</v>
      </c>
      <c r="BI286" s="3264">
        <f t="shared" si="140"/>
        <v>0</v>
      </c>
      <c r="BJ286" s="3264">
        <f t="shared" si="141"/>
        <v>0</v>
      </c>
      <c r="BK286" s="3264">
        <f t="shared" si="142"/>
        <v>0</v>
      </c>
      <c r="BL286" s="3264">
        <f t="shared" si="143"/>
        <v>0</v>
      </c>
      <c r="BM286" s="3264">
        <f t="shared" si="144"/>
        <v>0</v>
      </c>
      <c r="BN286" s="3264">
        <f t="shared" si="145"/>
        <v>0</v>
      </c>
      <c r="BO286" s="3264">
        <f t="shared" si="146"/>
        <v>0</v>
      </c>
      <c r="BP286" s="3264">
        <f t="shared" si="147"/>
        <v>0</v>
      </c>
      <c r="BQ286" s="3264">
        <f t="shared" si="148"/>
        <v>0</v>
      </c>
      <c r="BR286" s="3264">
        <f t="shared" si="149"/>
        <v>0</v>
      </c>
      <c r="BS286" s="3264">
        <f t="shared" si="150"/>
        <v>0</v>
      </c>
      <c r="BT286" s="3317">
        <f t="shared" si="151"/>
        <v>0</v>
      </c>
    </row>
    <row r="287" spans="1:72">
      <c r="A287" s="3262"/>
      <c r="B287" s="3263"/>
      <c r="C287" s="3263"/>
      <c r="D287" s="3268"/>
      <c r="E287" s="3264">
        <f t="shared" si="123"/>
        <v>0</v>
      </c>
      <c r="F287" s="3265"/>
      <c r="G287" s="3266">
        <f t="shared" si="124"/>
        <v>0</v>
      </c>
      <c r="H287" s="3267">
        <f t="shared" si="125"/>
        <v>0</v>
      </c>
      <c r="I287" s="3275"/>
      <c r="J287" s="3275"/>
      <c r="K287" s="3275"/>
      <c r="L287" s="3275"/>
      <c r="M287" s="3275"/>
      <c r="N287" s="3275"/>
      <c r="O287" s="3275"/>
      <c r="P287" s="3275"/>
      <c r="Q287" s="3275"/>
      <c r="R287" s="3275"/>
      <c r="S287" s="3275"/>
      <c r="T287" s="3275"/>
      <c r="U287" s="3275"/>
      <c r="V287" s="3275"/>
      <c r="W287" s="3275"/>
      <c r="X287" s="3275"/>
      <c r="Y287" s="3275"/>
      <c r="Z287" s="3275"/>
      <c r="AA287" s="3275"/>
      <c r="AB287" s="3275"/>
      <c r="AC287" s="3264">
        <f t="shared" si="126"/>
        <v>0</v>
      </c>
      <c r="AD287" s="3285"/>
      <c r="AE287" s="3285"/>
      <c r="AF287" s="3285"/>
      <c r="AG287" s="3285"/>
      <c r="AH287" s="3285"/>
      <c r="AI287" s="3285"/>
      <c r="AJ287" s="3285"/>
      <c r="AK287" s="3285"/>
      <c r="AL287" s="3285"/>
      <c r="AM287" s="3285"/>
      <c r="AN287" s="3285"/>
      <c r="AO287" s="3285"/>
      <c r="AP287" s="3285"/>
      <c r="AQ287" s="3285"/>
      <c r="AR287" s="3285"/>
      <c r="AS287" s="3285"/>
      <c r="AT287" s="3295"/>
      <c r="AU287" s="3296"/>
      <c r="AV287" s="830">
        <f t="shared" si="127"/>
        <v>0</v>
      </c>
      <c r="AW287" s="830">
        <f t="shared" si="128"/>
        <v>0</v>
      </c>
      <c r="AX287" s="830">
        <f t="shared" si="129"/>
        <v>0</v>
      </c>
      <c r="AY287" s="3310">
        <f t="shared" si="130"/>
        <v>0</v>
      </c>
      <c r="AZ287" s="3264">
        <f t="shared" si="131"/>
        <v>0</v>
      </c>
      <c r="BA287" s="3264">
        <f t="shared" si="132"/>
        <v>0</v>
      </c>
      <c r="BB287" s="3264">
        <f t="shared" si="133"/>
        <v>0</v>
      </c>
      <c r="BC287" s="3264">
        <f t="shared" si="134"/>
        <v>0</v>
      </c>
      <c r="BD287" s="3264">
        <f t="shared" si="135"/>
        <v>0</v>
      </c>
      <c r="BE287" s="3264">
        <f t="shared" si="136"/>
        <v>0</v>
      </c>
      <c r="BF287" s="3264">
        <f t="shared" si="137"/>
        <v>0</v>
      </c>
      <c r="BG287" s="3264">
        <f t="shared" si="138"/>
        <v>0</v>
      </c>
      <c r="BH287" s="3264">
        <f t="shared" si="139"/>
        <v>0</v>
      </c>
      <c r="BI287" s="3264">
        <f t="shared" si="140"/>
        <v>0</v>
      </c>
      <c r="BJ287" s="3264">
        <f t="shared" si="141"/>
        <v>0</v>
      </c>
      <c r="BK287" s="3264">
        <f t="shared" si="142"/>
        <v>0</v>
      </c>
      <c r="BL287" s="3264">
        <f t="shared" si="143"/>
        <v>0</v>
      </c>
      <c r="BM287" s="3264">
        <f t="shared" si="144"/>
        <v>0</v>
      </c>
      <c r="BN287" s="3264">
        <f t="shared" si="145"/>
        <v>0</v>
      </c>
      <c r="BO287" s="3264">
        <f t="shared" si="146"/>
        <v>0</v>
      </c>
      <c r="BP287" s="3264">
        <f t="shared" si="147"/>
        <v>0</v>
      </c>
      <c r="BQ287" s="3264">
        <f t="shared" si="148"/>
        <v>0</v>
      </c>
      <c r="BR287" s="3264">
        <f t="shared" si="149"/>
        <v>0</v>
      </c>
      <c r="BS287" s="3264">
        <f t="shared" si="150"/>
        <v>0</v>
      </c>
      <c r="BT287" s="3317">
        <f t="shared" si="151"/>
        <v>0</v>
      </c>
    </row>
    <row r="288" spans="1:72">
      <c r="A288" s="3262"/>
      <c r="B288" s="3263"/>
      <c r="C288" s="3263"/>
      <c r="D288" s="3268"/>
      <c r="E288" s="3264">
        <f t="shared" si="123"/>
        <v>0</v>
      </c>
      <c r="F288" s="3265"/>
      <c r="G288" s="3266">
        <f t="shared" si="124"/>
        <v>0</v>
      </c>
      <c r="H288" s="3267">
        <f t="shared" si="125"/>
        <v>0</v>
      </c>
      <c r="I288" s="3275"/>
      <c r="J288" s="3275"/>
      <c r="K288" s="3275"/>
      <c r="L288" s="3275"/>
      <c r="M288" s="3275"/>
      <c r="N288" s="3275"/>
      <c r="O288" s="3275"/>
      <c r="P288" s="3275"/>
      <c r="Q288" s="3275"/>
      <c r="R288" s="3275"/>
      <c r="S288" s="3275"/>
      <c r="T288" s="3275"/>
      <c r="U288" s="3275"/>
      <c r="V288" s="3275"/>
      <c r="W288" s="3275"/>
      <c r="X288" s="3275"/>
      <c r="Y288" s="3275"/>
      <c r="Z288" s="3275"/>
      <c r="AA288" s="3275"/>
      <c r="AB288" s="3275"/>
      <c r="AC288" s="3264">
        <f t="shared" si="126"/>
        <v>0</v>
      </c>
      <c r="AD288" s="3285"/>
      <c r="AE288" s="3285"/>
      <c r="AF288" s="3285"/>
      <c r="AG288" s="3285"/>
      <c r="AH288" s="3285"/>
      <c r="AI288" s="3285"/>
      <c r="AJ288" s="3285"/>
      <c r="AK288" s="3285"/>
      <c r="AL288" s="3285"/>
      <c r="AM288" s="3285"/>
      <c r="AN288" s="3285"/>
      <c r="AO288" s="3285"/>
      <c r="AP288" s="3285"/>
      <c r="AQ288" s="3285"/>
      <c r="AR288" s="3285"/>
      <c r="AS288" s="3285"/>
      <c r="AT288" s="3295"/>
      <c r="AU288" s="3296"/>
      <c r="AV288" s="830">
        <f t="shared" si="127"/>
        <v>0</v>
      </c>
      <c r="AW288" s="830">
        <f t="shared" si="128"/>
        <v>0</v>
      </c>
      <c r="AX288" s="830">
        <f t="shared" si="129"/>
        <v>0</v>
      </c>
      <c r="AY288" s="3310">
        <f t="shared" si="130"/>
        <v>0</v>
      </c>
      <c r="AZ288" s="3264">
        <f t="shared" si="131"/>
        <v>0</v>
      </c>
      <c r="BA288" s="3264">
        <f t="shared" si="132"/>
        <v>0</v>
      </c>
      <c r="BB288" s="3264">
        <f t="shared" si="133"/>
        <v>0</v>
      </c>
      <c r="BC288" s="3264">
        <f t="shared" si="134"/>
        <v>0</v>
      </c>
      <c r="BD288" s="3264">
        <f t="shared" si="135"/>
        <v>0</v>
      </c>
      <c r="BE288" s="3264">
        <f t="shared" si="136"/>
        <v>0</v>
      </c>
      <c r="BF288" s="3264">
        <f t="shared" si="137"/>
        <v>0</v>
      </c>
      <c r="BG288" s="3264">
        <f t="shared" si="138"/>
        <v>0</v>
      </c>
      <c r="BH288" s="3264">
        <f t="shared" si="139"/>
        <v>0</v>
      </c>
      <c r="BI288" s="3264">
        <f t="shared" si="140"/>
        <v>0</v>
      </c>
      <c r="BJ288" s="3264">
        <f t="shared" si="141"/>
        <v>0</v>
      </c>
      <c r="BK288" s="3264">
        <f t="shared" si="142"/>
        <v>0</v>
      </c>
      <c r="BL288" s="3264">
        <f t="shared" si="143"/>
        <v>0</v>
      </c>
      <c r="BM288" s="3264">
        <f t="shared" si="144"/>
        <v>0</v>
      </c>
      <c r="BN288" s="3264">
        <f t="shared" si="145"/>
        <v>0</v>
      </c>
      <c r="BO288" s="3264">
        <f t="shared" si="146"/>
        <v>0</v>
      </c>
      <c r="BP288" s="3264">
        <f t="shared" si="147"/>
        <v>0</v>
      </c>
      <c r="BQ288" s="3264">
        <f t="shared" si="148"/>
        <v>0</v>
      </c>
      <c r="BR288" s="3264">
        <f t="shared" si="149"/>
        <v>0</v>
      </c>
      <c r="BS288" s="3264">
        <f t="shared" si="150"/>
        <v>0</v>
      </c>
      <c r="BT288" s="3317">
        <f t="shared" si="151"/>
        <v>0</v>
      </c>
    </row>
    <row r="289" spans="1:72">
      <c r="A289" s="3262"/>
      <c r="B289" s="3263"/>
      <c r="C289" s="3263"/>
      <c r="D289" s="3268"/>
      <c r="E289" s="3264">
        <f t="shared" si="123"/>
        <v>0</v>
      </c>
      <c r="F289" s="3265"/>
      <c r="G289" s="3266">
        <f t="shared" si="124"/>
        <v>0</v>
      </c>
      <c r="H289" s="3267">
        <f t="shared" si="125"/>
        <v>0</v>
      </c>
      <c r="I289" s="3275"/>
      <c r="J289" s="3275"/>
      <c r="K289" s="3275"/>
      <c r="L289" s="3275"/>
      <c r="M289" s="3275"/>
      <c r="N289" s="3275"/>
      <c r="O289" s="3275"/>
      <c r="P289" s="3275"/>
      <c r="Q289" s="3275"/>
      <c r="R289" s="3275"/>
      <c r="S289" s="3275"/>
      <c r="T289" s="3275"/>
      <c r="U289" s="3275"/>
      <c r="V289" s="3275"/>
      <c r="W289" s="3275"/>
      <c r="X289" s="3275"/>
      <c r="Y289" s="3275"/>
      <c r="Z289" s="3275"/>
      <c r="AA289" s="3275"/>
      <c r="AB289" s="3275"/>
      <c r="AC289" s="3264">
        <f t="shared" si="126"/>
        <v>0</v>
      </c>
      <c r="AD289" s="3285"/>
      <c r="AE289" s="3285"/>
      <c r="AF289" s="3285"/>
      <c r="AG289" s="3285"/>
      <c r="AH289" s="3285"/>
      <c r="AI289" s="3285"/>
      <c r="AJ289" s="3285"/>
      <c r="AK289" s="3285"/>
      <c r="AL289" s="3285"/>
      <c r="AM289" s="3285"/>
      <c r="AN289" s="3285"/>
      <c r="AO289" s="3285"/>
      <c r="AP289" s="3285"/>
      <c r="AQ289" s="3285"/>
      <c r="AR289" s="3285"/>
      <c r="AS289" s="3285"/>
      <c r="AT289" s="3295"/>
      <c r="AU289" s="3296"/>
      <c r="AV289" s="830">
        <f t="shared" si="127"/>
        <v>0</v>
      </c>
      <c r="AW289" s="830">
        <f t="shared" si="128"/>
        <v>0</v>
      </c>
      <c r="AX289" s="830">
        <f t="shared" si="129"/>
        <v>0</v>
      </c>
      <c r="AY289" s="3310">
        <f t="shared" si="130"/>
        <v>0</v>
      </c>
      <c r="AZ289" s="3264">
        <f t="shared" si="131"/>
        <v>0</v>
      </c>
      <c r="BA289" s="3264">
        <f t="shared" si="132"/>
        <v>0</v>
      </c>
      <c r="BB289" s="3264">
        <f t="shared" si="133"/>
        <v>0</v>
      </c>
      <c r="BC289" s="3264">
        <f t="shared" si="134"/>
        <v>0</v>
      </c>
      <c r="BD289" s="3264">
        <f t="shared" si="135"/>
        <v>0</v>
      </c>
      <c r="BE289" s="3264">
        <f t="shared" si="136"/>
        <v>0</v>
      </c>
      <c r="BF289" s="3264">
        <f t="shared" si="137"/>
        <v>0</v>
      </c>
      <c r="BG289" s="3264">
        <f t="shared" si="138"/>
        <v>0</v>
      </c>
      <c r="BH289" s="3264">
        <f t="shared" si="139"/>
        <v>0</v>
      </c>
      <c r="BI289" s="3264">
        <f t="shared" si="140"/>
        <v>0</v>
      </c>
      <c r="BJ289" s="3264">
        <f t="shared" si="141"/>
        <v>0</v>
      </c>
      <c r="BK289" s="3264">
        <f t="shared" si="142"/>
        <v>0</v>
      </c>
      <c r="BL289" s="3264">
        <f t="shared" si="143"/>
        <v>0</v>
      </c>
      <c r="BM289" s="3264">
        <f t="shared" si="144"/>
        <v>0</v>
      </c>
      <c r="BN289" s="3264">
        <f t="shared" si="145"/>
        <v>0</v>
      </c>
      <c r="BO289" s="3264">
        <f t="shared" si="146"/>
        <v>0</v>
      </c>
      <c r="BP289" s="3264">
        <f t="shared" si="147"/>
        <v>0</v>
      </c>
      <c r="BQ289" s="3264">
        <f t="shared" si="148"/>
        <v>0</v>
      </c>
      <c r="BR289" s="3264">
        <f t="shared" si="149"/>
        <v>0</v>
      </c>
      <c r="BS289" s="3264">
        <f t="shared" si="150"/>
        <v>0</v>
      </c>
      <c r="BT289" s="3317">
        <f t="shared" si="151"/>
        <v>0</v>
      </c>
    </row>
    <row r="290" spans="1:72">
      <c r="A290" s="3262"/>
      <c r="B290" s="3263"/>
      <c r="C290" s="3263"/>
      <c r="D290" s="3268"/>
      <c r="E290" s="3264">
        <f t="shared" si="123"/>
        <v>0</v>
      </c>
      <c r="F290" s="3265"/>
      <c r="G290" s="3266">
        <f t="shared" si="124"/>
        <v>0</v>
      </c>
      <c r="H290" s="3267">
        <f t="shared" si="125"/>
        <v>0</v>
      </c>
      <c r="I290" s="3275"/>
      <c r="J290" s="3275"/>
      <c r="K290" s="3275"/>
      <c r="L290" s="3275"/>
      <c r="M290" s="3275"/>
      <c r="N290" s="3275"/>
      <c r="O290" s="3275"/>
      <c r="P290" s="3275"/>
      <c r="Q290" s="3275"/>
      <c r="R290" s="3275"/>
      <c r="S290" s="3275"/>
      <c r="T290" s="3275"/>
      <c r="U290" s="3275"/>
      <c r="V290" s="3275"/>
      <c r="W290" s="3275"/>
      <c r="X290" s="3275"/>
      <c r="Y290" s="3275"/>
      <c r="Z290" s="3275"/>
      <c r="AA290" s="3275"/>
      <c r="AB290" s="3275"/>
      <c r="AC290" s="3264">
        <f t="shared" si="126"/>
        <v>0</v>
      </c>
      <c r="AD290" s="3285"/>
      <c r="AE290" s="3285"/>
      <c r="AF290" s="3285"/>
      <c r="AG290" s="3285"/>
      <c r="AH290" s="3285"/>
      <c r="AI290" s="3285"/>
      <c r="AJ290" s="3285"/>
      <c r="AK290" s="3285"/>
      <c r="AL290" s="3285"/>
      <c r="AM290" s="3285"/>
      <c r="AN290" s="3285"/>
      <c r="AO290" s="3285"/>
      <c r="AP290" s="3285"/>
      <c r="AQ290" s="3285"/>
      <c r="AR290" s="3285"/>
      <c r="AS290" s="3285"/>
      <c r="AT290" s="3295"/>
      <c r="AU290" s="3296"/>
      <c r="AV290" s="830">
        <f t="shared" si="127"/>
        <v>0</v>
      </c>
      <c r="AW290" s="830">
        <f t="shared" si="128"/>
        <v>0</v>
      </c>
      <c r="AX290" s="830">
        <f t="shared" si="129"/>
        <v>0</v>
      </c>
      <c r="AY290" s="3310">
        <f t="shared" si="130"/>
        <v>0</v>
      </c>
      <c r="AZ290" s="3264">
        <f t="shared" si="131"/>
        <v>0</v>
      </c>
      <c r="BA290" s="3264">
        <f t="shared" si="132"/>
        <v>0</v>
      </c>
      <c r="BB290" s="3264">
        <f t="shared" si="133"/>
        <v>0</v>
      </c>
      <c r="BC290" s="3264">
        <f t="shared" si="134"/>
        <v>0</v>
      </c>
      <c r="BD290" s="3264">
        <f t="shared" si="135"/>
        <v>0</v>
      </c>
      <c r="BE290" s="3264">
        <f t="shared" si="136"/>
        <v>0</v>
      </c>
      <c r="BF290" s="3264">
        <f t="shared" si="137"/>
        <v>0</v>
      </c>
      <c r="BG290" s="3264">
        <f t="shared" si="138"/>
        <v>0</v>
      </c>
      <c r="BH290" s="3264">
        <f t="shared" si="139"/>
        <v>0</v>
      </c>
      <c r="BI290" s="3264">
        <f t="shared" si="140"/>
        <v>0</v>
      </c>
      <c r="BJ290" s="3264">
        <f t="shared" si="141"/>
        <v>0</v>
      </c>
      <c r="BK290" s="3264">
        <f t="shared" si="142"/>
        <v>0</v>
      </c>
      <c r="BL290" s="3264">
        <f t="shared" si="143"/>
        <v>0</v>
      </c>
      <c r="BM290" s="3264">
        <f t="shared" si="144"/>
        <v>0</v>
      </c>
      <c r="BN290" s="3264">
        <f t="shared" si="145"/>
        <v>0</v>
      </c>
      <c r="BO290" s="3264">
        <f t="shared" si="146"/>
        <v>0</v>
      </c>
      <c r="BP290" s="3264">
        <f t="shared" si="147"/>
        <v>0</v>
      </c>
      <c r="BQ290" s="3264">
        <f t="shared" si="148"/>
        <v>0</v>
      </c>
      <c r="BR290" s="3264">
        <f t="shared" si="149"/>
        <v>0</v>
      </c>
      <c r="BS290" s="3264">
        <f t="shared" si="150"/>
        <v>0</v>
      </c>
      <c r="BT290" s="3317">
        <f t="shared" si="151"/>
        <v>0</v>
      </c>
    </row>
    <row r="291" spans="1:72">
      <c r="A291" s="3262"/>
      <c r="B291" s="3263"/>
      <c r="C291" s="3263"/>
      <c r="D291" s="3268"/>
      <c r="E291" s="3264">
        <f t="shared" si="123"/>
        <v>0</v>
      </c>
      <c r="F291" s="3265"/>
      <c r="G291" s="3266">
        <f t="shared" si="124"/>
        <v>0</v>
      </c>
      <c r="H291" s="3267">
        <f t="shared" si="125"/>
        <v>0</v>
      </c>
      <c r="I291" s="3275"/>
      <c r="J291" s="3275"/>
      <c r="K291" s="3275"/>
      <c r="L291" s="3275"/>
      <c r="M291" s="3275"/>
      <c r="N291" s="3275"/>
      <c r="O291" s="3275"/>
      <c r="P291" s="3275"/>
      <c r="Q291" s="3275"/>
      <c r="R291" s="3275"/>
      <c r="S291" s="3275"/>
      <c r="T291" s="3275"/>
      <c r="U291" s="3275"/>
      <c r="V291" s="3275"/>
      <c r="W291" s="3275"/>
      <c r="X291" s="3275"/>
      <c r="Y291" s="3275"/>
      <c r="Z291" s="3275"/>
      <c r="AA291" s="3275"/>
      <c r="AB291" s="3275"/>
      <c r="AC291" s="3264">
        <f t="shared" si="126"/>
        <v>0</v>
      </c>
      <c r="AD291" s="3285"/>
      <c r="AE291" s="3285"/>
      <c r="AF291" s="3285"/>
      <c r="AG291" s="3285"/>
      <c r="AH291" s="3285"/>
      <c r="AI291" s="3285"/>
      <c r="AJ291" s="3285"/>
      <c r="AK291" s="3285"/>
      <c r="AL291" s="3285"/>
      <c r="AM291" s="3285"/>
      <c r="AN291" s="3285"/>
      <c r="AO291" s="3285"/>
      <c r="AP291" s="3285"/>
      <c r="AQ291" s="3285"/>
      <c r="AR291" s="3285"/>
      <c r="AS291" s="3285"/>
      <c r="AT291" s="3295"/>
      <c r="AU291" s="3296"/>
      <c r="AV291" s="830">
        <f t="shared" si="127"/>
        <v>0</v>
      </c>
      <c r="AW291" s="830">
        <f t="shared" si="128"/>
        <v>0</v>
      </c>
      <c r="AX291" s="830">
        <f t="shared" si="129"/>
        <v>0</v>
      </c>
      <c r="AY291" s="3310">
        <f t="shared" si="130"/>
        <v>0</v>
      </c>
      <c r="AZ291" s="3264">
        <f t="shared" si="131"/>
        <v>0</v>
      </c>
      <c r="BA291" s="3264">
        <f t="shared" si="132"/>
        <v>0</v>
      </c>
      <c r="BB291" s="3264">
        <f t="shared" si="133"/>
        <v>0</v>
      </c>
      <c r="BC291" s="3264">
        <f t="shared" si="134"/>
        <v>0</v>
      </c>
      <c r="BD291" s="3264">
        <f t="shared" si="135"/>
        <v>0</v>
      </c>
      <c r="BE291" s="3264">
        <f t="shared" si="136"/>
        <v>0</v>
      </c>
      <c r="BF291" s="3264">
        <f t="shared" si="137"/>
        <v>0</v>
      </c>
      <c r="BG291" s="3264">
        <f t="shared" si="138"/>
        <v>0</v>
      </c>
      <c r="BH291" s="3264">
        <f t="shared" si="139"/>
        <v>0</v>
      </c>
      <c r="BI291" s="3264">
        <f t="shared" si="140"/>
        <v>0</v>
      </c>
      <c r="BJ291" s="3264">
        <f t="shared" si="141"/>
        <v>0</v>
      </c>
      <c r="BK291" s="3264">
        <f t="shared" si="142"/>
        <v>0</v>
      </c>
      <c r="BL291" s="3264">
        <f t="shared" si="143"/>
        <v>0</v>
      </c>
      <c r="BM291" s="3264">
        <f t="shared" si="144"/>
        <v>0</v>
      </c>
      <c r="BN291" s="3264">
        <f t="shared" si="145"/>
        <v>0</v>
      </c>
      <c r="BO291" s="3264">
        <f t="shared" si="146"/>
        <v>0</v>
      </c>
      <c r="BP291" s="3264">
        <f t="shared" si="147"/>
        <v>0</v>
      </c>
      <c r="BQ291" s="3264">
        <f t="shared" si="148"/>
        <v>0</v>
      </c>
      <c r="BR291" s="3264">
        <f t="shared" si="149"/>
        <v>0</v>
      </c>
      <c r="BS291" s="3264">
        <f t="shared" si="150"/>
        <v>0</v>
      </c>
      <c r="BT291" s="3317">
        <f t="shared" si="151"/>
        <v>0</v>
      </c>
    </row>
    <row r="292" spans="1:72">
      <c r="A292" s="3262"/>
      <c r="B292" s="3263"/>
      <c r="C292" s="3263"/>
      <c r="D292" s="3268"/>
      <c r="E292" s="3264">
        <f t="shared" si="123"/>
        <v>0</v>
      </c>
      <c r="F292" s="3265"/>
      <c r="G292" s="3266">
        <f t="shared" si="124"/>
        <v>0</v>
      </c>
      <c r="H292" s="3267">
        <f t="shared" si="125"/>
        <v>0</v>
      </c>
      <c r="I292" s="3275"/>
      <c r="J292" s="3275"/>
      <c r="K292" s="3275"/>
      <c r="L292" s="3275"/>
      <c r="M292" s="3275"/>
      <c r="N292" s="3275"/>
      <c r="O292" s="3275"/>
      <c r="P292" s="3275"/>
      <c r="Q292" s="3275"/>
      <c r="R292" s="3275"/>
      <c r="S292" s="3275"/>
      <c r="T292" s="3275"/>
      <c r="U292" s="3275"/>
      <c r="V292" s="3275"/>
      <c r="W292" s="3275"/>
      <c r="X292" s="3275"/>
      <c r="Y292" s="3275"/>
      <c r="Z292" s="3275"/>
      <c r="AA292" s="3275"/>
      <c r="AB292" s="3275"/>
      <c r="AC292" s="3264">
        <f t="shared" si="126"/>
        <v>0</v>
      </c>
      <c r="AD292" s="3285"/>
      <c r="AE292" s="3285"/>
      <c r="AF292" s="3285"/>
      <c r="AG292" s="3285"/>
      <c r="AH292" s="3285"/>
      <c r="AI292" s="3285"/>
      <c r="AJ292" s="3285"/>
      <c r="AK292" s="3285"/>
      <c r="AL292" s="3285"/>
      <c r="AM292" s="3285"/>
      <c r="AN292" s="3285"/>
      <c r="AO292" s="3285"/>
      <c r="AP292" s="3285"/>
      <c r="AQ292" s="3285"/>
      <c r="AR292" s="3285"/>
      <c r="AS292" s="3285"/>
      <c r="AT292" s="3295"/>
      <c r="AU292" s="3296"/>
      <c r="AV292" s="830">
        <f t="shared" si="127"/>
        <v>0</v>
      </c>
      <c r="AW292" s="830">
        <f t="shared" si="128"/>
        <v>0</v>
      </c>
      <c r="AX292" s="830">
        <f t="shared" si="129"/>
        <v>0</v>
      </c>
      <c r="AY292" s="3310">
        <f t="shared" si="130"/>
        <v>0</v>
      </c>
      <c r="AZ292" s="3264">
        <f t="shared" si="131"/>
        <v>0</v>
      </c>
      <c r="BA292" s="3264">
        <f t="shared" si="132"/>
        <v>0</v>
      </c>
      <c r="BB292" s="3264">
        <f t="shared" si="133"/>
        <v>0</v>
      </c>
      <c r="BC292" s="3264">
        <f t="shared" si="134"/>
        <v>0</v>
      </c>
      <c r="BD292" s="3264">
        <f t="shared" si="135"/>
        <v>0</v>
      </c>
      <c r="BE292" s="3264">
        <f t="shared" si="136"/>
        <v>0</v>
      </c>
      <c r="BF292" s="3264">
        <f t="shared" si="137"/>
        <v>0</v>
      </c>
      <c r="BG292" s="3264">
        <f t="shared" si="138"/>
        <v>0</v>
      </c>
      <c r="BH292" s="3264">
        <f t="shared" si="139"/>
        <v>0</v>
      </c>
      <c r="BI292" s="3264">
        <f t="shared" si="140"/>
        <v>0</v>
      </c>
      <c r="BJ292" s="3264">
        <f t="shared" si="141"/>
        <v>0</v>
      </c>
      <c r="BK292" s="3264">
        <f t="shared" si="142"/>
        <v>0</v>
      </c>
      <c r="BL292" s="3264">
        <f t="shared" si="143"/>
        <v>0</v>
      </c>
      <c r="BM292" s="3264">
        <f t="shared" si="144"/>
        <v>0</v>
      </c>
      <c r="BN292" s="3264">
        <f t="shared" si="145"/>
        <v>0</v>
      </c>
      <c r="BO292" s="3264">
        <f t="shared" si="146"/>
        <v>0</v>
      </c>
      <c r="BP292" s="3264">
        <f t="shared" si="147"/>
        <v>0</v>
      </c>
      <c r="BQ292" s="3264">
        <f t="shared" si="148"/>
        <v>0</v>
      </c>
      <c r="BR292" s="3264">
        <f t="shared" si="149"/>
        <v>0</v>
      </c>
      <c r="BS292" s="3264">
        <f t="shared" si="150"/>
        <v>0</v>
      </c>
      <c r="BT292" s="3317">
        <f t="shared" si="151"/>
        <v>0</v>
      </c>
    </row>
    <row r="293" spans="1:72">
      <c r="A293" s="3262"/>
      <c r="B293" s="3263"/>
      <c r="C293" s="3263"/>
      <c r="D293" s="3268"/>
      <c r="E293" s="3264">
        <f t="shared" si="123"/>
        <v>0</v>
      </c>
      <c r="F293" s="3265"/>
      <c r="G293" s="3266">
        <f t="shared" si="124"/>
        <v>0</v>
      </c>
      <c r="H293" s="3267">
        <f t="shared" si="125"/>
        <v>0</v>
      </c>
      <c r="I293" s="3275"/>
      <c r="J293" s="3275"/>
      <c r="K293" s="3275"/>
      <c r="L293" s="3275"/>
      <c r="M293" s="3275"/>
      <c r="N293" s="3275"/>
      <c r="O293" s="3275"/>
      <c r="P293" s="3275"/>
      <c r="Q293" s="3275"/>
      <c r="R293" s="3275"/>
      <c r="S293" s="3275"/>
      <c r="T293" s="3275"/>
      <c r="U293" s="3275"/>
      <c r="V293" s="3275"/>
      <c r="W293" s="3275"/>
      <c r="X293" s="3275"/>
      <c r="Y293" s="3275"/>
      <c r="Z293" s="3275"/>
      <c r="AA293" s="3275"/>
      <c r="AB293" s="3275"/>
      <c r="AC293" s="3264">
        <f t="shared" si="126"/>
        <v>0</v>
      </c>
      <c r="AD293" s="3285"/>
      <c r="AE293" s="3285"/>
      <c r="AF293" s="3285"/>
      <c r="AG293" s="3285"/>
      <c r="AH293" s="3285"/>
      <c r="AI293" s="3285"/>
      <c r="AJ293" s="3285"/>
      <c r="AK293" s="3285"/>
      <c r="AL293" s="3285"/>
      <c r="AM293" s="3285"/>
      <c r="AN293" s="3285"/>
      <c r="AO293" s="3285"/>
      <c r="AP293" s="3285"/>
      <c r="AQ293" s="3285"/>
      <c r="AR293" s="3285"/>
      <c r="AS293" s="3285"/>
      <c r="AT293" s="3295"/>
      <c r="AU293" s="3296"/>
      <c r="AV293" s="830">
        <f t="shared" si="127"/>
        <v>0</v>
      </c>
      <c r="AW293" s="830">
        <f t="shared" si="128"/>
        <v>0</v>
      </c>
      <c r="AX293" s="830">
        <f t="shared" si="129"/>
        <v>0</v>
      </c>
      <c r="AY293" s="3310">
        <f t="shared" si="130"/>
        <v>0</v>
      </c>
      <c r="AZ293" s="3264">
        <f t="shared" si="131"/>
        <v>0</v>
      </c>
      <c r="BA293" s="3264">
        <f t="shared" si="132"/>
        <v>0</v>
      </c>
      <c r="BB293" s="3264">
        <f t="shared" si="133"/>
        <v>0</v>
      </c>
      <c r="BC293" s="3264">
        <f t="shared" si="134"/>
        <v>0</v>
      </c>
      <c r="BD293" s="3264">
        <f t="shared" si="135"/>
        <v>0</v>
      </c>
      <c r="BE293" s="3264">
        <f t="shared" si="136"/>
        <v>0</v>
      </c>
      <c r="BF293" s="3264">
        <f t="shared" si="137"/>
        <v>0</v>
      </c>
      <c r="BG293" s="3264">
        <f t="shared" si="138"/>
        <v>0</v>
      </c>
      <c r="BH293" s="3264">
        <f t="shared" si="139"/>
        <v>0</v>
      </c>
      <c r="BI293" s="3264">
        <f t="shared" si="140"/>
        <v>0</v>
      </c>
      <c r="BJ293" s="3264">
        <f t="shared" si="141"/>
        <v>0</v>
      </c>
      <c r="BK293" s="3264">
        <f t="shared" si="142"/>
        <v>0</v>
      </c>
      <c r="BL293" s="3264">
        <f t="shared" si="143"/>
        <v>0</v>
      </c>
      <c r="BM293" s="3264">
        <f t="shared" si="144"/>
        <v>0</v>
      </c>
      <c r="BN293" s="3264">
        <f t="shared" si="145"/>
        <v>0</v>
      </c>
      <c r="BO293" s="3264">
        <f t="shared" si="146"/>
        <v>0</v>
      </c>
      <c r="BP293" s="3264">
        <f t="shared" si="147"/>
        <v>0</v>
      </c>
      <c r="BQ293" s="3264">
        <f t="shared" si="148"/>
        <v>0</v>
      </c>
      <c r="BR293" s="3264">
        <f t="shared" si="149"/>
        <v>0</v>
      </c>
      <c r="BS293" s="3264">
        <f t="shared" si="150"/>
        <v>0</v>
      </c>
      <c r="BT293" s="3317">
        <f t="shared" si="151"/>
        <v>0</v>
      </c>
    </row>
    <row r="294" spans="1:72">
      <c r="A294" s="3262"/>
      <c r="B294" s="3263"/>
      <c r="C294" s="3263"/>
      <c r="D294" s="3268"/>
      <c r="E294" s="3264">
        <f t="shared" si="123"/>
        <v>0</v>
      </c>
      <c r="F294" s="3265"/>
      <c r="G294" s="3266">
        <f t="shared" si="124"/>
        <v>0</v>
      </c>
      <c r="H294" s="3267">
        <f t="shared" si="125"/>
        <v>0</v>
      </c>
      <c r="I294" s="3275"/>
      <c r="J294" s="3275"/>
      <c r="K294" s="3275"/>
      <c r="L294" s="3275"/>
      <c r="M294" s="3275"/>
      <c r="N294" s="3275"/>
      <c r="O294" s="3275"/>
      <c r="P294" s="3275"/>
      <c r="Q294" s="3275"/>
      <c r="R294" s="3275"/>
      <c r="S294" s="3275"/>
      <c r="T294" s="3275"/>
      <c r="U294" s="3275"/>
      <c r="V294" s="3275"/>
      <c r="W294" s="3275"/>
      <c r="X294" s="3275"/>
      <c r="Y294" s="3275"/>
      <c r="Z294" s="3275"/>
      <c r="AA294" s="3275"/>
      <c r="AB294" s="3275"/>
      <c r="AC294" s="3264">
        <f t="shared" si="126"/>
        <v>0</v>
      </c>
      <c r="AD294" s="3285"/>
      <c r="AE294" s="3285"/>
      <c r="AF294" s="3285"/>
      <c r="AG294" s="3285"/>
      <c r="AH294" s="3285"/>
      <c r="AI294" s="3285"/>
      <c r="AJ294" s="3285"/>
      <c r="AK294" s="3285"/>
      <c r="AL294" s="3285"/>
      <c r="AM294" s="3285"/>
      <c r="AN294" s="3285"/>
      <c r="AO294" s="3285"/>
      <c r="AP294" s="3285"/>
      <c r="AQ294" s="3285"/>
      <c r="AR294" s="3285"/>
      <c r="AS294" s="3285"/>
      <c r="AT294" s="3295"/>
      <c r="AU294" s="3296"/>
      <c r="AV294" s="830">
        <f t="shared" si="127"/>
        <v>0</v>
      </c>
      <c r="AW294" s="830">
        <f t="shared" si="128"/>
        <v>0</v>
      </c>
      <c r="AX294" s="830">
        <f t="shared" si="129"/>
        <v>0</v>
      </c>
      <c r="AY294" s="3310">
        <f t="shared" si="130"/>
        <v>0</v>
      </c>
      <c r="AZ294" s="3264">
        <f t="shared" si="131"/>
        <v>0</v>
      </c>
      <c r="BA294" s="3264">
        <f t="shared" si="132"/>
        <v>0</v>
      </c>
      <c r="BB294" s="3264">
        <f t="shared" si="133"/>
        <v>0</v>
      </c>
      <c r="BC294" s="3264">
        <f t="shared" si="134"/>
        <v>0</v>
      </c>
      <c r="BD294" s="3264">
        <f t="shared" si="135"/>
        <v>0</v>
      </c>
      <c r="BE294" s="3264">
        <f t="shared" si="136"/>
        <v>0</v>
      </c>
      <c r="BF294" s="3264">
        <f t="shared" si="137"/>
        <v>0</v>
      </c>
      <c r="BG294" s="3264">
        <f t="shared" si="138"/>
        <v>0</v>
      </c>
      <c r="BH294" s="3264">
        <f t="shared" si="139"/>
        <v>0</v>
      </c>
      <c r="BI294" s="3264">
        <f t="shared" si="140"/>
        <v>0</v>
      </c>
      <c r="BJ294" s="3264">
        <f t="shared" si="141"/>
        <v>0</v>
      </c>
      <c r="BK294" s="3264">
        <f t="shared" si="142"/>
        <v>0</v>
      </c>
      <c r="BL294" s="3264">
        <f t="shared" si="143"/>
        <v>0</v>
      </c>
      <c r="BM294" s="3264">
        <f t="shared" si="144"/>
        <v>0</v>
      </c>
      <c r="BN294" s="3264">
        <f t="shared" si="145"/>
        <v>0</v>
      </c>
      <c r="BO294" s="3264">
        <f t="shared" si="146"/>
        <v>0</v>
      </c>
      <c r="BP294" s="3264">
        <f t="shared" si="147"/>
        <v>0</v>
      </c>
      <c r="BQ294" s="3264">
        <f t="shared" si="148"/>
        <v>0</v>
      </c>
      <c r="BR294" s="3264">
        <f t="shared" si="149"/>
        <v>0</v>
      </c>
      <c r="BS294" s="3264">
        <f t="shared" si="150"/>
        <v>0</v>
      </c>
      <c r="BT294" s="3317">
        <f t="shared" si="151"/>
        <v>0</v>
      </c>
    </row>
    <row r="295" spans="1:72">
      <c r="A295" s="3262"/>
      <c r="B295" s="3263"/>
      <c r="C295" s="3263"/>
      <c r="D295" s="3268"/>
      <c r="E295" s="3264">
        <f t="shared" si="123"/>
        <v>0</v>
      </c>
      <c r="F295" s="3265"/>
      <c r="G295" s="3266">
        <f t="shared" si="124"/>
        <v>0</v>
      </c>
      <c r="H295" s="3267">
        <f t="shared" si="125"/>
        <v>0</v>
      </c>
      <c r="I295" s="3275"/>
      <c r="J295" s="3275"/>
      <c r="K295" s="3275"/>
      <c r="L295" s="3275"/>
      <c r="M295" s="3275"/>
      <c r="N295" s="3275"/>
      <c r="O295" s="3275"/>
      <c r="P295" s="3275"/>
      <c r="Q295" s="3275"/>
      <c r="R295" s="3275"/>
      <c r="S295" s="3275"/>
      <c r="T295" s="3275"/>
      <c r="U295" s="3275"/>
      <c r="V295" s="3275"/>
      <c r="W295" s="3275"/>
      <c r="X295" s="3275"/>
      <c r="Y295" s="3275"/>
      <c r="Z295" s="3275"/>
      <c r="AA295" s="3275"/>
      <c r="AB295" s="3275"/>
      <c r="AC295" s="3264">
        <f t="shared" si="126"/>
        <v>0</v>
      </c>
      <c r="AD295" s="3285"/>
      <c r="AE295" s="3285"/>
      <c r="AF295" s="3285"/>
      <c r="AG295" s="3285"/>
      <c r="AH295" s="3285"/>
      <c r="AI295" s="3285"/>
      <c r="AJ295" s="3285"/>
      <c r="AK295" s="3285"/>
      <c r="AL295" s="3285"/>
      <c r="AM295" s="3285"/>
      <c r="AN295" s="3285"/>
      <c r="AO295" s="3285"/>
      <c r="AP295" s="3285"/>
      <c r="AQ295" s="3285"/>
      <c r="AR295" s="3285"/>
      <c r="AS295" s="3285"/>
      <c r="AT295" s="3295"/>
      <c r="AU295" s="3296"/>
      <c r="AV295" s="830">
        <f t="shared" si="127"/>
        <v>0</v>
      </c>
      <c r="AW295" s="830">
        <f t="shared" si="128"/>
        <v>0</v>
      </c>
      <c r="AX295" s="830">
        <f t="shared" si="129"/>
        <v>0</v>
      </c>
      <c r="AY295" s="3310">
        <f t="shared" si="130"/>
        <v>0</v>
      </c>
      <c r="AZ295" s="3264">
        <f t="shared" si="131"/>
        <v>0</v>
      </c>
      <c r="BA295" s="3264">
        <f t="shared" si="132"/>
        <v>0</v>
      </c>
      <c r="BB295" s="3264">
        <f t="shared" si="133"/>
        <v>0</v>
      </c>
      <c r="BC295" s="3264">
        <f t="shared" si="134"/>
        <v>0</v>
      </c>
      <c r="BD295" s="3264">
        <f t="shared" si="135"/>
        <v>0</v>
      </c>
      <c r="BE295" s="3264">
        <f t="shared" si="136"/>
        <v>0</v>
      </c>
      <c r="BF295" s="3264">
        <f t="shared" si="137"/>
        <v>0</v>
      </c>
      <c r="BG295" s="3264">
        <f t="shared" si="138"/>
        <v>0</v>
      </c>
      <c r="BH295" s="3264">
        <f t="shared" si="139"/>
        <v>0</v>
      </c>
      <c r="BI295" s="3264">
        <f t="shared" si="140"/>
        <v>0</v>
      </c>
      <c r="BJ295" s="3264">
        <f t="shared" si="141"/>
        <v>0</v>
      </c>
      <c r="BK295" s="3264">
        <f t="shared" si="142"/>
        <v>0</v>
      </c>
      <c r="BL295" s="3264">
        <f t="shared" si="143"/>
        <v>0</v>
      </c>
      <c r="BM295" s="3264">
        <f t="shared" si="144"/>
        <v>0</v>
      </c>
      <c r="BN295" s="3264">
        <f t="shared" si="145"/>
        <v>0</v>
      </c>
      <c r="BO295" s="3264">
        <f t="shared" si="146"/>
        <v>0</v>
      </c>
      <c r="BP295" s="3264">
        <f t="shared" si="147"/>
        <v>0</v>
      </c>
      <c r="BQ295" s="3264">
        <f t="shared" si="148"/>
        <v>0</v>
      </c>
      <c r="BR295" s="3264">
        <f t="shared" si="149"/>
        <v>0</v>
      </c>
      <c r="BS295" s="3264">
        <f t="shared" si="150"/>
        <v>0</v>
      </c>
      <c r="BT295" s="3317">
        <f t="shared" si="151"/>
        <v>0</v>
      </c>
    </row>
    <row r="296" spans="1:72">
      <c r="A296" s="3262"/>
      <c r="B296" s="3263"/>
      <c r="C296" s="3263"/>
      <c r="D296" s="3268"/>
      <c r="E296" s="3264">
        <f t="shared" si="123"/>
        <v>0</v>
      </c>
      <c r="F296" s="3265"/>
      <c r="G296" s="3266">
        <f t="shared" si="124"/>
        <v>0</v>
      </c>
      <c r="H296" s="3267">
        <f t="shared" si="125"/>
        <v>0</v>
      </c>
      <c r="I296" s="3275"/>
      <c r="J296" s="3275"/>
      <c r="K296" s="3275"/>
      <c r="L296" s="3275"/>
      <c r="M296" s="3275"/>
      <c r="N296" s="3275"/>
      <c r="O296" s="3275"/>
      <c r="P296" s="3275"/>
      <c r="Q296" s="3275"/>
      <c r="R296" s="3275"/>
      <c r="S296" s="3275"/>
      <c r="T296" s="3275"/>
      <c r="U296" s="3275"/>
      <c r="V296" s="3275"/>
      <c r="W296" s="3275"/>
      <c r="X296" s="3275"/>
      <c r="Y296" s="3275"/>
      <c r="Z296" s="3275"/>
      <c r="AA296" s="3275"/>
      <c r="AB296" s="3275"/>
      <c r="AC296" s="3264">
        <f t="shared" si="126"/>
        <v>0</v>
      </c>
      <c r="AD296" s="3285"/>
      <c r="AE296" s="3285"/>
      <c r="AF296" s="3285"/>
      <c r="AG296" s="3285"/>
      <c r="AH296" s="3285"/>
      <c r="AI296" s="3285"/>
      <c r="AJ296" s="3285"/>
      <c r="AK296" s="3285"/>
      <c r="AL296" s="3285"/>
      <c r="AM296" s="3285"/>
      <c r="AN296" s="3285"/>
      <c r="AO296" s="3285"/>
      <c r="AP296" s="3285"/>
      <c r="AQ296" s="3285"/>
      <c r="AR296" s="3285"/>
      <c r="AS296" s="3285"/>
      <c r="AT296" s="3295"/>
      <c r="AU296" s="3296"/>
      <c r="AV296" s="830">
        <f t="shared" si="127"/>
        <v>0</v>
      </c>
      <c r="AW296" s="830">
        <f t="shared" si="128"/>
        <v>0</v>
      </c>
      <c r="AX296" s="830">
        <f t="shared" si="129"/>
        <v>0</v>
      </c>
      <c r="AY296" s="3310">
        <f t="shared" si="130"/>
        <v>0</v>
      </c>
      <c r="AZ296" s="3264">
        <f t="shared" si="131"/>
        <v>0</v>
      </c>
      <c r="BA296" s="3264">
        <f t="shared" si="132"/>
        <v>0</v>
      </c>
      <c r="BB296" s="3264">
        <f t="shared" si="133"/>
        <v>0</v>
      </c>
      <c r="BC296" s="3264">
        <f t="shared" si="134"/>
        <v>0</v>
      </c>
      <c r="BD296" s="3264">
        <f t="shared" si="135"/>
        <v>0</v>
      </c>
      <c r="BE296" s="3264">
        <f t="shared" si="136"/>
        <v>0</v>
      </c>
      <c r="BF296" s="3264">
        <f t="shared" si="137"/>
        <v>0</v>
      </c>
      <c r="BG296" s="3264">
        <f t="shared" si="138"/>
        <v>0</v>
      </c>
      <c r="BH296" s="3264">
        <f t="shared" si="139"/>
        <v>0</v>
      </c>
      <c r="BI296" s="3264">
        <f t="shared" si="140"/>
        <v>0</v>
      </c>
      <c r="BJ296" s="3264">
        <f t="shared" si="141"/>
        <v>0</v>
      </c>
      <c r="BK296" s="3264">
        <f t="shared" si="142"/>
        <v>0</v>
      </c>
      <c r="BL296" s="3264">
        <f t="shared" si="143"/>
        <v>0</v>
      </c>
      <c r="BM296" s="3264">
        <f t="shared" si="144"/>
        <v>0</v>
      </c>
      <c r="BN296" s="3264">
        <f t="shared" si="145"/>
        <v>0</v>
      </c>
      <c r="BO296" s="3264">
        <f t="shared" si="146"/>
        <v>0</v>
      </c>
      <c r="BP296" s="3264">
        <f t="shared" si="147"/>
        <v>0</v>
      </c>
      <c r="BQ296" s="3264">
        <f t="shared" si="148"/>
        <v>0</v>
      </c>
      <c r="BR296" s="3264">
        <f t="shared" si="149"/>
        <v>0</v>
      </c>
      <c r="BS296" s="3264">
        <f t="shared" si="150"/>
        <v>0</v>
      </c>
      <c r="BT296" s="3317">
        <f t="shared" si="151"/>
        <v>0</v>
      </c>
    </row>
    <row r="297" spans="1:72">
      <c r="A297" s="3262"/>
      <c r="B297" s="3263"/>
      <c r="C297" s="3263"/>
      <c r="D297" s="3268"/>
      <c r="E297" s="3264">
        <f t="shared" si="123"/>
        <v>0</v>
      </c>
      <c r="F297" s="3265"/>
      <c r="G297" s="3266">
        <f t="shared" si="124"/>
        <v>0</v>
      </c>
      <c r="H297" s="3267">
        <f t="shared" si="125"/>
        <v>0</v>
      </c>
      <c r="I297" s="3275"/>
      <c r="J297" s="3275"/>
      <c r="K297" s="3275"/>
      <c r="L297" s="3275"/>
      <c r="M297" s="3275"/>
      <c r="N297" s="3275"/>
      <c r="O297" s="3275"/>
      <c r="P297" s="3275"/>
      <c r="Q297" s="3275"/>
      <c r="R297" s="3275"/>
      <c r="S297" s="3275"/>
      <c r="T297" s="3275"/>
      <c r="U297" s="3275"/>
      <c r="V297" s="3275"/>
      <c r="W297" s="3275"/>
      <c r="X297" s="3275"/>
      <c r="Y297" s="3275"/>
      <c r="Z297" s="3275"/>
      <c r="AA297" s="3275"/>
      <c r="AB297" s="3275"/>
      <c r="AC297" s="3264">
        <f t="shared" si="126"/>
        <v>0</v>
      </c>
      <c r="AD297" s="3285"/>
      <c r="AE297" s="3285"/>
      <c r="AF297" s="3285"/>
      <c r="AG297" s="3285"/>
      <c r="AH297" s="3285"/>
      <c r="AI297" s="3285"/>
      <c r="AJ297" s="3285"/>
      <c r="AK297" s="3285"/>
      <c r="AL297" s="3285"/>
      <c r="AM297" s="3285"/>
      <c r="AN297" s="3285"/>
      <c r="AO297" s="3285"/>
      <c r="AP297" s="3285"/>
      <c r="AQ297" s="3285"/>
      <c r="AR297" s="3285"/>
      <c r="AS297" s="3285"/>
      <c r="AT297" s="3295"/>
      <c r="AU297" s="3296"/>
      <c r="AV297" s="830">
        <f t="shared" si="127"/>
        <v>0</v>
      </c>
      <c r="AW297" s="830">
        <f t="shared" si="128"/>
        <v>0</v>
      </c>
      <c r="AX297" s="830">
        <f t="shared" si="129"/>
        <v>0</v>
      </c>
      <c r="AY297" s="3310">
        <f t="shared" si="130"/>
        <v>0</v>
      </c>
      <c r="AZ297" s="3264">
        <f t="shared" si="131"/>
        <v>0</v>
      </c>
      <c r="BA297" s="3264">
        <f t="shared" si="132"/>
        <v>0</v>
      </c>
      <c r="BB297" s="3264">
        <f t="shared" si="133"/>
        <v>0</v>
      </c>
      <c r="BC297" s="3264">
        <f t="shared" si="134"/>
        <v>0</v>
      </c>
      <c r="BD297" s="3264">
        <f t="shared" si="135"/>
        <v>0</v>
      </c>
      <c r="BE297" s="3264">
        <f t="shared" si="136"/>
        <v>0</v>
      </c>
      <c r="BF297" s="3264">
        <f t="shared" si="137"/>
        <v>0</v>
      </c>
      <c r="BG297" s="3264">
        <f t="shared" si="138"/>
        <v>0</v>
      </c>
      <c r="BH297" s="3264">
        <f t="shared" si="139"/>
        <v>0</v>
      </c>
      <c r="BI297" s="3264">
        <f t="shared" si="140"/>
        <v>0</v>
      </c>
      <c r="BJ297" s="3264">
        <f t="shared" si="141"/>
        <v>0</v>
      </c>
      <c r="BK297" s="3264">
        <f t="shared" si="142"/>
        <v>0</v>
      </c>
      <c r="BL297" s="3264">
        <f t="shared" si="143"/>
        <v>0</v>
      </c>
      <c r="BM297" s="3264">
        <f t="shared" si="144"/>
        <v>0</v>
      </c>
      <c r="BN297" s="3264">
        <f t="shared" si="145"/>
        <v>0</v>
      </c>
      <c r="BO297" s="3264">
        <f t="shared" si="146"/>
        <v>0</v>
      </c>
      <c r="BP297" s="3264">
        <f t="shared" si="147"/>
        <v>0</v>
      </c>
      <c r="BQ297" s="3264">
        <f t="shared" si="148"/>
        <v>0</v>
      </c>
      <c r="BR297" s="3264">
        <f t="shared" si="149"/>
        <v>0</v>
      </c>
      <c r="BS297" s="3264">
        <f t="shared" si="150"/>
        <v>0</v>
      </c>
      <c r="BT297" s="3317">
        <f t="shared" si="151"/>
        <v>0</v>
      </c>
    </row>
    <row r="298" spans="1:72">
      <c r="A298" s="3262"/>
      <c r="B298" s="3263"/>
      <c r="C298" s="3263"/>
      <c r="D298" s="3268"/>
      <c r="E298" s="3264">
        <f t="shared" si="123"/>
        <v>0</v>
      </c>
      <c r="F298" s="3265"/>
      <c r="G298" s="3266">
        <f t="shared" si="124"/>
        <v>0</v>
      </c>
      <c r="H298" s="3267">
        <f t="shared" si="125"/>
        <v>0</v>
      </c>
      <c r="I298" s="3275"/>
      <c r="J298" s="3275"/>
      <c r="K298" s="3275"/>
      <c r="L298" s="3275"/>
      <c r="M298" s="3275"/>
      <c r="N298" s="3275"/>
      <c r="O298" s="3275"/>
      <c r="P298" s="3275"/>
      <c r="Q298" s="3275"/>
      <c r="R298" s="3275"/>
      <c r="S298" s="3275"/>
      <c r="T298" s="3275"/>
      <c r="U298" s="3275"/>
      <c r="V298" s="3275"/>
      <c r="W298" s="3275"/>
      <c r="X298" s="3275"/>
      <c r="Y298" s="3275"/>
      <c r="Z298" s="3275"/>
      <c r="AA298" s="3275"/>
      <c r="AB298" s="3275"/>
      <c r="AC298" s="3264">
        <f t="shared" si="126"/>
        <v>0</v>
      </c>
      <c r="AD298" s="3285"/>
      <c r="AE298" s="3285"/>
      <c r="AF298" s="3285"/>
      <c r="AG298" s="3285"/>
      <c r="AH298" s="3285"/>
      <c r="AI298" s="3285"/>
      <c r="AJ298" s="3285"/>
      <c r="AK298" s="3285"/>
      <c r="AL298" s="3285"/>
      <c r="AM298" s="3285"/>
      <c r="AN298" s="3285"/>
      <c r="AO298" s="3285"/>
      <c r="AP298" s="3285"/>
      <c r="AQ298" s="3285"/>
      <c r="AR298" s="3285"/>
      <c r="AS298" s="3285"/>
      <c r="AT298" s="3295"/>
      <c r="AU298" s="3296"/>
      <c r="AV298" s="830">
        <f t="shared" si="127"/>
        <v>0</v>
      </c>
      <c r="AW298" s="830">
        <f t="shared" si="128"/>
        <v>0</v>
      </c>
      <c r="AX298" s="830">
        <f t="shared" si="129"/>
        <v>0</v>
      </c>
      <c r="AY298" s="3310">
        <f t="shared" si="130"/>
        <v>0</v>
      </c>
      <c r="AZ298" s="3264">
        <f t="shared" si="131"/>
        <v>0</v>
      </c>
      <c r="BA298" s="3264">
        <f t="shared" si="132"/>
        <v>0</v>
      </c>
      <c r="BB298" s="3264">
        <f t="shared" si="133"/>
        <v>0</v>
      </c>
      <c r="BC298" s="3264">
        <f t="shared" si="134"/>
        <v>0</v>
      </c>
      <c r="BD298" s="3264">
        <f t="shared" si="135"/>
        <v>0</v>
      </c>
      <c r="BE298" s="3264">
        <f t="shared" si="136"/>
        <v>0</v>
      </c>
      <c r="BF298" s="3264">
        <f t="shared" si="137"/>
        <v>0</v>
      </c>
      <c r="BG298" s="3264">
        <f t="shared" si="138"/>
        <v>0</v>
      </c>
      <c r="BH298" s="3264">
        <f t="shared" si="139"/>
        <v>0</v>
      </c>
      <c r="BI298" s="3264">
        <f t="shared" si="140"/>
        <v>0</v>
      </c>
      <c r="BJ298" s="3264">
        <f t="shared" si="141"/>
        <v>0</v>
      </c>
      <c r="BK298" s="3264">
        <f t="shared" si="142"/>
        <v>0</v>
      </c>
      <c r="BL298" s="3264">
        <f t="shared" si="143"/>
        <v>0</v>
      </c>
      <c r="BM298" s="3264">
        <f t="shared" si="144"/>
        <v>0</v>
      </c>
      <c r="BN298" s="3264">
        <f t="shared" si="145"/>
        <v>0</v>
      </c>
      <c r="BO298" s="3264">
        <f t="shared" si="146"/>
        <v>0</v>
      </c>
      <c r="BP298" s="3264">
        <f t="shared" si="147"/>
        <v>0</v>
      </c>
      <c r="BQ298" s="3264">
        <f t="shared" si="148"/>
        <v>0</v>
      </c>
      <c r="BR298" s="3264">
        <f t="shared" si="149"/>
        <v>0</v>
      </c>
      <c r="BS298" s="3264">
        <f t="shared" si="150"/>
        <v>0</v>
      </c>
      <c r="BT298" s="3317">
        <f t="shared" si="151"/>
        <v>0</v>
      </c>
    </row>
    <row r="299" spans="1:72">
      <c r="A299" s="3262"/>
      <c r="B299" s="3263"/>
      <c r="C299" s="3263"/>
      <c r="D299" s="3268"/>
      <c r="E299" s="3264">
        <f t="shared" si="123"/>
        <v>0</v>
      </c>
      <c r="F299" s="3265"/>
      <c r="G299" s="3266">
        <f t="shared" si="124"/>
        <v>0</v>
      </c>
      <c r="H299" s="3267">
        <f t="shared" si="125"/>
        <v>0</v>
      </c>
      <c r="I299" s="3275"/>
      <c r="J299" s="3275"/>
      <c r="K299" s="3275"/>
      <c r="L299" s="3275"/>
      <c r="M299" s="3275"/>
      <c r="N299" s="3275"/>
      <c r="O299" s="3275"/>
      <c r="P299" s="3275"/>
      <c r="Q299" s="3275"/>
      <c r="R299" s="3275"/>
      <c r="S299" s="3275"/>
      <c r="T299" s="3275"/>
      <c r="U299" s="3275"/>
      <c r="V299" s="3275"/>
      <c r="W299" s="3275"/>
      <c r="X299" s="3275"/>
      <c r="Y299" s="3275"/>
      <c r="Z299" s="3275"/>
      <c r="AA299" s="3275"/>
      <c r="AB299" s="3275"/>
      <c r="AC299" s="3264">
        <f t="shared" si="126"/>
        <v>0</v>
      </c>
      <c r="AD299" s="3285"/>
      <c r="AE299" s="3285"/>
      <c r="AF299" s="3285"/>
      <c r="AG299" s="3285"/>
      <c r="AH299" s="3285"/>
      <c r="AI299" s="3285"/>
      <c r="AJ299" s="3285"/>
      <c r="AK299" s="3285"/>
      <c r="AL299" s="3285"/>
      <c r="AM299" s="3285"/>
      <c r="AN299" s="3285"/>
      <c r="AO299" s="3285"/>
      <c r="AP299" s="3285"/>
      <c r="AQ299" s="3285"/>
      <c r="AR299" s="3285"/>
      <c r="AS299" s="3285"/>
      <c r="AT299" s="3295"/>
      <c r="AU299" s="3296"/>
      <c r="AV299" s="830">
        <f t="shared" si="127"/>
        <v>0</v>
      </c>
      <c r="AW299" s="830">
        <f t="shared" si="128"/>
        <v>0</v>
      </c>
      <c r="AX299" s="830">
        <f t="shared" si="129"/>
        <v>0</v>
      </c>
      <c r="AY299" s="3310">
        <f t="shared" si="130"/>
        <v>0</v>
      </c>
      <c r="AZ299" s="3264">
        <f t="shared" si="131"/>
        <v>0</v>
      </c>
      <c r="BA299" s="3264">
        <f t="shared" si="132"/>
        <v>0</v>
      </c>
      <c r="BB299" s="3264">
        <f t="shared" si="133"/>
        <v>0</v>
      </c>
      <c r="BC299" s="3264">
        <f t="shared" si="134"/>
        <v>0</v>
      </c>
      <c r="BD299" s="3264">
        <f t="shared" si="135"/>
        <v>0</v>
      </c>
      <c r="BE299" s="3264">
        <f t="shared" si="136"/>
        <v>0</v>
      </c>
      <c r="BF299" s="3264">
        <f t="shared" si="137"/>
        <v>0</v>
      </c>
      <c r="BG299" s="3264">
        <f t="shared" si="138"/>
        <v>0</v>
      </c>
      <c r="BH299" s="3264">
        <f t="shared" si="139"/>
        <v>0</v>
      </c>
      <c r="BI299" s="3264">
        <f t="shared" si="140"/>
        <v>0</v>
      </c>
      <c r="BJ299" s="3264">
        <f t="shared" si="141"/>
        <v>0</v>
      </c>
      <c r="BK299" s="3264">
        <f t="shared" si="142"/>
        <v>0</v>
      </c>
      <c r="BL299" s="3264">
        <f t="shared" si="143"/>
        <v>0</v>
      </c>
      <c r="BM299" s="3264">
        <f t="shared" si="144"/>
        <v>0</v>
      </c>
      <c r="BN299" s="3264">
        <f t="shared" si="145"/>
        <v>0</v>
      </c>
      <c r="BO299" s="3264">
        <f t="shared" si="146"/>
        <v>0</v>
      </c>
      <c r="BP299" s="3264">
        <f t="shared" si="147"/>
        <v>0</v>
      </c>
      <c r="BQ299" s="3264">
        <f t="shared" si="148"/>
        <v>0</v>
      </c>
      <c r="BR299" s="3264">
        <f t="shared" si="149"/>
        <v>0</v>
      </c>
      <c r="BS299" s="3264">
        <f t="shared" si="150"/>
        <v>0</v>
      </c>
      <c r="BT299" s="3317">
        <f t="shared" si="151"/>
        <v>0</v>
      </c>
    </row>
    <row r="300" spans="1:72">
      <c r="A300" s="3262"/>
      <c r="B300" s="3262"/>
      <c r="C300" s="3262"/>
      <c r="D300" s="3268"/>
      <c r="E300" s="3264">
        <f t="shared" si="123"/>
        <v>0</v>
      </c>
      <c r="F300" s="3318"/>
      <c r="G300" s="3266">
        <f t="shared" ref="G300:G331" si="152">H300+AC300+AT300</f>
        <v>0</v>
      </c>
      <c r="H300" s="3267">
        <f t="shared" ref="H300:H331" si="153">SUMIF(I$12:AB$12,"总值",I300:AB300)</f>
        <v>0</v>
      </c>
      <c r="I300" s="3319"/>
      <c r="J300" s="3319"/>
      <c r="K300" s="3275"/>
      <c r="L300" s="3275"/>
      <c r="M300" s="3275"/>
      <c r="N300" s="3275"/>
      <c r="O300" s="3275"/>
      <c r="P300" s="3275"/>
      <c r="Q300" s="3275"/>
      <c r="R300" s="3275"/>
      <c r="S300" s="3275"/>
      <c r="T300" s="3275"/>
      <c r="U300" s="3275"/>
      <c r="V300" s="3275"/>
      <c r="W300" s="3275"/>
      <c r="X300" s="3275"/>
      <c r="Y300" s="3275"/>
      <c r="Z300" s="3275"/>
      <c r="AA300" s="3275"/>
      <c r="AB300" s="3275"/>
      <c r="AC300" s="3264">
        <f t="shared" ref="AC300:AC331" si="154">SUMIF(AD$12:AS$12,"总值",AD300:AS300)</f>
        <v>0</v>
      </c>
      <c r="AD300" s="3285"/>
      <c r="AE300" s="3285"/>
      <c r="AF300" s="3285"/>
      <c r="AG300" s="3285"/>
      <c r="AH300" s="3285"/>
      <c r="AI300" s="3285"/>
      <c r="AJ300" s="3285"/>
      <c r="AK300" s="3285"/>
      <c r="AL300" s="3285"/>
      <c r="AM300" s="3285"/>
      <c r="AN300" s="3285"/>
      <c r="AO300" s="3285"/>
      <c r="AP300" s="3285"/>
      <c r="AQ300" s="3285"/>
      <c r="AR300" s="3285"/>
      <c r="AS300" s="3285"/>
      <c r="AT300" s="3285"/>
      <c r="AU300" s="3320"/>
      <c r="AV300" s="830">
        <f t="shared" si="127"/>
        <v>0</v>
      </c>
      <c r="AW300" s="830">
        <f t="shared" si="128"/>
        <v>0</v>
      </c>
      <c r="AX300" s="830">
        <f t="shared" si="129"/>
        <v>0</v>
      </c>
      <c r="AY300" s="3310">
        <f t="shared" ref="AY300:AY331" si="155">ROUND($AY$6*AZ300/$AZ$5,2)</f>
        <v>0</v>
      </c>
      <c r="AZ300" s="3264">
        <f t="shared" ref="AZ300:AZ331" si="156">BA300+BL300</f>
        <v>0</v>
      </c>
      <c r="BA300" s="3264">
        <f t="shared" ref="BA300:BA331" si="157">SUM(BB300:BK300)</f>
        <v>0</v>
      </c>
      <c r="BB300" s="3264">
        <f t="shared" ref="BB300:BB331" si="158">IF($D300="是",I300-J300,0)</f>
        <v>0</v>
      </c>
      <c r="BC300" s="3264">
        <f t="shared" ref="BC300:BC331" si="159">IF($D300="是",K300-L300,0)</f>
        <v>0</v>
      </c>
      <c r="BD300" s="3264">
        <f t="shared" ref="BD300:BD331" si="160">IF($D300="是",M300-N300,0)</f>
        <v>0</v>
      </c>
      <c r="BE300" s="3264">
        <f t="shared" ref="BE300:BE331" si="161">IF($D300="是",O300-P300,0)</f>
        <v>0</v>
      </c>
      <c r="BF300" s="3264">
        <f t="shared" ref="BF300:BF331" si="162">IF($D300="是",Q300-R300,0)</f>
        <v>0</v>
      </c>
      <c r="BG300" s="3264">
        <f t="shared" ref="BG300:BG331" si="163">IF($D300="是",S300-T300,0)</f>
        <v>0</v>
      </c>
      <c r="BH300" s="3264">
        <f t="shared" ref="BH300:BH331" si="164">IF($D300="是",U300-V300,0)</f>
        <v>0</v>
      </c>
      <c r="BI300" s="3264">
        <f t="shared" ref="BI300:BI331" si="165">IF($D300="是",W300-X300,0)</f>
        <v>0</v>
      </c>
      <c r="BJ300" s="3264">
        <f t="shared" ref="BJ300:BJ331" si="166">IF($D300="是",Y300-Z300,0)</f>
        <v>0</v>
      </c>
      <c r="BK300" s="3264">
        <f t="shared" ref="BK300:BK331" si="167">IF($D300="是",AA300-AB300,0)</f>
        <v>0</v>
      </c>
      <c r="BL300" s="3264">
        <f t="shared" ref="BL300:BL331" si="168">SUM(BM300:BT300)</f>
        <v>0</v>
      </c>
      <c r="BM300" s="3264">
        <f t="shared" ref="BM300:BM331" si="169">IF($D300="是",AD300-AE300,0)</f>
        <v>0</v>
      </c>
      <c r="BN300" s="3264">
        <f t="shared" ref="BN300:BN331" si="170">IF($D300="是",AF300-AG300,0)</f>
        <v>0</v>
      </c>
      <c r="BO300" s="3264">
        <f t="shared" ref="BO300:BO331" si="171">IF($D300="是",AH300-AI300,0)</f>
        <v>0</v>
      </c>
      <c r="BP300" s="3264">
        <f t="shared" ref="BP300:BP331" si="172">IF($D300="是",AJ300-AK300,0)</f>
        <v>0</v>
      </c>
      <c r="BQ300" s="3264">
        <f t="shared" ref="BQ300:BQ331" si="173">IF($D300="是",AL300-AM300,0)</f>
        <v>0</v>
      </c>
      <c r="BR300" s="3264">
        <f t="shared" ref="BR300:BR331" si="174">IF($D300="是",AN300-AO300,0)</f>
        <v>0</v>
      </c>
      <c r="BS300" s="3264">
        <f t="shared" ref="BS300:BS331" si="175">IF($D300="是",AP300-AQ300,0)</f>
        <v>0</v>
      </c>
      <c r="BT300" s="3317">
        <f t="shared" ref="BT300:BT331" si="176">IF($D300="是",AR300-AS300,0)</f>
        <v>0</v>
      </c>
    </row>
    <row r="301" spans="1:72">
      <c r="A301" s="3262"/>
      <c r="B301" s="3262"/>
      <c r="C301" s="3262"/>
      <c r="D301" s="3268"/>
      <c r="E301" s="3264">
        <f t="shared" si="123"/>
        <v>0</v>
      </c>
      <c r="F301" s="3318"/>
      <c r="G301" s="3266">
        <f t="shared" si="152"/>
        <v>0</v>
      </c>
      <c r="H301" s="3267">
        <f t="shared" si="153"/>
        <v>0</v>
      </c>
      <c r="I301" s="3275"/>
      <c r="J301" s="3275"/>
      <c r="K301" s="3275"/>
      <c r="L301" s="3275"/>
      <c r="M301" s="3275"/>
      <c r="N301" s="3275"/>
      <c r="O301" s="3275"/>
      <c r="P301" s="3275"/>
      <c r="Q301" s="3275"/>
      <c r="R301" s="3275"/>
      <c r="S301" s="3275"/>
      <c r="T301" s="3275"/>
      <c r="U301" s="3275"/>
      <c r="V301" s="3275"/>
      <c r="W301" s="3275"/>
      <c r="X301" s="3275"/>
      <c r="Y301" s="3275"/>
      <c r="Z301" s="3275"/>
      <c r="AA301" s="3275"/>
      <c r="AB301" s="3275"/>
      <c r="AC301" s="3264">
        <f t="shared" si="154"/>
        <v>0</v>
      </c>
      <c r="AD301" s="3285"/>
      <c r="AE301" s="3285"/>
      <c r="AF301" s="3285"/>
      <c r="AG301" s="3285"/>
      <c r="AH301" s="3285"/>
      <c r="AI301" s="3285"/>
      <c r="AJ301" s="3285"/>
      <c r="AK301" s="3285"/>
      <c r="AL301" s="3285"/>
      <c r="AM301" s="3285"/>
      <c r="AN301" s="3285"/>
      <c r="AO301" s="3285"/>
      <c r="AP301" s="3285"/>
      <c r="AQ301" s="3285"/>
      <c r="AR301" s="3285"/>
      <c r="AS301" s="3285"/>
      <c r="AT301" s="3285"/>
      <c r="AU301" s="3320"/>
      <c r="AV301" s="830">
        <f t="shared" si="127"/>
        <v>0</v>
      </c>
      <c r="AW301" s="830">
        <f t="shared" si="128"/>
        <v>0</v>
      </c>
      <c r="AX301" s="830">
        <f t="shared" si="129"/>
        <v>0</v>
      </c>
      <c r="AY301" s="3310">
        <f t="shared" si="155"/>
        <v>0</v>
      </c>
      <c r="AZ301" s="3264">
        <f t="shared" si="156"/>
        <v>0</v>
      </c>
      <c r="BA301" s="3264">
        <f t="shared" si="157"/>
        <v>0</v>
      </c>
      <c r="BB301" s="3264">
        <f t="shared" si="158"/>
        <v>0</v>
      </c>
      <c r="BC301" s="3264">
        <f t="shared" si="159"/>
        <v>0</v>
      </c>
      <c r="BD301" s="3264">
        <f t="shared" si="160"/>
        <v>0</v>
      </c>
      <c r="BE301" s="3264">
        <f t="shared" si="161"/>
        <v>0</v>
      </c>
      <c r="BF301" s="3264">
        <f t="shared" si="162"/>
        <v>0</v>
      </c>
      <c r="BG301" s="3264">
        <f t="shared" si="163"/>
        <v>0</v>
      </c>
      <c r="BH301" s="3264">
        <f t="shared" si="164"/>
        <v>0</v>
      </c>
      <c r="BI301" s="3264">
        <f t="shared" si="165"/>
        <v>0</v>
      </c>
      <c r="BJ301" s="3264">
        <f t="shared" si="166"/>
        <v>0</v>
      </c>
      <c r="BK301" s="3264">
        <f t="shared" si="167"/>
        <v>0</v>
      </c>
      <c r="BL301" s="3264">
        <f t="shared" si="168"/>
        <v>0</v>
      </c>
      <c r="BM301" s="3264">
        <f t="shared" si="169"/>
        <v>0</v>
      </c>
      <c r="BN301" s="3264">
        <f t="shared" si="170"/>
        <v>0</v>
      </c>
      <c r="BO301" s="3264">
        <f t="shared" si="171"/>
        <v>0</v>
      </c>
      <c r="BP301" s="3264">
        <f t="shared" si="172"/>
        <v>0</v>
      </c>
      <c r="BQ301" s="3264">
        <f t="shared" si="173"/>
        <v>0</v>
      </c>
      <c r="BR301" s="3264">
        <f t="shared" si="174"/>
        <v>0</v>
      </c>
      <c r="BS301" s="3264">
        <f t="shared" si="175"/>
        <v>0</v>
      </c>
      <c r="BT301" s="3317">
        <f t="shared" si="176"/>
        <v>0</v>
      </c>
    </row>
    <row r="302" spans="1:72">
      <c r="A302" s="3262"/>
      <c r="B302" s="3262"/>
      <c r="C302" s="3262"/>
      <c r="D302" s="3268"/>
      <c r="E302" s="3264">
        <f t="shared" si="123"/>
        <v>0</v>
      </c>
      <c r="F302" s="3318"/>
      <c r="G302" s="3266">
        <f t="shared" si="152"/>
        <v>0</v>
      </c>
      <c r="H302" s="3267">
        <f t="shared" si="153"/>
        <v>0</v>
      </c>
      <c r="I302" s="3275"/>
      <c r="J302" s="3275"/>
      <c r="K302" s="3275"/>
      <c r="L302" s="3275"/>
      <c r="M302" s="3275"/>
      <c r="N302" s="3275"/>
      <c r="O302" s="3275"/>
      <c r="P302" s="3275"/>
      <c r="Q302" s="3275"/>
      <c r="R302" s="3275"/>
      <c r="S302" s="3275"/>
      <c r="T302" s="3275"/>
      <c r="U302" s="3275"/>
      <c r="V302" s="3275"/>
      <c r="W302" s="3275"/>
      <c r="X302" s="3275"/>
      <c r="Y302" s="3275"/>
      <c r="Z302" s="3275"/>
      <c r="AA302" s="3275"/>
      <c r="AB302" s="3275"/>
      <c r="AC302" s="3264">
        <f t="shared" si="154"/>
        <v>0</v>
      </c>
      <c r="AD302" s="3285"/>
      <c r="AE302" s="3285"/>
      <c r="AF302" s="3285"/>
      <c r="AG302" s="3285"/>
      <c r="AH302" s="3285"/>
      <c r="AI302" s="3285"/>
      <c r="AJ302" s="3285"/>
      <c r="AK302" s="3285"/>
      <c r="AL302" s="3285"/>
      <c r="AM302" s="3285"/>
      <c r="AN302" s="3285"/>
      <c r="AO302" s="3285"/>
      <c r="AP302" s="3285"/>
      <c r="AQ302" s="3285"/>
      <c r="AR302" s="3285"/>
      <c r="AS302" s="3285"/>
      <c r="AT302" s="3285"/>
      <c r="AU302" s="3320"/>
      <c r="AV302" s="830">
        <f t="shared" si="127"/>
        <v>0</v>
      </c>
      <c r="AW302" s="830">
        <f t="shared" si="128"/>
        <v>0</v>
      </c>
      <c r="AX302" s="830">
        <f t="shared" si="129"/>
        <v>0</v>
      </c>
      <c r="AY302" s="3310">
        <f t="shared" si="155"/>
        <v>0</v>
      </c>
      <c r="AZ302" s="3264">
        <f t="shared" si="156"/>
        <v>0</v>
      </c>
      <c r="BA302" s="3264">
        <f t="shared" si="157"/>
        <v>0</v>
      </c>
      <c r="BB302" s="3264">
        <f t="shared" si="158"/>
        <v>0</v>
      </c>
      <c r="BC302" s="3264">
        <f t="shared" si="159"/>
        <v>0</v>
      </c>
      <c r="BD302" s="3264">
        <f t="shared" si="160"/>
        <v>0</v>
      </c>
      <c r="BE302" s="3264">
        <f t="shared" si="161"/>
        <v>0</v>
      </c>
      <c r="BF302" s="3264">
        <f t="shared" si="162"/>
        <v>0</v>
      </c>
      <c r="BG302" s="3264">
        <f t="shared" si="163"/>
        <v>0</v>
      </c>
      <c r="BH302" s="3264">
        <f t="shared" si="164"/>
        <v>0</v>
      </c>
      <c r="BI302" s="3264">
        <f t="shared" si="165"/>
        <v>0</v>
      </c>
      <c r="BJ302" s="3264">
        <f t="shared" si="166"/>
        <v>0</v>
      </c>
      <c r="BK302" s="3264">
        <f t="shared" si="167"/>
        <v>0</v>
      </c>
      <c r="BL302" s="3264">
        <f t="shared" si="168"/>
        <v>0</v>
      </c>
      <c r="BM302" s="3264">
        <f t="shared" si="169"/>
        <v>0</v>
      </c>
      <c r="BN302" s="3264">
        <f t="shared" si="170"/>
        <v>0</v>
      </c>
      <c r="BO302" s="3264">
        <f t="shared" si="171"/>
        <v>0</v>
      </c>
      <c r="BP302" s="3264">
        <f t="shared" si="172"/>
        <v>0</v>
      </c>
      <c r="BQ302" s="3264">
        <f t="shared" si="173"/>
        <v>0</v>
      </c>
      <c r="BR302" s="3264">
        <f t="shared" si="174"/>
        <v>0</v>
      </c>
      <c r="BS302" s="3264">
        <f t="shared" si="175"/>
        <v>0</v>
      </c>
      <c r="BT302" s="3317">
        <f t="shared" si="176"/>
        <v>0</v>
      </c>
    </row>
    <row r="303" spans="1:72">
      <c r="A303" s="3262"/>
      <c r="B303" s="3263"/>
      <c r="C303" s="3263"/>
      <c r="D303" s="3268"/>
      <c r="E303" s="3264">
        <f t="shared" ref="E303:E334" si="177">IF($C$3="是",ROUND($A$3*G303/$B$3,2),ROUND($A$3*(G303-AT303)/$B$3,2))</f>
        <v>0</v>
      </c>
      <c r="F303" s="3265"/>
      <c r="G303" s="3266">
        <f t="shared" si="152"/>
        <v>0</v>
      </c>
      <c r="H303" s="3267">
        <f t="shared" si="153"/>
        <v>0</v>
      </c>
      <c r="I303" s="3275"/>
      <c r="J303" s="3275"/>
      <c r="K303" s="3275"/>
      <c r="L303" s="3275"/>
      <c r="M303" s="3275"/>
      <c r="N303" s="3275"/>
      <c r="O303" s="3275"/>
      <c r="P303" s="3275"/>
      <c r="Q303" s="3275"/>
      <c r="R303" s="3275"/>
      <c r="S303" s="3275"/>
      <c r="T303" s="3275"/>
      <c r="U303" s="3275"/>
      <c r="V303" s="3275"/>
      <c r="W303" s="3275"/>
      <c r="X303" s="3275"/>
      <c r="Y303" s="3275"/>
      <c r="Z303" s="3275"/>
      <c r="AA303" s="3275"/>
      <c r="AB303" s="3275"/>
      <c r="AC303" s="3264">
        <f t="shared" si="154"/>
        <v>0</v>
      </c>
      <c r="AD303" s="3285"/>
      <c r="AE303" s="3285"/>
      <c r="AF303" s="3285"/>
      <c r="AG303" s="3285"/>
      <c r="AH303" s="3285"/>
      <c r="AI303" s="3285"/>
      <c r="AJ303" s="3285"/>
      <c r="AK303" s="3285"/>
      <c r="AL303" s="3285"/>
      <c r="AM303" s="3285"/>
      <c r="AN303" s="3285"/>
      <c r="AO303" s="3285"/>
      <c r="AP303" s="3285"/>
      <c r="AQ303" s="3285"/>
      <c r="AR303" s="3285"/>
      <c r="AS303" s="3285"/>
      <c r="AT303" s="3295"/>
      <c r="AU303" s="3296"/>
      <c r="AV303" s="830">
        <f t="shared" ref="AV303:AV334" si="178">A303</f>
        <v>0</v>
      </c>
      <c r="AW303" s="830">
        <f t="shared" ref="AW303:AW334" si="179">B303</f>
        <v>0</v>
      </c>
      <c r="AX303" s="830">
        <f t="shared" ref="AX303:AX334" si="180">C303</f>
        <v>0</v>
      </c>
      <c r="AY303" s="3310">
        <f t="shared" si="155"/>
        <v>0</v>
      </c>
      <c r="AZ303" s="3264">
        <f t="shared" si="156"/>
        <v>0</v>
      </c>
      <c r="BA303" s="3264">
        <f t="shared" si="157"/>
        <v>0</v>
      </c>
      <c r="BB303" s="3264">
        <f t="shared" si="158"/>
        <v>0</v>
      </c>
      <c r="BC303" s="3264">
        <f t="shared" si="159"/>
        <v>0</v>
      </c>
      <c r="BD303" s="3264">
        <f t="shared" si="160"/>
        <v>0</v>
      </c>
      <c r="BE303" s="3264">
        <f t="shared" si="161"/>
        <v>0</v>
      </c>
      <c r="BF303" s="3264">
        <f t="shared" si="162"/>
        <v>0</v>
      </c>
      <c r="BG303" s="3264">
        <f t="shared" si="163"/>
        <v>0</v>
      </c>
      <c r="BH303" s="3264">
        <f t="shared" si="164"/>
        <v>0</v>
      </c>
      <c r="BI303" s="3264">
        <f t="shared" si="165"/>
        <v>0</v>
      </c>
      <c r="BJ303" s="3264">
        <f t="shared" si="166"/>
        <v>0</v>
      </c>
      <c r="BK303" s="3264">
        <f t="shared" si="167"/>
        <v>0</v>
      </c>
      <c r="BL303" s="3264">
        <f t="shared" si="168"/>
        <v>0</v>
      </c>
      <c r="BM303" s="3264">
        <f t="shared" si="169"/>
        <v>0</v>
      </c>
      <c r="BN303" s="3264">
        <f t="shared" si="170"/>
        <v>0</v>
      </c>
      <c r="BO303" s="3264">
        <f t="shared" si="171"/>
        <v>0</v>
      </c>
      <c r="BP303" s="3264">
        <f t="shared" si="172"/>
        <v>0</v>
      </c>
      <c r="BQ303" s="3264">
        <f t="shared" si="173"/>
        <v>0</v>
      </c>
      <c r="BR303" s="3264">
        <f t="shared" si="174"/>
        <v>0</v>
      </c>
      <c r="BS303" s="3264">
        <f t="shared" si="175"/>
        <v>0</v>
      </c>
      <c r="BT303" s="3317">
        <f t="shared" si="176"/>
        <v>0</v>
      </c>
    </row>
    <row r="304" spans="1:72">
      <c r="A304" s="3262"/>
      <c r="B304" s="3263"/>
      <c r="C304" s="3263"/>
      <c r="D304" s="3268"/>
      <c r="E304" s="3264">
        <f t="shared" si="177"/>
        <v>0</v>
      </c>
      <c r="F304" s="3265"/>
      <c r="G304" s="3266">
        <f t="shared" si="152"/>
        <v>0</v>
      </c>
      <c r="H304" s="3267">
        <f t="shared" si="153"/>
        <v>0</v>
      </c>
      <c r="I304" s="3275"/>
      <c r="J304" s="3275"/>
      <c r="K304" s="3275"/>
      <c r="L304" s="3275"/>
      <c r="M304" s="3275"/>
      <c r="N304" s="3275"/>
      <c r="O304" s="3275"/>
      <c r="P304" s="3275"/>
      <c r="Q304" s="3275"/>
      <c r="R304" s="3275"/>
      <c r="S304" s="3275"/>
      <c r="T304" s="3275"/>
      <c r="U304" s="3275"/>
      <c r="V304" s="3275"/>
      <c r="W304" s="3275"/>
      <c r="X304" s="3275"/>
      <c r="Y304" s="3275"/>
      <c r="Z304" s="3275"/>
      <c r="AA304" s="3275"/>
      <c r="AB304" s="3275"/>
      <c r="AC304" s="3264">
        <f t="shared" si="154"/>
        <v>0</v>
      </c>
      <c r="AD304" s="3285"/>
      <c r="AE304" s="3285"/>
      <c r="AF304" s="3285"/>
      <c r="AG304" s="3285"/>
      <c r="AH304" s="3285"/>
      <c r="AI304" s="3285"/>
      <c r="AJ304" s="3285"/>
      <c r="AK304" s="3285"/>
      <c r="AL304" s="3285"/>
      <c r="AM304" s="3285"/>
      <c r="AN304" s="3285"/>
      <c r="AO304" s="3285"/>
      <c r="AP304" s="3285"/>
      <c r="AQ304" s="3285"/>
      <c r="AR304" s="3285"/>
      <c r="AS304" s="3285"/>
      <c r="AT304" s="3295"/>
      <c r="AU304" s="3296"/>
      <c r="AV304" s="830">
        <f t="shared" si="178"/>
        <v>0</v>
      </c>
      <c r="AW304" s="830">
        <f t="shared" si="179"/>
        <v>0</v>
      </c>
      <c r="AX304" s="830">
        <f t="shared" si="180"/>
        <v>0</v>
      </c>
      <c r="AY304" s="3310">
        <f t="shared" si="155"/>
        <v>0</v>
      </c>
      <c r="AZ304" s="3264">
        <f t="shared" si="156"/>
        <v>0</v>
      </c>
      <c r="BA304" s="3264">
        <f t="shared" si="157"/>
        <v>0</v>
      </c>
      <c r="BB304" s="3264">
        <f t="shared" si="158"/>
        <v>0</v>
      </c>
      <c r="BC304" s="3264">
        <f t="shared" si="159"/>
        <v>0</v>
      </c>
      <c r="BD304" s="3264">
        <f t="shared" si="160"/>
        <v>0</v>
      </c>
      <c r="BE304" s="3264">
        <f t="shared" si="161"/>
        <v>0</v>
      </c>
      <c r="BF304" s="3264">
        <f t="shared" si="162"/>
        <v>0</v>
      </c>
      <c r="BG304" s="3264">
        <f t="shared" si="163"/>
        <v>0</v>
      </c>
      <c r="BH304" s="3264">
        <f t="shared" si="164"/>
        <v>0</v>
      </c>
      <c r="BI304" s="3264">
        <f t="shared" si="165"/>
        <v>0</v>
      </c>
      <c r="BJ304" s="3264">
        <f t="shared" si="166"/>
        <v>0</v>
      </c>
      <c r="BK304" s="3264">
        <f t="shared" si="167"/>
        <v>0</v>
      </c>
      <c r="BL304" s="3264">
        <f t="shared" si="168"/>
        <v>0</v>
      </c>
      <c r="BM304" s="3264">
        <f t="shared" si="169"/>
        <v>0</v>
      </c>
      <c r="BN304" s="3264">
        <f t="shared" si="170"/>
        <v>0</v>
      </c>
      <c r="BO304" s="3264">
        <f t="shared" si="171"/>
        <v>0</v>
      </c>
      <c r="BP304" s="3264">
        <f t="shared" si="172"/>
        <v>0</v>
      </c>
      <c r="BQ304" s="3264">
        <f t="shared" si="173"/>
        <v>0</v>
      </c>
      <c r="BR304" s="3264">
        <f t="shared" si="174"/>
        <v>0</v>
      </c>
      <c r="BS304" s="3264">
        <f t="shared" si="175"/>
        <v>0</v>
      </c>
      <c r="BT304" s="3317">
        <f t="shared" si="176"/>
        <v>0</v>
      </c>
    </row>
    <row r="305" spans="1:72">
      <c r="A305" s="3262"/>
      <c r="B305" s="3263"/>
      <c r="C305" s="3263"/>
      <c r="D305" s="3268"/>
      <c r="E305" s="3264">
        <f t="shared" si="177"/>
        <v>0</v>
      </c>
      <c r="F305" s="3265"/>
      <c r="G305" s="3266">
        <f t="shared" si="152"/>
        <v>0</v>
      </c>
      <c r="H305" s="3267">
        <f t="shared" si="153"/>
        <v>0</v>
      </c>
      <c r="I305" s="3275"/>
      <c r="J305" s="3275"/>
      <c r="K305" s="3275"/>
      <c r="L305" s="3275"/>
      <c r="M305" s="3275"/>
      <c r="N305" s="3275"/>
      <c r="O305" s="3275"/>
      <c r="P305" s="3275"/>
      <c r="Q305" s="3275"/>
      <c r="R305" s="3275"/>
      <c r="S305" s="3275"/>
      <c r="T305" s="3275"/>
      <c r="U305" s="3275"/>
      <c r="V305" s="3275"/>
      <c r="W305" s="3275"/>
      <c r="X305" s="3275"/>
      <c r="Y305" s="3275"/>
      <c r="Z305" s="3275"/>
      <c r="AA305" s="3275"/>
      <c r="AB305" s="3275"/>
      <c r="AC305" s="3264">
        <f t="shared" si="154"/>
        <v>0</v>
      </c>
      <c r="AD305" s="3285"/>
      <c r="AE305" s="3285"/>
      <c r="AF305" s="3285"/>
      <c r="AG305" s="3285"/>
      <c r="AH305" s="3285"/>
      <c r="AI305" s="3285"/>
      <c r="AJ305" s="3285"/>
      <c r="AK305" s="3285"/>
      <c r="AL305" s="3285"/>
      <c r="AM305" s="3285"/>
      <c r="AN305" s="3285"/>
      <c r="AO305" s="3285"/>
      <c r="AP305" s="3285"/>
      <c r="AQ305" s="3285"/>
      <c r="AR305" s="3285"/>
      <c r="AS305" s="3285"/>
      <c r="AT305" s="3295"/>
      <c r="AU305" s="3296"/>
      <c r="AV305" s="830">
        <f t="shared" si="178"/>
        <v>0</v>
      </c>
      <c r="AW305" s="830">
        <f t="shared" si="179"/>
        <v>0</v>
      </c>
      <c r="AX305" s="830">
        <f t="shared" si="180"/>
        <v>0</v>
      </c>
      <c r="AY305" s="3310">
        <f t="shared" si="155"/>
        <v>0</v>
      </c>
      <c r="AZ305" s="3264">
        <f t="shared" si="156"/>
        <v>0</v>
      </c>
      <c r="BA305" s="3264">
        <f t="shared" si="157"/>
        <v>0</v>
      </c>
      <c r="BB305" s="3264">
        <f t="shared" si="158"/>
        <v>0</v>
      </c>
      <c r="BC305" s="3264">
        <f t="shared" si="159"/>
        <v>0</v>
      </c>
      <c r="BD305" s="3264">
        <f t="shared" si="160"/>
        <v>0</v>
      </c>
      <c r="BE305" s="3264">
        <f t="shared" si="161"/>
        <v>0</v>
      </c>
      <c r="BF305" s="3264">
        <f t="shared" si="162"/>
        <v>0</v>
      </c>
      <c r="BG305" s="3264">
        <f t="shared" si="163"/>
        <v>0</v>
      </c>
      <c r="BH305" s="3264">
        <f t="shared" si="164"/>
        <v>0</v>
      </c>
      <c r="BI305" s="3264">
        <f t="shared" si="165"/>
        <v>0</v>
      </c>
      <c r="BJ305" s="3264">
        <f t="shared" si="166"/>
        <v>0</v>
      </c>
      <c r="BK305" s="3264">
        <f t="shared" si="167"/>
        <v>0</v>
      </c>
      <c r="BL305" s="3264">
        <f t="shared" si="168"/>
        <v>0</v>
      </c>
      <c r="BM305" s="3264">
        <f t="shared" si="169"/>
        <v>0</v>
      </c>
      <c r="BN305" s="3264">
        <f t="shared" si="170"/>
        <v>0</v>
      </c>
      <c r="BO305" s="3264">
        <f t="shared" si="171"/>
        <v>0</v>
      </c>
      <c r="BP305" s="3264">
        <f t="shared" si="172"/>
        <v>0</v>
      </c>
      <c r="BQ305" s="3264">
        <f t="shared" si="173"/>
        <v>0</v>
      </c>
      <c r="BR305" s="3264">
        <f t="shared" si="174"/>
        <v>0</v>
      </c>
      <c r="BS305" s="3264">
        <f t="shared" si="175"/>
        <v>0</v>
      </c>
      <c r="BT305" s="3317">
        <f t="shared" si="176"/>
        <v>0</v>
      </c>
    </row>
    <row r="306" spans="1:72">
      <c r="A306" s="3262"/>
      <c r="B306" s="3263"/>
      <c r="C306" s="3263"/>
      <c r="D306" s="3268"/>
      <c r="E306" s="3264">
        <f t="shared" si="177"/>
        <v>0</v>
      </c>
      <c r="F306" s="3265"/>
      <c r="G306" s="3266">
        <f t="shared" si="152"/>
        <v>0</v>
      </c>
      <c r="H306" s="3267">
        <f t="shared" si="153"/>
        <v>0</v>
      </c>
      <c r="I306" s="3275"/>
      <c r="J306" s="3275"/>
      <c r="K306" s="3275"/>
      <c r="L306" s="3275"/>
      <c r="M306" s="3275"/>
      <c r="N306" s="3275"/>
      <c r="O306" s="3275"/>
      <c r="P306" s="3275"/>
      <c r="Q306" s="3275"/>
      <c r="R306" s="3275"/>
      <c r="S306" s="3275"/>
      <c r="T306" s="3275"/>
      <c r="U306" s="3275"/>
      <c r="V306" s="3275"/>
      <c r="W306" s="3275"/>
      <c r="X306" s="3275"/>
      <c r="Y306" s="3275"/>
      <c r="Z306" s="3275"/>
      <c r="AA306" s="3275"/>
      <c r="AB306" s="3275"/>
      <c r="AC306" s="3264">
        <f t="shared" si="154"/>
        <v>0</v>
      </c>
      <c r="AD306" s="3285"/>
      <c r="AE306" s="3285"/>
      <c r="AF306" s="3285"/>
      <c r="AG306" s="3285"/>
      <c r="AH306" s="3285"/>
      <c r="AI306" s="3285"/>
      <c r="AJ306" s="3285"/>
      <c r="AK306" s="3285"/>
      <c r="AL306" s="3285"/>
      <c r="AM306" s="3285"/>
      <c r="AN306" s="3285"/>
      <c r="AO306" s="3285"/>
      <c r="AP306" s="3285"/>
      <c r="AQ306" s="3285"/>
      <c r="AR306" s="3285"/>
      <c r="AS306" s="3285"/>
      <c r="AT306" s="3295"/>
      <c r="AU306" s="3296"/>
      <c r="AV306" s="830">
        <f t="shared" si="178"/>
        <v>0</v>
      </c>
      <c r="AW306" s="830">
        <f t="shared" si="179"/>
        <v>0</v>
      </c>
      <c r="AX306" s="830">
        <f t="shared" si="180"/>
        <v>0</v>
      </c>
      <c r="AY306" s="3310">
        <f t="shared" si="155"/>
        <v>0</v>
      </c>
      <c r="AZ306" s="3264">
        <f t="shared" si="156"/>
        <v>0</v>
      </c>
      <c r="BA306" s="3264">
        <f t="shared" si="157"/>
        <v>0</v>
      </c>
      <c r="BB306" s="3264">
        <f t="shared" si="158"/>
        <v>0</v>
      </c>
      <c r="BC306" s="3264">
        <f t="shared" si="159"/>
        <v>0</v>
      </c>
      <c r="BD306" s="3264">
        <f t="shared" si="160"/>
        <v>0</v>
      </c>
      <c r="BE306" s="3264">
        <f t="shared" si="161"/>
        <v>0</v>
      </c>
      <c r="BF306" s="3264">
        <f t="shared" si="162"/>
        <v>0</v>
      </c>
      <c r="BG306" s="3264">
        <f t="shared" si="163"/>
        <v>0</v>
      </c>
      <c r="BH306" s="3264">
        <f t="shared" si="164"/>
        <v>0</v>
      </c>
      <c r="BI306" s="3264">
        <f t="shared" si="165"/>
        <v>0</v>
      </c>
      <c r="BJ306" s="3264">
        <f t="shared" si="166"/>
        <v>0</v>
      </c>
      <c r="BK306" s="3264">
        <f t="shared" si="167"/>
        <v>0</v>
      </c>
      <c r="BL306" s="3264">
        <f t="shared" si="168"/>
        <v>0</v>
      </c>
      <c r="BM306" s="3264">
        <f t="shared" si="169"/>
        <v>0</v>
      </c>
      <c r="BN306" s="3264">
        <f t="shared" si="170"/>
        <v>0</v>
      </c>
      <c r="BO306" s="3264">
        <f t="shared" si="171"/>
        <v>0</v>
      </c>
      <c r="BP306" s="3264">
        <f t="shared" si="172"/>
        <v>0</v>
      </c>
      <c r="BQ306" s="3264">
        <f t="shared" si="173"/>
        <v>0</v>
      </c>
      <c r="BR306" s="3264">
        <f t="shared" si="174"/>
        <v>0</v>
      </c>
      <c r="BS306" s="3264">
        <f t="shared" si="175"/>
        <v>0</v>
      </c>
      <c r="BT306" s="3317">
        <f t="shared" si="176"/>
        <v>0</v>
      </c>
    </row>
    <row r="307" spans="1:72">
      <c r="A307" s="3262"/>
      <c r="B307" s="3263"/>
      <c r="C307" s="3263"/>
      <c r="D307" s="3268"/>
      <c r="E307" s="3264">
        <f t="shared" si="177"/>
        <v>0</v>
      </c>
      <c r="F307" s="3265"/>
      <c r="G307" s="3266">
        <f t="shared" si="152"/>
        <v>0</v>
      </c>
      <c r="H307" s="3267">
        <f t="shared" si="153"/>
        <v>0</v>
      </c>
      <c r="I307" s="3275"/>
      <c r="J307" s="3275"/>
      <c r="K307" s="3275"/>
      <c r="L307" s="3275"/>
      <c r="M307" s="3275"/>
      <c r="N307" s="3275"/>
      <c r="O307" s="3275"/>
      <c r="P307" s="3275"/>
      <c r="Q307" s="3275"/>
      <c r="R307" s="3275"/>
      <c r="S307" s="3275"/>
      <c r="T307" s="3275"/>
      <c r="U307" s="3275"/>
      <c r="V307" s="3275"/>
      <c r="W307" s="3275"/>
      <c r="X307" s="3275"/>
      <c r="Y307" s="3275"/>
      <c r="Z307" s="3275"/>
      <c r="AA307" s="3275"/>
      <c r="AB307" s="3275"/>
      <c r="AC307" s="3264">
        <f t="shared" si="154"/>
        <v>0</v>
      </c>
      <c r="AD307" s="3285"/>
      <c r="AE307" s="3285"/>
      <c r="AF307" s="3285"/>
      <c r="AG307" s="3285"/>
      <c r="AH307" s="3285"/>
      <c r="AI307" s="3285"/>
      <c r="AJ307" s="3285"/>
      <c r="AK307" s="3285"/>
      <c r="AL307" s="3285"/>
      <c r="AM307" s="3285"/>
      <c r="AN307" s="3285"/>
      <c r="AO307" s="3285"/>
      <c r="AP307" s="3285"/>
      <c r="AQ307" s="3285"/>
      <c r="AR307" s="3285"/>
      <c r="AS307" s="3285"/>
      <c r="AT307" s="3295"/>
      <c r="AU307" s="3296"/>
      <c r="AV307" s="830">
        <f t="shared" si="178"/>
        <v>0</v>
      </c>
      <c r="AW307" s="830">
        <f t="shared" si="179"/>
        <v>0</v>
      </c>
      <c r="AX307" s="830">
        <f t="shared" si="180"/>
        <v>0</v>
      </c>
      <c r="AY307" s="3310">
        <f t="shared" si="155"/>
        <v>0</v>
      </c>
      <c r="AZ307" s="3264">
        <f t="shared" si="156"/>
        <v>0</v>
      </c>
      <c r="BA307" s="3264">
        <f t="shared" si="157"/>
        <v>0</v>
      </c>
      <c r="BB307" s="3264">
        <f t="shared" si="158"/>
        <v>0</v>
      </c>
      <c r="BC307" s="3264">
        <f t="shared" si="159"/>
        <v>0</v>
      </c>
      <c r="BD307" s="3264">
        <f t="shared" si="160"/>
        <v>0</v>
      </c>
      <c r="BE307" s="3264">
        <f t="shared" si="161"/>
        <v>0</v>
      </c>
      <c r="BF307" s="3264">
        <f t="shared" si="162"/>
        <v>0</v>
      </c>
      <c r="BG307" s="3264">
        <f t="shared" si="163"/>
        <v>0</v>
      </c>
      <c r="BH307" s="3264">
        <f t="shared" si="164"/>
        <v>0</v>
      </c>
      <c r="BI307" s="3264">
        <f t="shared" si="165"/>
        <v>0</v>
      </c>
      <c r="BJ307" s="3264">
        <f t="shared" si="166"/>
        <v>0</v>
      </c>
      <c r="BK307" s="3264">
        <f t="shared" si="167"/>
        <v>0</v>
      </c>
      <c r="BL307" s="3264">
        <f t="shared" si="168"/>
        <v>0</v>
      </c>
      <c r="BM307" s="3264">
        <f t="shared" si="169"/>
        <v>0</v>
      </c>
      <c r="BN307" s="3264">
        <f t="shared" si="170"/>
        <v>0</v>
      </c>
      <c r="BO307" s="3264">
        <f t="shared" si="171"/>
        <v>0</v>
      </c>
      <c r="BP307" s="3264">
        <f t="shared" si="172"/>
        <v>0</v>
      </c>
      <c r="BQ307" s="3264">
        <f t="shared" si="173"/>
        <v>0</v>
      </c>
      <c r="BR307" s="3264">
        <f t="shared" si="174"/>
        <v>0</v>
      </c>
      <c r="BS307" s="3264">
        <f t="shared" si="175"/>
        <v>0</v>
      </c>
      <c r="BT307" s="3317">
        <f t="shared" si="176"/>
        <v>0</v>
      </c>
    </row>
    <row r="308" spans="1:72">
      <c r="A308" s="3262"/>
      <c r="B308" s="3263"/>
      <c r="C308" s="3263"/>
      <c r="D308" s="3268"/>
      <c r="E308" s="3264">
        <f t="shared" si="177"/>
        <v>0</v>
      </c>
      <c r="F308" s="3265"/>
      <c r="G308" s="3266">
        <f t="shared" si="152"/>
        <v>0</v>
      </c>
      <c r="H308" s="3267">
        <f t="shared" si="153"/>
        <v>0</v>
      </c>
      <c r="I308" s="3275"/>
      <c r="J308" s="3275"/>
      <c r="K308" s="3275"/>
      <c r="L308" s="3275"/>
      <c r="M308" s="3275"/>
      <c r="N308" s="3275"/>
      <c r="O308" s="3275"/>
      <c r="P308" s="3275"/>
      <c r="Q308" s="3275"/>
      <c r="R308" s="3275"/>
      <c r="S308" s="3275"/>
      <c r="T308" s="3275"/>
      <c r="U308" s="3275"/>
      <c r="V308" s="3275"/>
      <c r="W308" s="3275"/>
      <c r="X308" s="3275"/>
      <c r="Y308" s="3275"/>
      <c r="Z308" s="3275"/>
      <c r="AA308" s="3275"/>
      <c r="AB308" s="3275"/>
      <c r="AC308" s="3264">
        <f t="shared" si="154"/>
        <v>0</v>
      </c>
      <c r="AD308" s="3285"/>
      <c r="AE308" s="3285"/>
      <c r="AF308" s="3285"/>
      <c r="AG308" s="3285"/>
      <c r="AH308" s="3285"/>
      <c r="AI308" s="3285"/>
      <c r="AJ308" s="3285"/>
      <c r="AK308" s="3285"/>
      <c r="AL308" s="3285"/>
      <c r="AM308" s="3285"/>
      <c r="AN308" s="3285"/>
      <c r="AO308" s="3285"/>
      <c r="AP308" s="3285"/>
      <c r="AQ308" s="3285"/>
      <c r="AR308" s="3285"/>
      <c r="AS308" s="3285"/>
      <c r="AT308" s="3295"/>
      <c r="AU308" s="3296"/>
      <c r="AV308" s="830">
        <f t="shared" si="178"/>
        <v>0</v>
      </c>
      <c r="AW308" s="830">
        <f t="shared" si="179"/>
        <v>0</v>
      </c>
      <c r="AX308" s="830">
        <f t="shared" si="180"/>
        <v>0</v>
      </c>
      <c r="AY308" s="3310">
        <f t="shared" si="155"/>
        <v>0</v>
      </c>
      <c r="AZ308" s="3264">
        <f t="shared" si="156"/>
        <v>0</v>
      </c>
      <c r="BA308" s="3264">
        <f t="shared" si="157"/>
        <v>0</v>
      </c>
      <c r="BB308" s="3264">
        <f t="shared" si="158"/>
        <v>0</v>
      </c>
      <c r="BC308" s="3264">
        <f t="shared" si="159"/>
        <v>0</v>
      </c>
      <c r="BD308" s="3264">
        <f t="shared" si="160"/>
        <v>0</v>
      </c>
      <c r="BE308" s="3264">
        <f t="shared" si="161"/>
        <v>0</v>
      </c>
      <c r="BF308" s="3264">
        <f t="shared" si="162"/>
        <v>0</v>
      </c>
      <c r="BG308" s="3264">
        <f t="shared" si="163"/>
        <v>0</v>
      </c>
      <c r="BH308" s="3264">
        <f t="shared" si="164"/>
        <v>0</v>
      </c>
      <c r="BI308" s="3264">
        <f t="shared" si="165"/>
        <v>0</v>
      </c>
      <c r="BJ308" s="3264">
        <f t="shared" si="166"/>
        <v>0</v>
      </c>
      <c r="BK308" s="3264">
        <f t="shared" si="167"/>
        <v>0</v>
      </c>
      <c r="BL308" s="3264">
        <f t="shared" si="168"/>
        <v>0</v>
      </c>
      <c r="BM308" s="3264">
        <f t="shared" si="169"/>
        <v>0</v>
      </c>
      <c r="BN308" s="3264">
        <f t="shared" si="170"/>
        <v>0</v>
      </c>
      <c r="BO308" s="3264">
        <f t="shared" si="171"/>
        <v>0</v>
      </c>
      <c r="BP308" s="3264">
        <f t="shared" si="172"/>
        <v>0</v>
      </c>
      <c r="BQ308" s="3264">
        <f t="shared" si="173"/>
        <v>0</v>
      </c>
      <c r="BR308" s="3264">
        <f t="shared" si="174"/>
        <v>0</v>
      </c>
      <c r="BS308" s="3264">
        <f t="shared" si="175"/>
        <v>0</v>
      </c>
      <c r="BT308" s="3317">
        <f t="shared" si="176"/>
        <v>0</v>
      </c>
    </row>
    <row r="309" spans="1:72">
      <c r="A309" s="3262"/>
      <c r="B309" s="3263"/>
      <c r="C309" s="3263"/>
      <c r="D309" s="3268"/>
      <c r="E309" s="3264">
        <f t="shared" si="177"/>
        <v>0</v>
      </c>
      <c r="F309" s="3265"/>
      <c r="G309" s="3266">
        <f t="shared" si="152"/>
        <v>0</v>
      </c>
      <c r="H309" s="3267">
        <f t="shared" si="153"/>
        <v>0</v>
      </c>
      <c r="I309" s="3275"/>
      <c r="J309" s="3275"/>
      <c r="K309" s="3275"/>
      <c r="L309" s="3275"/>
      <c r="M309" s="3275"/>
      <c r="N309" s="3275"/>
      <c r="O309" s="3275"/>
      <c r="P309" s="3275"/>
      <c r="Q309" s="3275"/>
      <c r="R309" s="3275"/>
      <c r="S309" s="3275"/>
      <c r="T309" s="3275"/>
      <c r="U309" s="3275"/>
      <c r="V309" s="3275"/>
      <c r="W309" s="3275"/>
      <c r="X309" s="3275"/>
      <c r="Y309" s="3275"/>
      <c r="Z309" s="3275"/>
      <c r="AA309" s="3275"/>
      <c r="AB309" s="3275"/>
      <c r="AC309" s="3264">
        <f t="shared" si="154"/>
        <v>0</v>
      </c>
      <c r="AD309" s="3285"/>
      <c r="AE309" s="3285"/>
      <c r="AF309" s="3285"/>
      <c r="AG309" s="3285"/>
      <c r="AH309" s="3285"/>
      <c r="AI309" s="3285"/>
      <c r="AJ309" s="3285"/>
      <c r="AK309" s="3285"/>
      <c r="AL309" s="3285"/>
      <c r="AM309" s="3285"/>
      <c r="AN309" s="3285"/>
      <c r="AO309" s="3285"/>
      <c r="AP309" s="3285"/>
      <c r="AQ309" s="3285"/>
      <c r="AR309" s="3285"/>
      <c r="AS309" s="3285"/>
      <c r="AT309" s="3295"/>
      <c r="AU309" s="3296"/>
      <c r="AV309" s="830">
        <f t="shared" si="178"/>
        <v>0</v>
      </c>
      <c r="AW309" s="830">
        <f t="shared" si="179"/>
        <v>0</v>
      </c>
      <c r="AX309" s="830">
        <f t="shared" si="180"/>
        <v>0</v>
      </c>
      <c r="AY309" s="3310">
        <f t="shared" si="155"/>
        <v>0</v>
      </c>
      <c r="AZ309" s="3264">
        <f t="shared" si="156"/>
        <v>0</v>
      </c>
      <c r="BA309" s="3264">
        <f t="shared" si="157"/>
        <v>0</v>
      </c>
      <c r="BB309" s="3264">
        <f t="shared" si="158"/>
        <v>0</v>
      </c>
      <c r="BC309" s="3264">
        <f t="shared" si="159"/>
        <v>0</v>
      </c>
      <c r="BD309" s="3264">
        <f t="shared" si="160"/>
        <v>0</v>
      </c>
      <c r="BE309" s="3264">
        <f t="shared" si="161"/>
        <v>0</v>
      </c>
      <c r="BF309" s="3264">
        <f t="shared" si="162"/>
        <v>0</v>
      </c>
      <c r="BG309" s="3264">
        <f t="shared" si="163"/>
        <v>0</v>
      </c>
      <c r="BH309" s="3264">
        <f t="shared" si="164"/>
        <v>0</v>
      </c>
      <c r="BI309" s="3264">
        <f t="shared" si="165"/>
        <v>0</v>
      </c>
      <c r="BJ309" s="3264">
        <f t="shared" si="166"/>
        <v>0</v>
      </c>
      <c r="BK309" s="3264">
        <f t="shared" si="167"/>
        <v>0</v>
      </c>
      <c r="BL309" s="3264">
        <f t="shared" si="168"/>
        <v>0</v>
      </c>
      <c r="BM309" s="3264">
        <f t="shared" si="169"/>
        <v>0</v>
      </c>
      <c r="BN309" s="3264">
        <f t="shared" si="170"/>
        <v>0</v>
      </c>
      <c r="BO309" s="3264">
        <f t="shared" si="171"/>
        <v>0</v>
      </c>
      <c r="BP309" s="3264">
        <f t="shared" si="172"/>
        <v>0</v>
      </c>
      <c r="BQ309" s="3264">
        <f t="shared" si="173"/>
        <v>0</v>
      </c>
      <c r="BR309" s="3264">
        <f t="shared" si="174"/>
        <v>0</v>
      </c>
      <c r="BS309" s="3264">
        <f t="shared" si="175"/>
        <v>0</v>
      </c>
      <c r="BT309" s="3317">
        <f t="shared" si="176"/>
        <v>0</v>
      </c>
    </row>
    <row r="310" spans="1:72">
      <c r="A310" s="3262"/>
      <c r="B310" s="3263"/>
      <c r="C310" s="3263"/>
      <c r="D310" s="3268"/>
      <c r="E310" s="3264">
        <f t="shared" si="177"/>
        <v>0</v>
      </c>
      <c r="F310" s="3265"/>
      <c r="G310" s="3266">
        <f t="shared" si="152"/>
        <v>0</v>
      </c>
      <c r="H310" s="3267">
        <f t="shared" si="153"/>
        <v>0</v>
      </c>
      <c r="I310" s="3275"/>
      <c r="J310" s="3275"/>
      <c r="K310" s="3275"/>
      <c r="L310" s="3275"/>
      <c r="M310" s="3275"/>
      <c r="N310" s="3275"/>
      <c r="O310" s="3275"/>
      <c r="P310" s="3275"/>
      <c r="Q310" s="3275"/>
      <c r="R310" s="3275"/>
      <c r="S310" s="3275"/>
      <c r="T310" s="3275"/>
      <c r="U310" s="3275"/>
      <c r="V310" s="3275"/>
      <c r="W310" s="3275"/>
      <c r="X310" s="3275"/>
      <c r="Y310" s="3275"/>
      <c r="Z310" s="3275"/>
      <c r="AA310" s="3275"/>
      <c r="AB310" s="3275"/>
      <c r="AC310" s="3264">
        <f t="shared" si="154"/>
        <v>0</v>
      </c>
      <c r="AD310" s="3285"/>
      <c r="AE310" s="3285"/>
      <c r="AF310" s="3285"/>
      <c r="AG310" s="3285"/>
      <c r="AH310" s="3285"/>
      <c r="AI310" s="3285"/>
      <c r="AJ310" s="3285"/>
      <c r="AK310" s="3285"/>
      <c r="AL310" s="3285"/>
      <c r="AM310" s="3285"/>
      <c r="AN310" s="3285"/>
      <c r="AO310" s="3285"/>
      <c r="AP310" s="3285"/>
      <c r="AQ310" s="3285"/>
      <c r="AR310" s="3285"/>
      <c r="AS310" s="3285"/>
      <c r="AT310" s="3295"/>
      <c r="AU310" s="3296"/>
      <c r="AV310" s="830">
        <f t="shared" si="178"/>
        <v>0</v>
      </c>
      <c r="AW310" s="830">
        <f t="shared" si="179"/>
        <v>0</v>
      </c>
      <c r="AX310" s="830">
        <f t="shared" si="180"/>
        <v>0</v>
      </c>
      <c r="AY310" s="3310">
        <f t="shared" si="155"/>
        <v>0</v>
      </c>
      <c r="AZ310" s="3264">
        <f t="shared" si="156"/>
        <v>0</v>
      </c>
      <c r="BA310" s="3264">
        <f t="shared" si="157"/>
        <v>0</v>
      </c>
      <c r="BB310" s="3264">
        <f t="shared" si="158"/>
        <v>0</v>
      </c>
      <c r="BC310" s="3264">
        <f t="shared" si="159"/>
        <v>0</v>
      </c>
      <c r="BD310" s="3264">
        <f t="shared" si="160"/>
        <v>0</v>
      </c>
      <c r="BE310" s="3264">
        <f t="shared" si="161"/>
        <v>0</v>
      </c>
      <c r="BF310" s="3264">
        <f t="shared" si="162"/>
        <v>0</v>
      </c>
      <c r="BG310" s="3264">
        <f t="shared" si="163"/>
        <v>0</v>
      </c>
      <c r="BH310" s="3264">
        <f t="shared" si="164"/>
        <v>0</v>
      </c>
      <c r="BI310" s="3264">
        <f t="shared" si="165"/>
        <v>0</v>
      </c>
      <c r="BJ310" s="3264">
        <f t="shared" si="166"/>
        <v>0</v>
      </c>
      <c r="BK310" s="3264">
        <f t="shared" si="167"/>
        <v>0</v>
      </c>
      <c r="BL310" s="3264">
        <f t="shared" si="168"/>
        <v>0</v>
      </c>
      <c r="BM310" s="3264">
        <f t="shared" si="169"/>
        <v>0</v>
      </c>
      <c r="BN310" s="3264">
        <f t="shared" si="170"/>
        <v>0</v>
      </c>
      <c r="BO310" s="3264">
        <f t="shared" si="171"/>
        <v>0</v>
      </c>
      <c r="BP310" s="3264">
        <f t="shared" si="172"/>
        <v>0</v>
      </c>
      <c r="BQ310" s="3264">
        <f t="shared" si="173"/>
        <v>0</v>
      </c>
      <c r="BR310" s="3264">
        <f t="shared" si="174"/>
        <v>0</v>
      </c>
      <c r="BS310" s="3264">
        <f t="shared" si="175"/>
        <v>0</v>
      </c>
      <c r="BT310" s="3317">
        <f t="shared" si="176"/>
        <v>0</v>
      </c>
    </row>
    <row r="311" spans="1:72">
      <c r="A311" s="3262"/>
      <c r="B311" s="3263"/>
      <c r="C311" s="3263"/>
      <c r="D311" s="3268"/>
      <c r="E311" s="3264">
        <f t="shared" si="177"/>
        <v>0</v>
      </c>
      <c r="F311" s="3265"/>
      <c r="G311" s="3266">
        <f t="shared" si="152"/>
        <v>0</v>
      </c>
      <c r="H311" s="3267">
        <f t="shared" si="153"/>
        <v>0</v>
      </c>
      <c r="I311" s="3275"/>
      <c r="J311" s="3275"/>
      <c r="K311" s="3275"/>
      <c r="L311" s="3275"/>
      <c r="M311" s="3275"/>
      <c r="N311" s="3275"/>
      <c r="O311" s="3275"/>
      <c r="P311" s="3275"/>
      <c r="Q311" s="3275"/>
      <c r="R311" s="3275"/>
      <c r="S311" s="3275"/>
      <c r="T311" s="3275"/>
      <c r="U311" s="3275"/>
      <c r="V311" s="3275"/>
      <c r="W311" s="3275"/>
      <c r="X311" s="3275"/>
      <c r="Y311" s="3275"/>
      <c r="Z311" s="3275"/>
      <c r="AA311" s="3275"/>
      <c r="AB311" s="3275"/>
      <c r="AC311" s="3264">
        <f t="shared" si="154"/>
        <v>0</v>
      </c>
      <c r="AD311" s="3285"/>
      <c r="AE311" s="3285"/>
      <c r="AF311" s="3285"/>
      <c r="AG311" s="3285"/>
      <c r="AH311" s="3285"/>
      <c r="AI311" s="3285"/>
      <c r="AJ311" s="3285"/>
      <c r="AK311" s="3285"/>
      <c r="AL311" s="3285"/>
      <c r="AM311" s="3285"/>
      <c r="AN311" s="3285"/>
      <c r="AO311" s="3285"/>
      <c r="AP311" s="3285"/>
      <c r="AQ311" s="3285"/>
      <c r="AR311" s="3285"/>
      <c r="AS311" s="3285"/>
      <c r="AT311" s="3295"/>
      <c r="AU311" s="3296"/>
      <c r="AV311" s="830">
        <f t="shared" si="178"/>
        <v>0</v>
      </c>
      <c r="AW311" s="830">
        <f t="shared" si="179"/>
        <v>0</v>
      </c>
      <c r="AX311" s="830">
        <f t="shared" si="180"/>
        <v>0</v>
      </c>
      <c r="AY311" s="3310">
        <f t="shared" si="155"/>
        <v>0</v>
      </c>
      <c r="AZ311" s="3264">
        <f t="shared" si="156"/>
        <v>0</v>
      </c>
      <c r="BA311" s="3264">
        <f t="shared" si="157"/>
        <v>0</v>
      </c>
      <c r="BB311" s="3264">
        <f t="shared" si="158"/>
        <v>0</v>
      </c>
      <c r="BC311" s="3264">
        <f t="shared" si="159"/>
        <v>0</v>
      </c>
      <c r="BD311" s="3264">
        <f t="shared" si="160"/>
        <v>0</v>
      </c>
      <c r="BE311" s="3264">
        <f t="shared" si="161"/>
        <v>0</v>
      </c>
      <c r="BF311" s="3264">
        <f t="shared" si="162"/>
        <v>0</v>
      </c>
      <c r="BG311" s="3264">
        <f t="shared" si="163"/>
        <v>0</v>
      </c>
      <c r="BH311" s="3264">
        <f t="shared" si="164"/>
        <v>0</v>
      </c>
      <c r="BI311" s="3264">
        <f t="shared" si="165"/>
        <v>0</v>
      </c>
      <c r="BJ311" s="3264">
        <f t="shared" si="166"/>
        <v>0</v>
      </c>
      <c r="BK311" s="3264">
        <f t="shared" si="167"/>
        <v>0</v>
      </c>
      <c r="BL311" s="3264">
        <f t="shared" si="168"/>
        <v>0</v>
      </c>
      <c r="BM311" s="3264">
        <f t="shared" si="169"/>
        <v>0</v>
      </c>
      <c r="BN311" s="3264">
        <f t="shared" si="170"/>
        <v>0</v>
      </c>
      <c r="BO311" s="3264">
        <f t="shared" si="171"/>
        <v>0</v>
      </c>
      <c r="BP311" s="3264">
        <f t="shared" si="172"/>
        <v>0</v>
      </c>
      <c r="BQ311" s="3264">
        <f t="shared" si="173"/>
        <v>0</v>
      </c>
      <c r="BR311" s="3264">
        <f t="shared" si="174"/>
        <v>0</v>
      </c>
      <c r="BS311" s="3264">
        <f t="shared" si="175"/>
        <v>0</v>
      </c>
      <c r="BT311" s="3317">
        <f t="shared" si="176"/>
        <v>0</v>
      </c>
    </row>
    <row r="312" spans="1:72">
      <c r="A312" s="3262"/>
      <c r="B312" s="3263"/>
      <c r="C312" s="3263"/>
      <c r="D312" s="3268"/>
      <c r="E312" s="3264">
        <f t="shared" si="177"/>
        <v>0</v>
      </c>
      <c r="F312" s="3265"/>
      <c r="G312" s="3266">
        <f t="shared" si="152"/>
        <v>0</v>
      </c>
      <c r="H312" s="3267">
        <f t="shared" si="153"/>
        <v>0</v>
      </c>
      <c r="I312" s="3275"/>
      <c r="J312" s="3275"/>
      <c r="K312" s="3275"/>
      <c r="L312" s="3275"/>
      <c r="M312" s="3275"/>
      <c r="N312" s="3275"/>
      <c r="O312" s="3275"/>
      <c r="P312" s="3275"/>
      <c r="Q312" s="3275"/>
      <c r="R312" s="3275"/>
      <c r="S312" s="3275"/>
      <c r="T312" s="3275"/>
      <c r="U312" s="3275"/>
      <c r="V312" s="3275"/>
      <c r="W312" s="3275"/>
      <c r="X312" s="3275"/>
      <c r="Y312" s="3275"/>
      <c r="Z312" s="3275"/>
      <c r="AA312" s="3275"/>
      <c r="AB312" s="3275"/>
      <c r="AC312" s="3264">
        <f t="shared" si="154"/>
        <v>0</v>
      </c>
      <c r="AD312" s="3285"/>
      <c r="AE312" s="3285"/>
      <c r="AF312" s="3285"/>
      <c r="AG312" s="3285"/>
      <c r="AH312" s="3285"/>
      <c r="AI312" s="3285"/>
      <c r="AJ312" s="3285"/>
      <c r="AK312" s="3285"/>
      <c r="AL312" s="3285"/>
      <c r="AM312" s="3285"/>
      <c r="AN312" s="3285"/>
      <c r="AO312" s="3285"/>
      <c r="AP312" s="3285"/>
      <c r="AQ312" s="3285"/>
      <c r="AR312" s="3285"/>
      <c r="AS312" s="3285"/>
      <c r="AT312" s="3295"/>
      <c r="AU312" s="3296"/>
      <c r="AV312" s="830">
        <f t="shared" si="178"/>
        <v>0</v>
      </c>
      <c r="AW312" s="830">
        <f t="shared" si="179"/>
        <v>0</v>
      </c>
      <c r="AX312" s="830">
        <f t="shared" si="180"/>
        <v>0</v>
      </c>
      <c r="AY312" s="3310">
        <f t="shared" si="155"/>
        <v>0</v>
      </c>
      <c r="AZ312" s="3264">
        <f t="shared" si="156"/>
        <v>0</v>
      </c>
      <c r="BA312" s="3264">
        <f t="shared" si="157"/>
        <v>0</v>
      </c>
      <c r="BB312" s="3264">
        <f t="shared" si="158"/>
        <v>0</v>
      </c>
      <c r="BC312" s="3264">
        <f t="shared" si="159"/>
        <v>0</v>
      </c>
      <c r="BD312" s="3264">
        <f t="shared" si="160"/>
        <v>0</v>
      </c>
      <c r="BE312" s="3264">
        <f t="shared" si="161"/>
        <v>0</v>
      </c>
      <c r="BF312" s="3264">
        <f t="shared" si="162"/>
        <v>0</v>
      </c>
      <c r="BG312" s="3264">
        <f t="shared" si="163"/>
        <v>0</v>
      </c>
      <c r="BH312" s="3264">
        <f t="shared" si="164"/>
        <v>0</v>
      </c>
      <c r="BI312" s="3264">
        <f t="shared" si="165"/>
        <v>0</v>
      </c>
      <c r="BJ312" s="3264">
        <f t="shared" si="166"/>
        <v>0</v>
      </c>
      <c r="BK312" s="3264">
        <f t="shared" si="167"/>
        <v>0</v>
      </c>
      <c r="BL312" s="3264">
        <f t="shared" si="168"/>
        <v>0</v>
      </c>
      <c r="BM312" s="3264">
        <f t="shared" si="169"/>
        <v>0</v>
      </c>
      <c r="BN312" s="3264">
        <f t="shared" si="170"/>
        <v>0</v>
      </c>
      <c r="BO312" s="3264">
        <f t="shared" si="171"/>
        <v>0</v>
      </c>
      <c r="BP312" s="3264">
        <f t="shared" si="172"/>
        <v>0</v>
      </c>
      <c r="BQ312" s="3264">
        <f t="shared" si="173"/>
        <v>0</v>
      </c>
      <c r="BR312" s="3264">
        <f t="shared" si="174"/>
        <v>0</v>
      </c>
      <c r="BS312" s="3264">
        <f t="shared" si="175"/>
        <v>0</v>
      </c>
      <c r="BT312" s="3317">
        <f t="shared" si="176"/>
        <v>0</v>
      </c>
    </row>
    <row r="313" spans="1:72">
      <c r="A313" s="3262"/>
      <c r="B313" s="3263"/>
      <c r="C313" s="3263"/>
      <c r="D313" s="3268"/>
      <c r="E313" s="3264">
        <f t="shared" si="177"/>
        <v>0</v>
      </c>
      <c r="F313" s="3265"/>
      <c r="G313" s="3266">
        <f t="shared" si="152"/>
        <v>0</v>
      </c>
      <c r="H313" s="3267">
        <f t="shared" si="153"/>
        <v>0</v>
      </c>
      <c r="I313" s="3275"/>
      <c r="J313" s="3275"/>
      <c r="K313" s="3275"/>
      <c r="L313" s="3275"/>
      <c r="M313" s="3275"/>
      <c r="N313" s="3275"/>
      <c r="O313" s="3275"/>
      <c r="P313" s="3275"/>
      <c r="Q313" s="3275"/>
      <c r="R313" s="3275"/>
      <c r="S313" s="3275"/>
      <c r="T313" s="3275"/>
      <c r="U313" s="3275"/>
      <c r="V313" s="3275"/>
      <c r="W313" s="3275"/>
      <c r="X313" s="3275"/>
      <c r="Y313" s="3275"/>
      <c r="Z313" s="3275"/>
      <c r="AA313" s="3275"/>
      <c r="AB313" s="3275"/>
      <c r="AC313" s="3264">
        <f t="shared" si="154"/>
        <v>0</v>
      </c>
      <c r="AD313" s="3285"/>
      <c r="AE313" s="3285"/>
      <c r="AF313" s="3285"/>
      <c r="AG313" s="3285"/>
      <c r="AH313" s="3285"/>
      <c r="AI313" s="3285"/>
      <c r="AJ313" s="3285"/>
      <c r="AK313" s="3285"/>
      <c r="AL313" s="3285"/>
      <c r="AM313" s="3285"/>
      <c r="AN313" s="3285"/>
      <c r="AO313" s="3285"/>
      <c r="AP313" s="3285"/>
      <c r="AQ313" s="3285"/>
      <c r="AR313" s="3285"/>
      <c r="AS313" s="3285"/>
      <c r="AT313" s="3295"/>
      <c r="AU313" s="3296"/>
      <c r="AV313" s="830">
        <f t="shared" si="178"/>
        <v>0</v>
      </c>
      <c r="AW313" s="830">
        <f t="shared" si="179"/>
        <v>0</v>
      </c>
      <c r="AX313" s="830">
        <f t="shared" si="180"/>
        <v>0</v>
      </c>
      <c r="AY313" s="3310">
        <f t="shared" si="155"/>
        <v>0</v>
      </c>
      <c r="AZ313" s="3264">
        <f t="shared" si="156"/>
        <v>0</v>
      </c>
      <c r="BA313" s="3264">
        <f t="shared" si="157"/>
        <v>0</v>
      </c>
      <c r="BB313" s="3264">
        <f t="shared" si="158"/>
        <v>0</v>
      </c>
      <c r="BC313" s="3264">
        <f t="shared" si="159"/>
        <v>0</v>
      </c>
      <c r="BD313" s="3264">
        <f t="shared" si="160"/>
        <v>0</v>
      </c>
      <c r="BE313" s="3264">
        <f t="shared" si="161"/>
        <v>0</v>
      </c>
      <c r="BF313" s="3264">
        <f t="shared" si="162"/>
        <v>0</v>
      </c>
      <c r="BG313" s="3264">
        <f t="shared" si="163"/>
        <v>0</v>
      </c>
      <c r="BH313" s="3264">
        <f t="shared" si="164"/>
        <v>0</v>
      </c>
      <c r="BI313" s="3264">
        <f t="shared" si="165"/>
        <v>0</v>
      </c>
      <c r="BJ313" s="3264">
        <f t="shared" si="166"/>
        <v>0</v>
      </c>
      <c r="BK313" s="3264">
        <f t="shared" si="167"/>
        <v>0</v>
      </c>
      <c r="BL313" s="3264">
        <f t="shared" si="168"/>
        <v>0</v>
      </c>
      <c r="BM313" s="3264">
        <f t="shared" si="169"/>
        <v>0</v>
      </c>
      <c r="BN313" s="3264">
        <f t="shared" si="170"/>
        <v>0</v>
      </c>
      <c r="BO313" s="3264">
        <f t="shared" si="171"/>
        <v>0</v>
      </c>
      <c r="BP313" s="3264">
        <f t="shared" si="172"/>
        <v>0</v>
      </c>
      <c r="BQ313" s="3264">
        <f t="shared" si="173"/>
        <v>0</v>
      </c>
      <c r="BR313" s="3264">
        <f t="shared" si="174"/>
        <v>0</v>
      </c>
      <c r="BS313" s="3264">
        <f t="shared" si="175"/>
        <v>0</v>
      </c>
      <c r="BT313" s="3317">
        <f t="shared" si="176"/>
        <v>0</v>
      </c>
    </row>
    <row r="314" spans="1:72">
      <c r="A314" s="3262"/>
      <c r="B314" s="3263"/>
      <c r="C314" s="3263"/>
      <c r="D314" s="3268"/>
      <c r="E314" s="3264">
        <f t="shared" si="177"/>
        <v>0</v>
      </c>
      <c r="F314" s="3265"/>
      <c r="G314" s="3266">
        <f t="shared" si="152"/>
        <v>0</v>
      </c>
      <c r="H314" s="3267">
        <f t="shared" si="153"/>
        <v>0</v>
      </c>
      <c r="I314" s="3275"/>
      <c r="J314" s="3275"/>
      <c r="K314" s="3275"/>
      <c r="L314" s="3275"/>
      <c r="M314" s="3275"/>
      <c r="N314" s="3275"/>
      <c r="O314" s="3275"/>
      <c r="P314" s="3275"/>
      <c r="Q314" s="3275"/>
      <c r="R314" s="3275"/>
      <c r="S314" s="3275"/>
      <c r="T314" s="3275"/>
      <c r="U314" s="3275"/>
      <c r="V314" s="3275"/>
      <c r="W314" s="3275"/>
      <c r="X314" s="3275"/>
      <c r="Y314" s="3275"/>
      <c r="Z314" s="3275"/>
      <c r="AA314" s="3275"/>
      <c r="AB314" s="3275"/>
      <c r="AC314" s="3264">
        <f t="shared" si="154"/>
        <v>0</v>
      </c>
      <c r="AD314" s="3285"/>
      <c r="AE314" s="3285"/>
      <c r="AF314" s="3285"/>
      <c r="AG314" s="3285"/>
      <c r="AH314" s="3285"/>
      <c r="AI314" s="3285"/>
      <c r="AJ314" s="3285"/>
      <c r="AK314" s="3285"/>
      <c r="AL314" s="3285"/>
      <c r="AM314" s="3285"/>
      <c r="AN314" s="3285"/>
      <c r="AO314" s="3285"/>
      <c r="AP314" s="3285"/>
      <c r="AQ314" s="3285"/>
      <c r="AR314" s="3285"/>
      <c r="AS314" s="3285"/>
      <c r="AT314" s="3295"/>
      <c r="AU314" s="3296"/>
      <c r="AV314" s="830">
        <f t="shared" si="178"/>
        <v>0</v>
      </c>
      <c r="AW314" s="830">
        <f t="shared" si="179"/>
        <v>0</v>
      </c>
      <c r="AX314" s="830">
        <f t="shared" si="180"/>
        <v>0</v>
      </c>
      <c r="AY314" s="3310">
        <f t="shared" si="155"/>
        <v>0</v>
      </c>
      <c r="AZ314" s="3264">
        <f t="shared" si="156"/>
        <v>0</v>
      </c>
      <c r="BA314" s="3264">
        <f t="shared" si="157"/>
        <v>0</v>
      </c>
      <c r="BB314" s="3264">
        <f t="shared" si="158"/>
        <v>0</v>
      </c>
      <c r="BC314" s="3264">
        <f t="shared" si="159"/>
        <v>0</v>
      </c>
      <c r="BD314" s="3264">
        <f t="shared" si="160"/>
        <v>0</v>
      </c>
      <c r="BE314" s="3264">
        <f t="shared" si="161"/>
        <v>0</v>
      </c>
      <c r="BF314" s="3264">
        <f t="shared" si="162"/>
        <v>0</v>
      </c>
      <c r="BG314" s="3264">
        <f t="shared" si="163"/>
        <v>0</v>
      </c>
      <c r="BH314" s="3264">
        <f t="shared" si="164"/>
        <v>0</v>
      </c>
      <c r="BI314" s="3264">
        <f t="shared" si="165"/>
        <v>0</v>
      </c>
      <c r="BJ314" s="3264">
        <f t="shared" si="166"/>
        <v>0</v>
      </c>
      <c r="BK314" s="3264">
        <f t="shared" si="167"/>
        <v>0</v>
      </c>
      <c r="BL314" s="3264">
        <f t="shared" si="168"/>
        <v>0</v>
      </c>
      <c r="BM314" s="3264">
        <f t="shared" si="169"/>
        <v>0</v>
      </c>
      <c r="BN314" s="3264">
        <f t="shared" si="170"/>
        <v>0</v>
      </c>
      <c r="BO314" s="3264">
        <f t="shared" si="171"/>
        <v>0</v>
      </c>
      <c r="BP314" s="3264">
        <f t="shared" si="172"/>
        <v>0</v>
      </c>
      <c r="BQ314" s="3264">
        <f t="shared" si="173"/>
        <v>0</v>
      </c>
      <c r="BR314" s="3264">
        <f t="shared" si="174"/>
        <v>0</v>
      </c>
      <c r="BS314" s="3264">
        <f t="shared" si="175"/>
        <v>0</v>
      </c>
      <c r="BT314" s="3317">
        <f t="shared" si="176"/>
        <v>0</v>
      </c>
    </row>
    <row r="315" spans="1:72">
      <c r="A315" s="3262"/>
      <c r="B315" s="3263"/>
      <c r="C315" s="3263"/>
      <c r="D315" s="3268"/>
      <c r="E315" s="3264">
        <f t="shared" si="177"/>
        <v>0</v>
      </c>
      <c r="F315" s="3265"/>
      <c r="G315" s="3266">
        <f t="shared" si="152"/>
        <v>0</v>
      </c>
      <c r="H315" s="3267">
        <f t="shared" si="153"/>
        <v>0</v>
      </c>
      <c r="I315" s="3275"/>
      <c r="J315" s="3275"/>
      <c r="K315" s="3275"/>
      <c r="L315" s="3275"/>
      <c r="M315" s="3275"/>
      <c r="N315" s="3275"/>
      <c r="O315" s="3275"/>
      <c r="P315" s="3275"/>
      <c r="Q315" s="3275"/>
      <c r="R315" s="3275"/>
      <c r="S315" s="3275"/>
      <c r="T315" s="3275"/>
      <c r="U315" s="3275"/>
      <c r="V315" s="3275"/>
      <c r="W315" s="3275"/>
      <c r="X315" s="3275"/>
      <c r="Y315" s="3275"/>
      <c r="Z315" s="3275"/>
      <c r="AA315" s="3275"/>
      <c r="AB315" s="3275"/>
      <c r="AC315" s="3264">
        <f t="shared" si="154"/>
        <v>0</v>
      </c>
      <c r="AD315" s="3285"/>
      <c r="AE315" s="3285"/>
      <c r="AF315" s="3285"/>
      <c r="AG315" s="3285"/>
      <c r="AH315" s="3285"/>
      <c r="AI315" s="3285"/>
      <c r="AJ315" s="3285"/>
      <c r="AK315" s="3285"/>
      <c r="AL315" s="3285"/>
      <c r="AM315" s="3285"/>
      <c r="AN315" s="3285"/>
      <c r="AO315" s="3285"/>
      <c r="AP315" s="3285"/>
      <c r="AQ315" s="3285"/>
      <c r="AR315" s="3285"/>
      <c r="AS315" s="3285"/>
      <c r="AT315" s="3295"/>
      <c r="AU315" s="3296"/>
      <c r="AV315" s="830">
        <f t="shared" si="178"/>
        <v>0</v>
      </c>
      <c r="AW315" s="830">
        <f t="shared" si="179"/>
        <v>0</v>
      </c>
      <c r="AX315" s="830">
        <f t="shared" si="180"/>
        <v>0</v>
      </c>
      <c r="AY315" s="3310">
        <f t="shared" si="155"/>
        <v>0</v>
      </c>
      <c r="AZ315" s="3264">
        <f t="shared" si="156"/>
        <v>0</v>
      </c>
      <c r="BA315" s="3264">
        <f t="shared" si="157"/>
        <v>0</v>
      </c>
      <c r="BB315" s="3264">
        <f t="shared" si="158"/>
        <v>0</v>
      </c>
      <c r="BC315" s="3264">
        <f t="shared" si="159"/>
        <v>0</v>
      </c>
      <c r="BD315" s="3264">
        <f t="shared" si="160"/>
        <v>0</v>
      </c>
      <c r="BE315" s="3264">
        <f t="shared" si="161"/>
        <v>0</v>
      </c>
      <c r="BF315" s="3264">
        <f t="shared" si="162"/>
        <v>0</v>
      </c>
      <c r="BG315" s="3264">
        <f t="shared" si="163"/>
        <v>0</v>
      </c>
      <c r="BH315" s="3264">
        <f t="shared" si="164"/>
        <v>0</v>
      </c>
      <c r="BI315" s="3264">
        <f t="shared" si="165"/>
        <v>0</v>
      </c>
      <c r="BJ315" s="3264">
        <f t="shared" si="166"/>
        <v>0</v>
      </c>
      <c r="BK315" s="3264">
        <f t="shared" si="167"/>
        <v>0</v>
      </c>
      <c r="BL315" s="3264">
        <f t="shared" si="168"/>
        <v>0</v>
      </c>
      <c r="BM315" s="3264">
        <f t="shared" si="169"/>
        <v>0</v>
      </c>
      <c r="BN315" s="3264">
        <f t="shared" si="170"/>
        <v>0</v>
      </c>
      <c r="BO315" s="3264">
        <f t="shared" si="171"/>
        <v>0</v>
      </c>
      <c r="BP315" s="3264">
        <f t="shared" si="172"/>
        <v>0</v>
      </c>
      <c r="BQ315" s="3264">
        <f t="shared" si="173"/>
        <v>0</v>
      </c>
      <c r="BR315" s="3264">
        <f t="shared" si="174"/>
        <v>0</v>
      </c>
      <c r="BS315" s="3264">
        <f t="shared" si="175"/>
        <v>0</v>
      </c>
      <c r="BT315" s="3317">
        <f t="shared" si="176"/>
        <v>0</v>
      </c>
    </row>
    <row r="316" spans="1:72">
      <c r="A316" s="3262"/>
      <c r="B316" s="3263"/>
      <c r="C316" s="3263"/>
      <c r="D316" s="3268"/>
      <c r="E316" s="3264">
        <f t="shared" si="177"/>
        <v>0</v>
      </c>
      <c r="F316" s="3265"/>
      <c r="G316" s="3266">
        <f t="shared" si="152"/>
        <v>0</v>
      </c>
      <c r="H316" s="3267">
        <f t="shared" si="153"/>
        <v>0</v>
      </c>
      <c r="I316" s="3275"/>
      <c r="J316" s="3275"/>
      <c r="K316" s="3275"/>
      <c r="L316" s="3275"/>
      <c r="M316" s="3275"/>
      <c r="N316" s="3275"/>
      <c r="O316" s="3275"/>
      <c r="P316" s="3275"/>
      <c r="Q316" s="3275"/>
      <c r="R316" s="3275"/>
      <c r="S316" s="3275"/>
      <c r="T316" s="3275"/>
      <c r="U316" s="3275"/>
      <c r="V316" s="3275"/>
      <c r="W316" s="3275"/>
      <c r="X316" s="3275"/>
      <c r="Y316" s="3275"/>
      <c r="Z316" s="3275"/>
      <c r="AA316" s="3275"/>
      <c r="AB316" s="3275"/>
      <c r="AC316" s="3264">
        <f t="shared" si="154"/>
        <v>0</v>
      </c>
      <c r="AD316" s="3285"/>
      <c r="AE316" s="3285"/>
      <c r="AF316" s="3285"/>
      <c r="AG316" s="3285"/>
      <c r="AH316" s="3285"/>
      <c r="AI316" s="3285"/>
      <c r="AJ316" s="3285"/>
      <c r="AK316" s="3285"/>
      <c r="AL316" s="3285"/>
      <c r="AM316" s="3285"/>
      <c r="AN316" s="3285"/>
      <c r="AO316" s="3285"/>
      <c r="AP316" s="3285"/>
      <c r="AQ316" s="3285"/>
      <c r="AR316" s="3285"/>
      <c r="AS316" s="3285"/>
      <c r="AT316" s="3295"/>
      <c r="AU316" s="3296"/>
      <c r="AV316" s="830">
        <f t="shared" si="178"/>
        <v>0</v>
      </c>
      <c r="AW316" s="830">
        <f t="shared" si="179"/>
        <v>0</v>
      </c>
      <c r="AX316" s="830">
        <f t="shared" si="180"/>
        <v>0</v>
      </c>
      <c r="AY316" s="3310">
        <f t="shared" si="155"/>
        <v>0</v>
      </c>
      <c r="AZ316" s="3264">
        <f t="shared" si="156"/>
        <v>0</v>
      </c>
      <c r="BA316" s="3264">
        <f t="shared" si="157"/>
        <v>0</v>
      </c>
      <c r="BB316" s="3264">
        <f t="shared" si="158"/>
        <v>0</v>
      </c>
      <c r="BC316" s="3264">
        <f t="shared" si="159"/>
        <v>0</v>
      </c>
      <c r="BD316" s="3264">
        <f t="shared" si="160"/>
        <v>0</v>
      </c>
      <c r="BE316" s="3264">
        <f t="shared" si="161"/>
        <v>0</v>
      </c>
      <c r="BF316" s="3264">
        <f t="shared" si="162"/>
        <v>0</v>
      </c>
      <c r="BG316" s="3264">
        <f t="shared" si="163"/>
        <v>0</v>
      </c>
      <c r="BH316" s="3264">
        <f t="shared" si="164"/>
        <v>0</v>
      </c>
      <c r="BI316" s="3264">
        <f t="shared" si="165"/>
        <v>0</v>
      </c>
      <c r="BJ316" s="3264">
        <f t="shared" si="166"/>
        <v>0</v>
      </c>
      <c r="BK316" s="3264">
        <f t="shared" si="167"/>
        <v>0</v>
      </c>
      <c r="BL316" s="3264">
        <f t="shared" si="168"/>
        <v>0</v>
      </c>
      <c r="BM316" s="3264">
        <f t="shared" si="169"/>
        <v>0</v>
      </c>
      <c r="BN316" s="3264">
        <f t="shared" si="170"/>
        <v>0</v>
      </c>
      <c r="BO316" s="3264">
        <f t="shared" si="171"/>
        <v>0</v>
      </c>
      <c r="BP316" s="3264">
        <f t="shared" si="172"/>
        <v>0</v>
      </c>
      <c r="BQ316" s="3264">
        <f t="shared" si="173"/>
        <v>0</v>
      </c>
      <c r="BR316" s="3264">
        <f t="shared" si="174"/>
        <v>0</v>
      </c>
      <c r="BS316" s="3264">
        <f t="shared" si="175"/>
        <v>0</v>
      </c>
      <c r="BT316" s="3317">
        <f t="shared" si="176"/>
        <v>0</v>
      </c>
    </row>
    <row r="317" spans="1:72">
      <c r="A317" s="3262"/>
      <c r="B317" s="3263"/>
      <c r="C317" s="3263"/>
      <c r="D317" s="3268"/>
      <c r="E317" s="3264">
        <f t="shared" si="177"/>
        <v>0</v>
      </c>
      <c r="F317" s="3265"/>
      <c r="G317" s="3266">
        <f t="shared" si="152"/>
        <v>0</v>
      </c>
      <c r="H317" s="3267">
        <f t="shared" si="153"/>
        <v>0</v>
      </c>
      <c r="I317" s="3275"/>
      <c r="J317" s="3275"/>
      <c r="K317" s="3275"/>
      <c r="L317" s="3275"/>
      <c r="M317" s="3275"/>
      <c r="N317" s="3275"/>
      <c r="O317" s="3275"/>
      <c r="P317" s="3275"/>
      <c r="Q317" s="3275"/>
      <c r="R317" s="3275"/>
      <c r="S317" s="3275"/>
      <c r="T317" s="3275"/>
      <c r="U317" s="3275"/>
      <c r="V317" s="3275"/>
      <c r="W317" s="3275"/>
      <c r="X317" s="3275"/>
      <c r="Y317" s="3275"/>
      <c r="Z317" s="3275"/>
      <c r="AA317" s="3275"/>
      <c r="AB317" s="3275"/>
      <c r="AC317" s="3264">
        <f t="shared" si="154"/>
        <v>0</v>
      </c>
      <c r="AD317" s="3285"/>
      <c r="AE317" s="3285"/>
      <c r="AF317" s="3285"/>
      <c r="AG317" s="3285"/>
      <c r="AH317" s="3285"/>
      <c r="AI317" s="3285"/>
      <c r="AJ317" s="3285"/>
      <c r="AK317" s="3285"/>
      <c r="AL317" s="3285"/>
      <c r="AM317" s="3285"/>
      <c r="AN317" s="3285"/>
      <c r="AO317" s="3285"/>
      <c r="AP317" s="3285"/>
      <c r="AQ317" s="3285"/>
      <c r="AR317" s="3285"/>
      <c r="AS317" s="3285"/>
      <c r="AT317" s="3295"/>
      <c r="AU317" s="3296"/>
      <c r="AV317" s="830">
        <f t="shared" si="178"/>
        <v>0</v>
      </c>
      <c r="AW317" s="830">
        <f t="shared" si="179"/>
        <v>0</v>
      </c>
      <c r="AX317" s="830">
        <f t="shared" si="180"/>
        <v>0</v>
      </c>
      <c r="AY317" s="3310">
        <f t="shared" si="155"/>
        <v>0</v>
      </c>
      <c r="AZ317" s="3264">
        <f t="shared" si="156"/>
        <v>0</v>
      </c>
      <c r="BA317" s="3264">
        <f t="shared" si="157"/>
        <v>0</v>
      </c>
      <c r="BB317" s="3264">
        <f t="shared" si="158"/>
        <v>0</v>
      </c>
      <c r="BC317" s="3264">
        <f t="shared" si="159"/>
        <v>0</v>
      </c>
      <c r="BD317" s="3264">
        <f t="shared" si="160"/>
        <v>0</v>
      </c>
      <c r="BE317" s="3264">
        <f t="shared" si="161"/>
        <v>0</v>
      </c>
      <c r="BF317" s="3264">
        <f t="shared" si="162"/>
        <v>0</v>
      </c>
      <c r="BG317" s="3264">
        <f t="shared" si="163"/>
        <v>0</v>
      </c>
      <c r="BH317" s="3264">
        <f t="shared" si="164"/>
        <v>0</v>
      </c>
      <c r="BI317" s="3264">
        <f t="shared" si="165"/>
        <v>0</v>
      </c>
      <c r="BJ317" s="3264">
        <f t="shared" si="166"/>
        <v>0</v>
      </c>
      <c r="BK317" s="3264">
        <f t="shared" si="167"/>
        <v>0</v>
      </c>
      <c r="BL317" s="3264">
        <f t="shared" si="168"/>
        <v>0</v>
      </c>
      <c r="BM317" s="3264">
        <f t="shared" si="169"/>
        <v>0</v>
      </c>
      <c r="BN317" s="3264">
        <f t="shared" si="170"/>
        <v>0</v>
      </c>
      <c r="BO317" s="3264">
        <f t="shared" si="171"/>
        <v>0</v>
      </c>
      <c r="BP317" s="3264">
        <f t="shared" si="172"/>
        <v>0</v>
      </c>
      <c r="BQ317" s="3264">
        <f t="shared" si="173"/>
        <v>0</v>
      </c>
      <c r="BR317" s="3264">
        <f t="shared" si="174"/>
        <v>0</v>
      </c>
      <c r="BS317" s="3264">
        <f t="shared" si="175"/>
        <v>0</v>
      </c>
      <c r="BT317" s="3317">
        <f t="shared" si="176"/>
        <v>0</v>
      </c>
    </row>
    <row r="318" spans="1:72">
      <c r="A318" s="3262"/>
      <c r="B318" s="3263"/>
      <c r="C318" s="3263"/>
      <c r="D318" s="3268"/>
      <c r="E318" s="3264">
        <f t="shared" si="177"/>
        <v>0</v>
      </c>
      <c r="F318" s="3265"/>
      <c r="G318" s="3266">
        <f t="shared" si="152"/>
        <v>0</v>
      </c>
      <c r="H318" s="3267">
        <f t="shared" si="153"/>
        <v>0</v>
      </c>
      <c r="I318" s="3275"/>
      <c r="J318" s="3275"/>
      <c r="K318" s="3275"/>
      <c r="L318" s="3275"/>
      <c r="M318" s="3275"/>
      <c r="N318" s="3275"/>
      <c r="O318" s="3275"/>
      <c r="P318" s="3275"/>
      <c r="Q318" s="3275"/>
      <c r="R318" s="3275"/>
      <c r="S318" s="3275"/>
      <c r="T318" s="3275"/>
      <c r="U318" s="3275"/>
      <c r="V318" s="3275"/>
      <c r="W318" s="3275"/>
      <c r="X318" s="3275"/>
      <c r="Y318" s="3275"/>
      <c r="Z318" s="3275"/>
      <c r="AA318" s="3275"/>
      <c r="AB318" s="3275"/>
      <c r="AC318" s="3264">
        <f t="shared" si="154"/>
        <v>0</v>
      </c>
      <c r="AD318" s="3285"/>
      <c r="AE318" s="3285"/>
      <c r="AF318" s="3285"/>
      <c r="AG318" s="3285"/>
      <c r="AH318" s="3285"/>
      <c r="AI318" s="3285"/>
      <c r="AJ318" s="3285"/>
      <c r="AK318" s="3285"/>
      <c r="AL318" s="3285"/>
      <c r="AM318" s="3285"/>
      <c r="AN318" s="3285"/>
      <c r="AO318" s="3285"/>
      <c r="AP318" s="3285"/>
      <c r="AQ318" s="3285"/>
      <c r="AR318" s="3285"/>
      <c r="AS318" s="3285"/>
      <c r="AT318" s="3295"/>
      <c r="AU318" s="3296"/>
      <c r="AV318" s="830">
        <f t="shared" si="178"/>
        <v>0</v>
      </c>
      <c r="AW318" s="830">
        <f t="shared" si="179"/>
        <v>0</v>
      </c>
      <c r="AX318" s="830">
        <f t="shared" si="180"/>
        <v>0</v>
      </c>
      <c r="AY318" s="3310">
        <f t="shared" si="155"/>
        <v>0</v>
      </c>
      <c r="AZ318" s="3264">
        <f t="shared" si="156"/>
        <v>0</v>
      </c>
      <c r="BA318" s="3264">
        <f t="shared" si="157"/>
        <v>0</v>
      </c>
      <c r="BB318" s="3264">
        <f t="shared" si="158"/>
        <v>0</v>
      </c>
      <c r="BC318" s="3264">
        <f t="shared" si="159"/>
        <v>0</v>
      </c>
      <c r="BD318" s="3264">
        <f t="shared" si="160"/>
        <v>0</v>
      </c>
      <c r="BE318" s="3264">
        <f t="shared" si="161"/>
        <v>0</v>
      </c>
      <c r="BF318" s="3264">
        <f t="shared" si="162"/>
        <v>0</v>
      </c>
      <c r="BG318" s="3264">
        <f t="shared" si="163"/>
        <v>0</v>
      </c>
      <c r="BH318" s="3264">
        <f t="shared" si="164"/>
        <v>0</v>
      </c>
      <c r="BI318" s="3264">
        <f t="shared" si="165"/>
        <v>0</v>
      </c>
      <c r="BJ318" s="3264">
        <f t="shared" si="166"/>
        <v>0</v>
      </c>
      <c r="BK318" s="3264">
        <f t="shared" si="167"/>
        <v>0</v>
      </c>
      <c r="BL318" s="3264">
        <f t="shared" si="168"/>
        <v>0</v>
      </c>
      <c r="BM318" s="3264">
        <f t="shared" si="169"/>
        <v>0</v>
      </c>
      <c r="BN318" s="3264">
        <f t="shared" si="170"/>
        <v>0</v>
      </c>
      <c r="BO318" s="3264">
        <f t="shared" si="171"/>
        <v>0</v>
      </c>
      <c r="BP318" s="3264">
        <f t="shared" si="172"/>
        <v>0</v>
      </c>
      <c r="BQ318" s="3264">
        <f t="shared" si="173"/>
        <v>0</v>
      </c>
      <c r="BR318" s="3264">
        <f t="shared" si="174"/>
        <v>0</v>
      </c>
      <c r="BS318" s="3264">
        <f t="shared" si="175"/>
        <v>0</v>
      </c>
      <c r="BT318" s="3317">
        <f t="shared" si="176"/>
        <v>0</v>
      </c>
    </row>
    <row r="319" spans="1:72">
      <c r="A319" s="3262"/>
      <c r="B319" s="3263"/>
      <c r="C319" s="3263"/>
      <c r="D319" s="3268"/>
      <c r="E319" s="3264">
        <f t="shared" si="177"/>
        <v>0</v>
      </c>
      <c r="F319" s="3265"/>
      <c r="G319" s="3266">
        <f t="shared" si="152"/>
        <v>0</v>
      </c>
      <c r="H319" s="3267">
        <f t="shared" si="153"/>
        <v>0</v>
      </c>
      <c r="I319" s="3275"/>
      <c r="J319" s="3275"/>
      <c r="K319" s="3275"/>
      <c r="L319" s="3275"/>
      <c r="M319" s="3275"/>
      <c r="N319" s="3275"/>
      <c r="O319" s="3275"/>
      <c r="P319" s="3275"/>
      <c r="Q319" s="3275"/>
      <c r="R319" s="3275"/>
      <c r="S319" s="3275"/>
      <c r="T319" s="3275"/>
      <c r="U319" s="3275"/>
      <c r="V319" s="3275"/>
      <c r="W319" s="3275"/>
      <c r="X319" s="3275"/>
      <c r="Y319" s="3275"/>
      <c r="Z319" s="3275"/>
      <c r="AA319" s="3275"/>
      <c r="AB319" s="3275"/>
      <c r="AC319" s="3264">
        <f t="shared" si="154"/>
        <v>0</v>
      </c>
      <c r="AD319" s="3285"/>
      <c r="AE319" s="3285"/>
      <c r="AF319" s="3285"/>
      <c r="AG319" s="3285"/>
      <c r="AH319" s="3285"/>
      <c r="AI319" s="3285"/>
      <c r="AJ319" s="3285"/>
      <c r="AK319" s="3285"/>
      <c r="AL319" s="3285"/>
      <c r="AM319" s="3285"/>
      <c r="AN319" s="3285"/>
      <c r="AO319" s="3285"/>
      <c r="AP319" s="3285"/>
      <c r="AQ319" s="3285"/>
      <c r="AR319" s="3285"/>
      <c r="AS319" s="3285"/>
      <c r="AT319" s="3295"/>
      <c r="AU319" s="3296"/>
      <c r="AV319" s="830">
        <f t="shared" si="178"/>
        <v>0</v>
      </c>
      <c r="AW319" s="830">
        <f t="shared" si="179"/>
        <v>0</v>
      </c>
      <c r="AX319" s="830">
        <f t="shared" si="180"/>
        <v>0</v>
      </c>
      <c r="AY319" s="3310">
        <f t="shared" si="155"/>
        <v>0</v>
      </c>
      <c r="AZ319" s="3264">
        <f t="shared" si="156"/>
        <v>0</v>
      </c>
      <c r="BA319" s="3264">
        <f t="shared" si="157"/>
        <v>0</v>
      </c>
      <c r="BB319" s="3264">
        <f t="shared" si="158"/>
        <v>0</v>
      </c>
      <c r="BC319" s="3264">
        <f t="shared" si="159"/>
        <v>0</v>
      </c>
      <c r="BD319" s="3264">
        <f t="shared" si="160"/>
        <v>0</v>
      </c>
      <c r="BE319" s="3264">
        <f t="shared" si="161"/>
        <v>0</v>
      </c>
      <c r="BF319" s="3264">
        <f t="shared" si="162"/>
        <v>0</v>
      </c>
      <c r="BG319" s="3264">
        <f t="shared" si="163"/>
        <v>0</v>
      </c>
      <c r="BH319" s="3264">
        <f t="shared" si="164"/>
        <v>0</v>
      </c>
      <c r="BI319" s="3264">
        <f t="shared" si="165"/>
        <v>0</v>
      </c>
      <c r="BJ319" s="3264">
        <f t="shared" si="166"/>
        <v>0</v>
      </c>
      <c r="BK319" s="3264">
        <f t="shared" si="167"/>
        <v>0</v>
      </c>
      <c r="BL319" s="3264">
        <f t="shared" si="168"/>
        <v>0</v>
      </c>
      <c r="BM319" s="3264">
        <f t="shared" si="169"/>
        <v>0</v>
      </c>
      <c r="BN319" s="3264">
        <f t="shared" si="170"/>
        <v>0</v>
      </c>
      <c r="BO319" s="3264">
        <f t="shared" si="171"/>
        <v>0</v>
      </c>
      <c r="BP319" s="3264">
        <f t="shared" si="172"/>
        <v>0</v>
      </c>
      <c r="BQ319" s="3264">
        <f t="shared" si="173"/>
        <v>0</v>
      </c>
      <c r="BR319" s="3264">
        <f t="shared" si="174"/>
        <v>0</v>
      </c>
      <c r="BS319" s="3264">
        <f t="shared" si="175"/>
        <v>0</v>
      </c>
      <c r="BT319" s="3317">
        <f t="shared" si="176"/>
        <v>0</v>
      </c>
    </row>
    <row r="320" spans="1:72">
      <c r="A320" s="3262"/>
      <c r="B320" s="3263"/>
      <c r="C320" s="3263"/>
      <c r="D320" s="3268"/>
      <c r="E320" s="3264">
        <f t="shared" si="177"/>
        <v>0</v>
      </c>
      <c r="F320" s="3265"/>
      <c r="G320" s="3266">
        <f t="shared" si="152"/>
        <v>0</v>
      </c>
      <c r="H320" s="3267">
        <f t="shared" si="153"/>
        <v>0</v>
      </c>
      <c r="I320" s="3275"/>
      <c r="J320" s="3275"/>
      <c r="K320" s="3275"/>
      <c r="L320" s="3275"/>
      <c r="M320" s="3275"/>
      <c r="N320" s="3275"/>
      <c r="O320" s="3275"/>
      <c r="P320" s="3275"/>
      <c r="Q320" s="3275"/>
      <c r="R320" s="3275"/>
      <c r="S320" s="3275"/>
      <c r="T320" s="3275"/>
      <c r="U320" s="3275"/>
      <c r="V320" s="3275"/>
      <c r="W320" s="3275"/>
      <c r="X320" s="3275"/>
      <c r="Y320" s="3275"/>
      <c r="Z320" s="3275"/>
      <c r="AA320" s="3275"/>
      <c r="AB320" s="3275"/>
      <c r="AC320" s="3264">
        <f t="shared" si="154"/>
        <v>0</v>
      </c>
      <c r="AD320" s="3285"/>
      <c r="AE320" s="3285"/>
      <c r="AF320" s="3285"/>
      <c r="AG320" s="3285"/>
      <c r="AH320" s="3285"/>
      <c r="AI320" s="3285"/>
      <c r="AJ320" s="3285"/>
      <c r="AK320" s="3285"/>
      <c r="AL320" s="3285"/>
      <c r="AM320" s="3285"/>
      <c r="AN320" s="3285"/>
      <c r="AO320" s="3285"/>
      <c r="AP320" s="3285"/>
      <c r="AQ320" s="3285"/>
      <c r="AR320" s="3285"/>
      <c r="AS320" s="3285"/>
      <c r="AT320" s="3295"/>
      <c r="AU320" s="3296"/>
      <c r="AV320" s="830">
        <f t="shared" si="178"/>
        <v>0</v>
      </c>
      <c r="AW320" s="830">
        <f t="shared" si="179"/>
        <v>0</v>
      </c>
      <c r="AX320" s="830">
        <f t="shared" si="180"/>
        <v>0</v>
      </c>
      <c r="AY320" s="3310">
        <f t="shared" si="155"/>
        <v>0</v>
      </c>
      <c r="AZ320" s="3264">
        <f t="shared" si="156"/>
        <v>0</v>
      </c>
      <c r="BA320" s="3264">
        <f t="shared" si="157"/>
        <v>0</v>
      </c>
      <c r="BB320" s="3264">
        <f t="shared" si="158"/>
        <v>0</v>
      </c>
      <c r="BC320" s="3264">
        <f t="shared" si="159"/>
        <v>0</v>
      </c>
      <c r="BD320" s="3264">
        <f t="shared" si="160"/>
        <v>0</v>
      </c>
      <c r="BE320" s="3264">
        <f t="shared" si="161"/>
        <v>0</v>
      </c>
      <c r="BF320" s="3264">
        <f t="shared" si="162"/>
        <v>0</v>
      </c>
      <c r="BG320" s="3264">
        <f t="shared" si="163"/>
        <v>0</v>
      </c>
      <c r="BH320" s="3264">
        <f t="shared" si="164"/>
        <v>0</v>
      </c>
      <c r="BI320" s="3264">
        <f t="shared" si="165"/>
        <v>0</v>
      </c>
      <c r="BJ320" s="3264">
        <f t="shared" si="166"/>
        <v>0</v>
      </c>
      <c r="BK320" s="3264">
        <f t="shared" si="167"/>
        <v>0</v>
      </c>
      <c r="BL320" s="3264">
        <f t="shared" si="168"/>
        <v>0</v>
      </c>
      <c r="BM320" s="3264">
        <f t="shared" si="169"/>
        <v>0</v>
      </c>
      <c r="BN320" s="3264">
        <f t="shared" si="170"/>
        <v>0</v>
      </c>
      <c r="BO320" s="3264">
        <f t="shared" si="171"/>
        <v>0</v>
      </c>
      <c r="BP320" s="3264">
        <f t="shared" si="172"/>
        <v>0</v>
      </c>
      <c r="BQ320" s="3264">
        <f t="shared" si="173"/>
        <v>0</v>
      </c>
      <c r="BR320" s="3264">
        <f t="shared" si="174"/>
        <v>0</v>
      </c>
      <c r="BS320" s="3264">
        <f t="shared" si="175"/>
        <v>0</v>
      </c>
      <c r="BT320" s="3317">
        <f t="shared" si="176"/>
        <v>0</v>
      </c>
    </row>
    <row r="321" spans="1:72">
      <c r="A321" s="3262"/>
      <c r="B321" s="3263"/>
      <c r="C321" s="3263"/>
      <c r="D321" s="3268"/>
      <c r="E321" s="3264">
        <f t="shared" si="177"/>
        <v>0</v>
      </c>
      <c r="F321" s="3265"/>
      <c r="G321" s="3266">
        <f t="shared" si="152"/>
        <v>0</v>
      </c>
      <c r="H321" s="3267">
        <f t="shared" si="153"/>
        <v>0</v>
      </c>
      <c r="I321" s="3275"/>
      <c r="J321" s="3275"/>
      <c r="K321" s="3275"/>
      <c r="L321" s="3275"/>
      <c r="M321" s="3275"/>
      <c r="N321" s="3275"/>
      <c r="O321" s="3275"/>
      <c r="P321" s="3275"/>
      <c r="Q321" s="3275"/>
      <c r="R321" s="3275"/>
      <c r="S321" s="3275"/>
      <c r="T321" s="3275"/>
      <c r="U321" s="3275"/>
      <c r="V321" s="3275"/>
      <c r="W321" s="3275"/>
      <c r="X321" s="3275"/>
      <c r="Y321" s="3275"/>
      <c r="Z321" s="3275"/>
      <c r="AA321" s="3275"/>
      <c r="AB321" s="3275"/>
      <c r="AC321" s="3264">
        <f t="shared" si="154"/>
        <v>0</v>
      </c>
      <c r="AD321" s="3285"/>
      <c r="AE321" s="3285"/>
      <c r="AF321" s="3285"/>
      <c r="AG321" s="3285"/>
      <c r="AH321" s="3285"/>
      <c r="AI321" s="3285"/>
      <c r="AJ321" s="3285"/>
      <c r="AK321" s="3285"/>
      <c r="AL321" s="3285"/>
      <c r="AM321" s="3285"/>
      <c r="AN321" s="3285"/>
      <c r="AO321" s="3285"/>
      <c r="AP321" s="3285"/>
      <c r="AQ321" s="3285"/>
      <c r="AR321" s="3285"/>
      <c r="AS321" s="3285"/>
      <c r="AT321" s="3295"/>
      <c r="AU321" s="3296"/>
      <c r="AV321" s="830">
        <f t="shared" si="178"/>
        <v>0</v>
      </c>
      <c r="AW321" s="830">
        <f t="shared" si="179"/>
        <v>0</v>
      </c>
      <c r="AX321" s="830">
        <f t="shared" si="180"/>
        <v>0</v>
      </c>
      <c r="AY321" s="3310">
        <f t="shared" si="155"/>
        <v>0</v>
      </c>
      <c r="AZ321" s="3264">
        <f t="shared" si="156"/>
        <v>0</v>
      </c>
      <c r="BA321" s="3264">
        <f t="shared" si="157"/>
        <v>0</v>
      </c>
      <c r="BB321" s="3264">
        <f t="shared" si="158"/>
        <v>0</v>
      </c>
      <c r="BC321" s="3264">
        <f t="shared" si="159"/>
        <v>0</v>
      </c>
      <c r="BD321" s="3264">
        <f t="shared" si="160"/>
        <v>0</v>
      </c>
      <c r="BE321" s="3264">
        <f t="shared" si="161"/>
        <v>0</v>
      </c>
      <c r="BF321" s="3264">
        <f t="shared" si="162"/>
        <v>0</v>
      </c>
      <c r="BG321" s="3264">
        <f t="shared" si="163"/>
        <v>0</v>
      </c>
      <c r="BH321" s="3264">
        <f t="shared" si="164"/>
        <v>0</v>
      </c>
      <c r="BI321" s="3264">
        <f t="shared" si="165"/>
        <v>0</v>
      </c>
      <c r="BJ321" s="3264">
        <f t="shared" si="166"/>
        <v>0</v>
      </c>
      <c r="BK321" s="3264">
        <f t="shared" si="167"/>
        <v>0</v>
      </c>
      <c r="BL321" s="3264">
        <f t="shared" si="168"/>
        <v>0</v>
      </c>
      <c r="BM321" s="3264">
        <f t="shared" si="169"/>
        <v>0</v>
      </c>
      <c r="BN321" s="3264">
        <f t="shared" si="170"/>
        <v>0</v>
      </c>
      <c r="BO321" s="3264">
        <f t="shared" si="171"/>
        <v>0</v>
      </c>
      <c r="BP321" s="3264">
        <f t="shared" si="172"/>
        <v>0</v>
      </c>
      <c r="BQ321" s="3264">
        <f t="shared" si="173"/>
        <v>0</v>
      </c>
      <c r="BR321" s="3264">
        <f t="shared" si="174"/>
        <v>0</v>
      </c>
      <c r="BS321" s="3264">
        <f t="shared" si="175"/>
        <v>0</v>
      </c>
      <c r="BT321" s="3317">
        <f t="shared" si="176"/>
        <v>0</v>
      </c>
    </row>
    <row r="322" spans="1:72">
      <c r="A322" s="3262"/>
      <c r="B322" s="3263"/>
      <c r="C322" s="3263"/>
      <c r="D322" s="3268"/>
      <c r="E322" s="3264">
        <f t="shared" si="177"/>
        <v>0</v>
      </c>
      <c r="F322" s="3265"/>
      <c r="G322" s="3266">
        <f t="shared" si="152"/>
        <v>0</v>
      </c>
      <c r="H322" s="3267">
        <f t="shared" si="153"/>
        <v>0</v>
      </c>
      <c r="I322" s="3275"/>
      <c r="J322" s="3275"/>
      <c r="K322" s="3275"/>
      <c r="L322" s="3275"/>
      <c r="M322" s="3275"/>
      <c r="N322" s="3275"/>
      <c r="O322" s="3275"/>
      <c r="P322" s="3275"/>
      <c r="Q322" s="3275"/>
      <c r="R322" s="3275"/>
      <c r="S322" s="3275"/>
      <c r="T322" s="3275"/>
      <c r="U322" s="3275"/>
      <c r="V322" s="3275"/>
      <c r="W322" s="3275"/>
      <c r="X322" s="3275"/>
      <c r="Y322" s="3275"/>
      <c r="Z322" s="3275"/>
      <c r="AA322" s="3275"/>
      <c r="AB322" s="3275"/>
      <c r="AC322" s="3264">
        <f t="shared" si="154"/>
        <v>0</v>
      </c>
      <c r="AD322" s="3285"/>
      <c r="AE322" s="3285"/>
      <c r="AF322" s="3285"/>
      <c r="AG322" s="3285"/>
      <c r="AH322" s="3285"/>
      <c r="AI322" s="3285"/>
      <c r="AJ322" s="3285"/>
      <c r="AK322" s="3285"/>
      <c r="AL322" s="3285"/>
      <c r="AM322" s="3285"/>
      <c r="AN322" s="3285"/>
      <c r="AO322" s="3285"/>
      <c r="AP322" s="3285"/>
      <c r="AQ322" s="3285"/>
      <c r="AR322" s="3285"/>
      <c r="AS322" s="3285"/>
      <c r="AT322" s="3295"/>
      <c r="AU322" s="3296"/>
      <c r="AV322" s="830">
        <f t="shared" si="178"/>
        <v>0</v>
      </c>
      <c r="AW322" s="830">
        <f t="shared" si="179"/>
        <v>0</v>
      </c>
      <c r="AX322" s="830">
        <f t="shared" si="180"/>
        <v>0</v>
      </c>
      <c r="AY322" s="3310">
        <f t="shared" si="155"/>
        <v>0</v>
      </c>
      <c r="AZ322" s="3264">
        <f t="shared" si="156"/>
        <v>0</v>
      </c>
      <c r="BA322" s="3264">
        <f t="shared" si="157"/>
        <v>0</v>
      </c>
      <c r="BB322" s="3264">
        <f t="shared" si="158"/>
        <v>0</v>
      </c>
      <c r="BC322" s="3264">
        <f t="shared" si="159"/>
        <v>0</v>
      </c>
      <c r="BD322" s="3264">
        <f t="shared" si="160"/>
        <v>0</v>
      </c>
      <c r="BE322" s="3264">
        <f t="shared" si="161"/>
        <v>0</v>
      </c>
      <c r="BF322" s="3264">
        <f t="shared" si="162"/>
        <v>0</v>
      </c>
      <c r="BG322" s="3264">
        <f t="shared" si="163"/>
        <v>0</v>
      </c>
      <c r="BH322" s="3264">
        <f t="shared" si="164"/>
        <v>0</v>
      </c>
      <c r="BI322" s="3264">
        <f t="shared" si="165"/>
        <v>0</v>
      </c>
      <c r="BJ322" s="3264">
        <f t="shared" si="166"/>
        <v>0</v>
      </c>
      <c r="BK322" s="3264">
        <f t="shared" si="167"/>
        <v>0</v>
      </c>
      <c r="BL322" s="3264">
        <f t="shared" si="168"/>
        <v>0</v>
      </c>
      <c r="BM322" s="3264">
        <f t="shared" si="169"/>
        <v>0</v>
      </c>
      <c r="BN322" s="3264">
        <f t="shared" si="170"/>
        <v>0</v>
      </c>
      <c r="BO322" s="3264">
        <f t="shared" si="171"/>
        <v>0</v>
      </c>
      <c r="BP322" s="3264">
        <f t="shared" si="172"/>
        <v>0</v>
      </c>
      <c r="BQ322" s="3264">
        <f t="shared" si="173"/>
        <v>0</v>
      </c>
      <c r="BR322" s="3264">
        <f t="shared" si="174"/>
        <v>0</v>
      </c>
      <c r="BS322" s="3264">
        <f t="shared" si="175"/>
        <v>0</v>
      </c>
      <c r="BT322" s="3317">
        <f t="shared" si="176"/>
        <v>0</v>
      </c>
    </row>
    <row r="323" spans="1:72">
      <c r="A323" s="3262"/>
      <c r="B323" s="3263"/>
      <c r="C323" s="3263"/>
      <c r="D323" s="3268"/>
      <c r="E323" s="3264">
        <f t="shared" si="177"/>
        <v>0</v>
      </c>
      <c r="F323" s="3265"/>
      <c r="G323" s="3266">
        <f t="shared" si="152"/>
        <v>0</v>
      </c>
      <c r="H323" s="3267">
        <f t="shared" si="153"/>
        <v>0</v>
      </c>
      <c r="I323" s="3275"/>
      <c r="J323" s="3275"/>
      <c r="K323" s="3275"/>
      <c r="L323" s="3275"/>
      <c r="M323" s="3275"/>
      <c r="N323" s="3275"/>
      <c r="O323" s="3275"/>
      <c r="P323" s="3275"/>
      <c r="Q323" s="3275"/>
      <c r="R323" s="3275"/>
      <c r="S323" s="3275"/>
      <c r="T323" s="3275"/>
      <c r="U323" s="3275"/>
      <c r="V323" s="3275"/>
      <c r="W323" s="3275"/>
      <c r="X323" s="3275"/>
      <c r="Y323" s="3275"/>
      <c r="Z323" s="3275"/>
      <c r="AA323" s="3275"/>
      <c r="AB323" s="3275"/>
      <c r="AC323" s="3264">
        <f t="shared" si="154"/>
        <v>0</v>
      </c>
      <c r="AD323" s="3285"/>
      <c r="AE323" s="3285"/>
      <c r="AF323" s="3285"/>
      <c r="AG323" s="3285"/>
      <c r="AH323" s="3285"/>
      <c r="AI323" s="3285"/>
      <c r="AJ323" s="3285"/>
      <c r="AK323" s="3285"/>
      <c r="AL323" s="3285"/>
      <c r="AM323" s="3285"/>
      <c r="AN323" s="3285"/>
      <c r="AO323" s="3285"/>
      <c r="AP323" s="3285"/>
      <c r="AQ323" s="3285"/>
      <c r="AR323" s="3285"/>
      <c r="AS323" s="3285"/>
      <c r="AT323" s="3295"/>
      <c r="AU323" s="3296"/>
      <c r="AV323" s="830">
        <f t="shared" si="178"/>
        <v>0</v>
      </c>
      <c r="AW323" s="830">
        <f t="shared" si="179"/>
        <v>0</v>
      </c>
      <c r="AX323" s="830">
        <f t="shared" si="180"/>
        <v>0</v>
      </c>
      <c r="AY323" s="3310">
        <f t="shared" si="155"/>
        <v>0</v>
      </c>
      <c r="AZ323" s="3264">
        <f t="shared" si="156"/>
        <v>0</v>
      </c>
      <c r="BA323" s="3264">
        <f t="shared" si="157"/>
        <v>0</v>
      </c>
      <c r="BB323" s="3264">
        <f t="shared" si="158"/>
        <v>0</v>
      </c>
      <c r="BC323" s="3264">
        <f t="shared" si="159"/>
        <v>0</v>
      </c>
      <c r="BD323" s="3264">
        <f t="shared" si="160"/>
        <v>0</v>
      </c>
      <c r="BE323" s="3264">
        <f t="shared" si="161"/>
        <v>0</v>
      </c>
      <c r="BF323" s="3264">
        <f t="shared" si="162"/>
        <v>0</v>
      </c>
      <c r="BG323" s="3264">
        <f t="shared" si="163"/>
        <v>0</v>
      </c>
      <c r="BH323" s="3264">
        <f t="shared" si="164"/>
        <v>0</v>
      </c>
      <c r="BI323" s="3264">
        <f t="shared" si="165"/>
        <v>0</v>
      </c>
      <c r="BJ323" s="3264">
        <f t="shared" si="166"/>
        <v>0</v>
      </c>
      <c r="BK323" s="3264">
        <f t="shared" si="167"/>
        <v>0</v>
      </c>
      <c r="BL323" s="3264">
        <f t="shared" si="168"/>
        <v>0</v>
      </c>
      <c r="BM323" s="3264">
        <f t="shared" si="169"/>
        <v>0</v>
      </c>
      <c r="BN323" s="3264">
        <f t="shared" si="170"/>
        <v>0</v>
      </c>
      <c r="BO323" s="3264">
        <f t="shared" si="171"/>
        <v>0</v>
      </c>
      <c r="BP323" s="3264">
        <f t="shared" si="172"/>
        <v>0</v>
      </c>
      <c r="BQ323" s="3264">
        <f t="shared" si="173"/>
        <v>0</v>
      </c>
      <c r="BR323" s="3264">
        <f t="shared" si="174"/>
        <v>0</v>
      </c>
      <c r="BS323" s="3264">
        <f t="shared" si="175"/>
        <v>0</v>
      </c>
      <c r="BT323" s="3317">
        <f t="shared" si="176"/>
        <v>0</v>
      </c>
    </row>
    <row r="324" spans="1:72">
      <c r="A324" s="3262"/>
      <c r="B324" s="3263"/>
      <c r="C324" s="3263"/>
      <c r="D324" s="3268"/>
      <c r="E324" s="3264">
        <f t="shared" si="177"/>
        <v>0</v>
      </c>
      <c r="F324" s="3265"/>
      <c r="G324" s="3266">
        <f t="shared" si="152"/>
        <v>0</v>
      </c>
      <c r="H324" s="3267">
        <f t="shared" si="153"/>
        <v>0</v>
      </c>
      <c r="I324" s="3275"/>
      <c r="J324" s="3275"/>
      <c r="K324" s="3275"/>
      <c r="L324" s="3275"/>
      <c r="M324" s="3275"/>
      <c r="N324" s="3275"/>
      <c r="O324" s="3275"/>
      <c r="P324" s="3275"/>
      <c r="Q324" s="3275"/>
      <c r="R324" s="3275"/>
      <c r="S324" s="3275"/>
      <c r="T324" s="3275"/>
      <c r="U324" s="3275"/>
      <c r="V324" s="3275"/>
      <c r="W324" s="3275"/>
      <c r="X324" s="3275"/>
      <c r="Y324" s="3275"/>
      <c r="Z324" s="3275"/>
      <c r="AA324" s="3275"/>
      <c r="AB324" s="3275"/>
      <c r="AC324" s="3264">
        <f t="shared" si="154"/>
        <v>0</v>
      </c>
      <c r="AD324" s="3285"/>
      <c r="AE324" s="3285"/>
      <c r="AF324" s="3285"/>
      <c r="AG324" s="3285"/>
      <c r="AH324" s="3285"/>
      <c r="AI324" s="3285"/>
      <c r="AJ324" s="3285"/>
      <c r="AK324" s="3285"/>
      <c r="AL324" s="3285"/>
      <c r="AM324" s="3285"/>
      <c r="AN324" s="3285"/>
      <c r="AO324" s="3285"/>
      <c r="AP324" s="3285"/>
      <c r="AQ324" s="3285"/>
      <c r="AR324" s="3285"/>
      <c r="AS324" s="3285"/>
      <c r="AT324" s="3295"/>
      <c r="AU324" s="3296"/>
      <c r="AV324" s="830">
        <f t="shared" si="178"/>
        <v>0</v>
      </c>
      <c r="AW324" s="830">
        <f t="shared" si="179"/>
        <v>0</v>
      </c>
      <c r="AX324" s="830">
        <f t="shared" si="180"/>
        <v>0</v>
      </c>
      <c r="AY324" s="3310">
        <f t="shared" si="155"/>
        <v>0</v>
      </c>
      <c r="AZ324" s="3264">
        <f t="shared" si="156"/>
        <v>0</v>
      </c>
      <c r="BA324" s="3264">
        <f t="shared" si="157"/>
        <v>0</v>
      </c>
      <c r="BB324" s="3264">
        <f t="shared" si="158"/>
        <v>0</v>
      </c>
      <c r="BC324" s="3264">
        <f t="shared" si="159"/>
        <v>0</v>
      </c>
      <c r="BD324" s="3264">
        <f t="shared" si="160"/>
        <v>0</v>
      </c>
      <c r="BE324" s="3264">
        <f t="shared" si="161"/>
        <v>0</v>
      </c>
      <c r="BF324" s="3264">
        <f t="shared" si="162"/>
        <v>0</v>
      </c>
      <c r="BG324" s="3264">
        <f t="shared" si="163"/>
        <v>0</v>
      </c>
      <c r="BH324" s="3264">
        <f t="shared" si="164"/>
        <v>0</v>
      </c>
      <c r="BI324" s="3264">
        <f t="shared" si="165"/>
        <v>0</v>
      </c>
      <c r="BJ324" s="3264">
        <f t="shared" si="166"/>
        <v>0</v>
      </c>
      <c r="BK324" s="3264">
        <f t="shared" si="167"/>
        <v>0</v>
      </c>
      <c r="BL324" s="3264">
        <f t="shared" si="168"/>
        <v>0</v>
      </c>
      <c r="BM324" s="3264">
        <f t="shared" si="169"/>
        <v>0</v>
      </c>
      <c r="BN324" s="3264">
        <f t="shared" si="170"/>
        <v>0</v>
      </c>
      <c r="BO324" s="3264">
        <f t="shared" si="171"/>
        <v>0</v>
      </c>
      <c r="BP324" s="3264">
        <f t="shared" si="172"/>
        <v>0</v>
      </c>
      <c r="BQ324" s="3264">
        <f t="shared" si="173"/>
        <v>0</v>
      </c>
      <c r="BR324" s="3264">
        <f t="shared" si="174"/>
        <v>0</v>
      </c>
      <c r="BS324" s="3264">
        <f t="shared" si="175"/>
        <v>0</v>
      </c>
      <c r="BT324" s="3317">
        <f t="shared" si="176"/>
        <v>0</v>
      </c>
    </row>
    <row r="325" spans="1:72">
      <c r="A325" s="3262"/>
      <c r="B325" s="3263"/>
      <c r="C325" s="3263"/>
      <c r="D325" s="3268"/>
      <c r="E325" s="3264">
        <f t="shared" si="177"/>
        <v>0</v>
      </c>
      <c r="F325" s="3265"/>
      <c r="G325" s="3266">
        <f t="shared" si="152"/>
        <v>0</v>
      </c>
      <c r="H325" s="3267">
        <f t="shared" si="153"/>
        <v>0</v>
      </c>
      <c r="I325" s="3275"/>
      <c r="J325" s="3275"/>
      <c r="K325" s="3275"/>
      <c r="L325" s="3275"/>
      <c r="M325" s="3275"/>
      <c r="N325" s="3275"/>
      <c r="O325" s="3275"/>
      <c r="P325" s="3275"/>
      <c r="Q325" s="3275"/>
      <c r="R325" s="3275"/>
      <c r="S325" s="3275"/>
      <c r="T325" s="3275"/>
      <c r="U325" s="3275"/>
      <c r="V325" s="3275"/>
      <c r="W325" s="3275"/>
      <c r="X325" s="3275"/>
      <c r="Y325" s="3275"/>
      <c r="Z325" s="3275"/>
      <c r="AA325" s="3275"/>
      <c r="AB325" s="3275"/>
      <c r="AC325" s="3264">
        <f t="shared" si="154"/>
        <v>0</v>
      </c>
      <c r="AD325" s="3285"/>
      <c r="AE325" s="3285"/>
      <c r="AF325" s="3285"/>
      <c r="AG325" s="3285"/>
      <c r="AH325" s="3285"/>
      <c r="AI325" s="3285"/>
      <c r="AJ325" s="3285"/>
      <c r="AK325" s="3285"/>
      <c r="AL325" s="3285"/>
      <c r="AM325" s="3285"/>
      <c r="AN325" s="3285"/>
      <c r="AO325" s="3285"/>
      <c r="AP325" s="3285"/>
      <c r="AQ325" s="3285"/>
      <c r="AR325" s="3285"/>
      <c r="AS325" s="3285"/>
      <c r="AT325" s="3295"/>
      <c r="AU325" s="3296"/>
      <c r="AV325" s="830">
        <f t="shared" si="178"/>
        <v>0</v>
      </c>
      <c r="AW325" s="830">
        <f t="shared" si="179"/>
        <v>0</v>
      </c>
      <c r="AX325" s="830">
        <f t="shared" si="180"/>
        <v>0</v>
      </c>
      <c r="AY325" s="3310">
        <f t="shared" si="155"/>
        <v>0</v>
      </c>
      <c r="AZ325" s="3264">
        <f t="shared" si="156"/>
        <v>0</v>
      </c>
      <c r="BA325" s="3264">
        <f t="shared" si="157"/>
        <v>0</v>
      </c>
      <c r="BB325" s="3264">
        <f t="shared" si="158"/>
        <v>0</v>
      </c>
      <c r="BC325" s="3264">
        <f t="shared" si="159"/>
        <v>0</v>
      </c>
      <c r="BD325" s="3264">
        <f t="shared" si="160"/>
        <v>0</v>
      </c>
      <c r="BE325" s="3264">
        <f t="shared" si="161"/>
        <v>0</v>
      </c>
      <c r="BF325" s="3264">
        <f t="shared" si="162"/>
        <v>0</v>
      </c>
      <c r="BG325" s="3264">
        <f t="shared" si="163"/>
        <v>0</v>
      </c>
      <c r="BH325" s="3264">
        <f t="shared" si="164"/>
        <v>0</v>
      </c>
      <c r="BI325" s="3264">
        <f t="shared" si="165"/>
        <v>0</v>
      </c>
      <c r="BJ325" s="3264">
        <f t="shared" si="166"/>
        <v>0</v>
      </c>
      <c r="BK325" s="3264">
        <f t="shared" si="167"/>
        <v>0</v>
      </c>
      <c r="BL325" s="3264">
        <f t="shared" si="168"/>
        <v>0</v>
      </c>
      <c r="BM325" s="3264">
        <f t="shared" si="169"/>
        <v>0</v>
      </c>
      <c r="BN325" s="3264">
        <f t="shared" si="170"/>
        <v>0</v>
      </c>
      <c r="BO325" s="3264">
        <f t="shared" si="171"/>
        <v>0</v>
      </c>
      <c r="BP325" s="3264">
        <f t="shared" si="172"/>
        <v>0</v>
      </c>
      <c r="BQ325" s="3264">
        <f t="shared" si="173"/>
        <v>0</v>
      </c>
      <c r="BR325" s="3264">
        <f t="shared" si="174"/>
        <v>0</v>
      </c>
      <c r="BS325" s="3264">
        <f t="shared" si="175"/>
        <v>0</v>
      </c>
      <c r="BT325" s="3317">
        <f t="shared" si="176"/>
        <v>0</v>
      </c>
    </row>
    <row r="326" spans="1:72">
      <c r="A326" s="3262"/>
      <c r="B326" s="3263"/>
      <c r="C326" s="3263"/>
      <c r="D326" s="3268"/>
      <c r="E326" s="3264">
        <f t="shared" si="177"/>
        <v>0</v>
      </c>
      <c r="F326" s="3265"/>
      <c r="G326" s="3266">
        <f t="shared" si="152"/>
        <v>0</v>
      </c>
      <c r="H326" s="3267">
        <f t="shared" si="153"/>
        <v>0</v>
      </c>
      <c r="I326" s="3275"/>
      <c r="J326" s="3275"/>
      <c r="K326" s="3275"/>
      <c r="L326" s="3275"/>
      <c r="M326" s="3275"/>
      <c r="N326" s="3275"/>
      <c r="O326" s="3275"/>
      <c r="P326" s="3275"/>
      <c r="Q326" s="3275"/>
      <c r="R326" s="3275"/>
      <c r="S326" s="3275"/>
      <c r="T326" s="3275"/>
      <c r="U326" s="3275"/>
      <c r="V326" s="3275"/>
      <c r="W326" s="3275"/>
      <c r="X326" s="3275"/>
      <c r="Y326" s="3275"/>
      <c r="Z326" s="3275"/>
      <c r="AA326" s="3275"/>
      <c r="AB326" s="3275"/>
      <c r="AC326" s="3264">
        <f t="shared" si="154"/>
        <v>0</v>
      </c>
      <c r="AD326" s="3285"/>
      <c r="AE326" s="3285"/>
      <c r="AF326" s="3285"/>
      <c r="AG326" s="3285"/>
      <c r="AH326" s="3285"/>
      <c r="AI326" s="3285"/>
      <c r="AJ326" s="3285"/>
      <c r="AK326" s="3285"/>
      <c r="AL326" s="3285"/>
      <c r="AM326" s="3285"/>
      <c r="AN326" s="3285"/>
      <c r="AO326" s="3285"/>
      <c r="AP326" s="3285"/>
      <c r="AQ326" s="3285"/>
      <c r="AR326" s="3285"/>
      <c r="AS326" s="3285"/>
      <c r="AT326" s="3295"/>
      <c r="AU326" s="3296"/>
      <c r="AV326" s="830">
        <f t="shared" si="178"/>
        <v>0</v>
      </c>
      <c r="AW326" s="830">
        <f t="shared" si="179"/>
        <v>0</v>
      </c>
      <c r="AX326" s="830">
        <f t="shared" si="180"/>
        <v>0</v>
      </c>
      <c r="AY326" s="3310">
        <f t="shared" si="155"/>
        <v>0</v>
      </c>
      <c r="AZ326" s="3264">
        <f t="shared" si="156"/>
        <v>0</v>
      </c>
      <c r="BA326" s="3264">
        <f t="shared" si="157"/>
        <v>0</v>
      </c>
      <c r="BB326" s="3264">
        <f t="shared" si="158"/>
        <v>0</v>
      </c>
      <c r="BC326" s="3264">
        <f t="shared" si="159"/>
        <v>0</v>
      </c>
      <c r="BD326" s="3264">
        <f t="shared" si="160"/>
        <v>0</v>
      </c>
      <c r="BE326" s="3264">
        <f t="shared" si="161"/>
        <v>0</v>
      </c>
      <c r="BF326" s="3264">
        <f t="shared" si="162"/>
        <v>0</v>
      </c>
      <c r="BG326" s="3264">
        <f t="shared" si="163"/>
        <v>0</v>
      </c>
      <c r="BH326" s="3264">
        <f t="shared" si="164"/>
        <v>0</v>
      </c>
      <c r="BI326" s="3264">
        <f t="shared" si="165"/>
        <v>0</v>
      </c>
      <c r="BJ326" s="3264">
        <f t="shared" si="166"/>
        <v>0</v>
      </c>
      <c r="BK326" s="3264">
        <f t="shared" si="167"/>
        <v>0</v>
      </c>
      <c r="BL326" s="3264">
        <f t="shared" si="168"/>
        <v>0</v>
      </c>
      <c r="BM326" s="3264">
        <f t="shared" si="169"/>
        <v>0</v>
      </c>
      <c r="BN326" s="3264">
        <f t="shared" si="170"/>
        <v>0</v>
      </c>
      <c r="BO326" s="3264">
        <f t="shared" si="171"/>
        <v>0</v>
      </c>
      <c r="BP326" s="3264">
        <f t="shared" si="172"/>
        <v>0</v>
      </c>
      <c r="BQ326" s="3264">
        <f t="shared" si="173"/>
        <v>0</v>
      </c>
      <c r="BR326" s="3264">
        <f t="shared" si="174"/>
        <v>0</v>
      </c>
      <c r="BS326" s="3264">
        <f t="shared" si="175"/>
        <v>0</v>
      </c>
      <c r="BT326" s="3317">
        <f t="shared" si="176"/>
        <v>0</v>
      </c>
    </row>
    <row r="327" spans="1:72">
      <c r="A327" s="3262"/>
      <c r="B327" s="3263"/>
      <c r="C327" s="3263"/>
      <c r="D327" s="3268"/>
      <c r="E327" s="3264">
        <f t="shared" si="177"/>
        <v>0</v>
      </c>
      <c r="F327" s="3265"/>
      <c r="G327" s="3266">
        <f t="shared" si="152"/>
        <v>0</v>
      </c>
      <c r="H327" s="3267">
        <f t="shared" si="153"/>
        <v>0</v>
      </c>
      <c r="I327" s="3275"/>
      <c r="J327" s="3275"/>
      <c r="K327" s="3275"/>
      <c r="L327" s="3275"/>
      <c r="M327" s="3275"/>
      <c r="N327" s="3275"/>
      <c r="O327" s="3275"/>
      <c r="P327" s="3275"/>
      <c r="Q327" s="3275"/>
      <c r="R327" s="3275"/>
      <c r="S327" s="3275"/>
      <c r="T327" s="3275"/>
      <c r="U327" s="3275"/>
      <c r="V327" s="3275"/>
      <c r="W327" s="3275"/>
      <c r="X327" s="3275"/>
      <c r="Y327" s="3275"/>
      <c r="Z327" s="3275"/>
      <c r="AA327" s="3275"/>
      <c r="AB327" s="3275"/>
      <c r="AC327" s="3264">
        <f t="shared" si="154"/>
        <v>0</v>
      </c>
      <c r="AD327" s="3285"/>
      <c r="AE327" s="3285"/>
      <c r="AF327" s="3285"/>
      <c r="AG327" s="3285"/>
      <c r="AH327" s="3285"/>
      <c r="AI327" s="3285"/>
      <c r="AJ327" s="3285"/>
      <c r="AK327" s="3285"/>
      <c r="AL327" s="3285"/>
      <c r="AM327" s="3285"/>
      <c r="AN327" s="3285"/>
      <c r="AO327" s="3285"/>
      <c r="AP327" s="3285"/>
      <c r="AQ327" s="3285"/>
      <c r="AR327" s="3285"/>
      <c r="AS327" s="3285"/>
      <c r="AT327" s="3295"/>
      <c r="AU327" s="3296"/>
      <c r="AV327" s="830">
        <f t="shared" si="178"/>
        <v>0</v>
      </c>
      <c r="AW327" s="830">
        <f t="shared" si="179"/>
        <v>0</v>
      </c>
      <c r="AX327" s="830">
        <f t="shared" si="180"/>
        <v>0</v>
      </c>
      <c r="AY327" s="3310">
        <f t="shared" si="155"/>
        <v>0</v>
      </c>
      <c r="AZ327" s="3264">
        <f t="shared" si="156"/>
        <v>0</v>
      </c>
      <c r="BA327" s="3264">
        <f t="shared" si="157"/>
        <v>0</v>
      </c>
      <c r="BB327" s="3264">
        <f t="shared" si="158"/>
        <v>0</v>
      </c>
      <c r="BC327" s="3264">
        <f t="shared" si="159"/>
        <v>0</v>
      </c>
      <c r="BD327" s="3264">
        <f t="shared" si="160"/>
        <v>0</v>
      </c>
      <c r="BE327" s="3264">
        <f t="shared" si="161"/>
        <v>0</v>
      </c>
      <c r="BF327" s="3264">
        <f t="shared" si="162"/>
        <v>0</v>
      </c>
      <c r="BG327" s="3264">
        <f t="shared" si="163"/>
        <v>0</v>
      </c>
      <c r="BH327" s="3264">
        <f t="shared" si="164"/>
        <v>0</v>
      </c>
      <c r="BI327" s="3264">
        <f t="shared" si="165"/>
        <v>0</v>
      </c>
      <c r="BJ327" s="3264">
        <f t="shared" si="166"/>
        <v>0</v>
      </c>
      <c r="BK327" s="3264">
        <f t="shared" si="167"/>
        <v>0</v>
      </c>
      <c r="BL327" s="3264">
        <f t="shared" si="168"/>
        <v>0</v>
      </c>
      <c r="BM327" s="3264">
        <f t="shared" si="169"/>
        <v>0</v>
      </c>
      <c r="BN327" s="3264">
        <f t="shared" si="170"/>
        <v>0</v>
      </c>
      <c r="BO327" s="3264">
        <f t="shared" si="171"/>
        <v>0</v>
      </c>
      <c r="BP327" s="3264">
        <f t="shared" si="172"/>
        <v>0</v>
      </c>
      <c r="BQ327" s="3264">
        <f t="shared" si="173"/>
        <v>0</v>
      </c>
      <c r="BR327" s="3264">
        <f t="shared" si="174"/>
        <v>0</v>
      </c>
      <c r="BS327" s="3264">
        <f t="shared" si="175"/>
        <v>0</v>
      </c>
      <c r="BT327" s="3317">
        <f t="shared" si="176"/>
        <v>0</v>
      </c>
    </row>
    <row r="328" spans="1:72">
      <c r="A328" s="3262"/>
      <c r="B328" s="3263"/>
      <c r="C328" s="3263"/>
      <c r="D328" s="3268"/>
      <c r="E328" s="3264">
        <f t="shared" si="177"/>
        <v>0</v>
      </c>
      <c r="F328" s="3265"/>
      <c r="G328" s="3266">
        <f t="shared" si="152"/>
        <v>0</v>
      </c>
      <c r="H328" s="3267">
        <f t="shared" si="153"/>
        <v>0</v>
      </c>
      <c r="I328" s="3275"/>
      <c r="J328" s="3275"/>
      <c r="K328" s="3275"/>
      <c r="L328" s="3275"/>
      <c r="M328" s="3275"/>
      <c r="N328" s="3275"/>
      <c r="O328" s="3275"/>
      <c r="P328" s="3275"/>
      <c r="Q328" s="3275"/>
      <c r="R328" s="3275"/>
      <c r="S328" s="3275"/>
      <c r="T328" s="3275"/>
      <c r="U328" s="3275"/>
      <c r="V328" s="3275"/>
      <c r="W328" s="3275"/>
      <c r="X328" s="3275"/>
      <c r="Y328" s="3275"/>
      <c r="Z328" s="3275"/>
      <c r="AA328" s="3275"/>
      <c r="AB328" s="3275"/>
      <c r="AC328" s="3264">
        <f t="shared" si="154"/>
        <v>0</v>
      </c>
      <c r="AD328" s="3285"/>
      <c r="AE328" s="3285"/>
      <c r="AF328" s="3285"/>
      <c r="AG328" s="3285"/>
      <c r="AH328" s="3285"/>
      <c r="AI328" s="3285"/>
      <c r="AJ328" s="3285"/>
      <c r="AK328" s="3285"/>
      <c r="AL328" s="3285"/>
      <c r="AM328" s="3285"/>
      <c r="AN328" s="3285"/>
      <c r="AO328" s="3285"/>
      <c r="AP328" s="3285"/>
      <c r="AQ328" s="3285"/>
      <c r="AR328" s="3285"/>
      <c r="AS328" s="3285"/>
      <c r="AT328" s="3295"/>
      <c r="AU328" s="3296"/>
      <c r="AV328" s="830">
        <f t="shared" si="178"/>
        <v>0</v>
      </c>
      <c r="AW328" s="830">
        <f t="shared" si="179"/>
        <v>0</v>
      </c>
      <c r="AX328" s="830">
        <f t="shared" si="180"/>
        <v>0</v>
      </c>
      <c r="AY328" s="3310">
        <f t="shared" si="155"/>
        <v>0</v>
      </c>
      <c r="AZ328" s="3264">
        <f t="shared" si="156"/>
        <v>0</v>
      </c>
      <c r="BA328" s="3264">
        <f t="shared" si="157"/>
        <v>0</v>
      </c>
      <c r="BB328" s="3264">
        <f t="shared" si="158"/>
        <v>0</v>
      </c>
      <c r="BC328" s="3264">
        <f t="shared" si="159"/>
        <v>0</v>
      </c>
      <c r="BD328" s="3264">
        <f t="shared" si="160"/>
        <v>0</v>
      </c>
      <c r="BE328" s="3264">
        <f t="shared" si="161"/>
        <v>0</v>
      </c>
      <c r="BF328" s="3264">
        <f t="shared" si="162"/>
        <v>0</v>
      </c>
      <c r="BG328" s="3264">
        <f t="shared" si="163"/>
        <v>0</v>
      </c>
      <c r="BH328" s="3264">
        <f t="shared" si="164"/>
        <v>0</v>
      </c>
      <c r="BI328" s="3264">
        <f t="shared" si="165"/>
        <v>0</v>
      </c>
      <c r="BJ328" s="3264">
        <f t="shared" si="166"/>
        <v>0</v>
      </c>
      <c r="BK328" s="3264">
        <f t="shared" si="167"/>
        <v>0</v>
      </c>
      <c r="BL328" s="3264">
        <f t="shared" si="168"/>
        <v>0</v>
      </c>
      <c r="BM328" s="3264">
        <f t="shared" si="169"/>
        <v>0</v>
      </c>
      <c r="BN328" s="3264">
        <f t="shared" si="170"/>
        <v>0</v>
      </c>
      <c r="BO328" s="3264">
        <f t="shared" si="171"/>
        <v>0</v>
      </c>
      <c r="BP328" s="3264">
        <f t="shared" si="172"/>
        <v>0</v>
      </c>
      <c r="BQ328" s="3264">
        <f t="shared" si="173"/>
        <v>0</v>
      </c>
      <c r="BR328" s="3264">
        <f t="shared" si="174"/>
        <v>0</v>
      </c>
      <c r="BS328" s="3264">
        <f t="shared" si="175"/>
        <v>0</v>
      </c>
      <c r="BT328" s="3317">
        <f t="shared" si="176"/>
        <v>0</v>
      </c>
    </row>
    <row r="329" spans="1:72">
      <c r="A329" s="3262"/>
      <c r="B329" s="3263"/>
      <c r="C329" s="3263"/>
      <c r="D329" s="3268"/>
      <c r="E329" s="3264">
        <f t="shared" si="177"/>
        <v>0</v>
      </c>
      <c r="F329" s="3265"/>
      <c r="G329" s="3266">
        <f t="shared" si="152"/>
        <v>0</v>
      </c>
      <c r="H329" s="3267">
        <f t="shared" si="153"/>
        <v>0</v>
      </c>
      <c r="I329" s="3275"/>
      <c r="J329" s="3275"/>
      <c r="K329" s="3275"/>
      <c r="L329" s="3275"/>
      <c r="M329" s="3275"/>
      <c r="N329" s="3275"/>
      <c r="O329" s="3275"/>
      <c r="P329" s="3275"/>
      <c r="Q329" s="3275"/>
      <c r="R329" s="3275"/>
      <c r="S329" s="3275"/>
      <c r="T329" s="3275"/>
      <c r="U329" s="3275"/>
      <c r="V329" s="3275"/>
      <c r="W329" s="3275"/>
      <c r="X329" s="3275"/>
      <c r="Y329" s="3275"/>
      <c r="Z329" s="3275"/>
      <c r="AA329" s="3275"/>
      <c r="AB329" s="3275"/>
      <c r="AC329" s="3264">
        <f t="shared" si="154"/>
        <v>0</v>
      </c>
      <c r="AD329" s="3285"/>
      <c r="AE329" s="3285"/>
      <c r="AF329" s="3285"/>
      <c r="AG329" s="3285"/>
      <c r="AH329" s="3285"/>
      <c r="AI329" s="3285"/>
      <c r="AJ329" s="3285"/>
      <c r="AK329" s="3285"/>
      <c r="AL329" s="3285"/>
      <c r="AM329" s="3285"/>
      <c r="AN329" s="3285"/>
      <c r="AO329" s="3285"/>
      <c r="AP329" s="3285"/>
      <c r="AQ329" s="3285"/>
      <c r="AR329" s="3285"/>
      <c r="AS329" s="3285"/>
      <c r="AT329" s="3295"/>
      <c r="AU329" s="3296"/>
      <c r="AV329" s="830">
        <f t="shared" si="178"/>
        <v>0</v>
      </c>
      <c r="AW329" s="830">
        <f t="shared" si="179"/>
        <v>0</v>
      </c>
      <c r="AX329" s="830">
        <f t="shared" si="180"/>
        <v>0</v>
      </c>
      <c r="AY329" s="3310">
        <f t="shared" si="155"/>
        <v>0</v>
      </c>
      <c r="AZ329" s="3264">
        <f t="shared" si="156"/>
        <v>0</v>
      </c>
      <c r="BA329" s="3264">
        <f t="shared" si="157"/>
        <v>0</v>
      </c>
      <c r="BB329" s="3264">
        <f t="shared" si="158"/>
        <v>0</v>
      </c>
      <c r="BC329" s="3264">
        <f t="shared" si="159"/>
        <v>0</v>
      </c>
      <c r="BD329" s="3264">
        <f t="shared" si="160"/>
        <v>0</v>
      </c>
      <c r="BE329" s="3264">
        <f t="shared" si="161"/>
        <v>0</v>
      </c>
      <c r="BF329" s="3264">
        <f t="shared" si="162"/>
        <v>0</v>
      </c>
      <c r="BG329" s="3264">
        <f t="shared" si="163"/>
        <v>0</v>
      </c>
      <c r="BH329" s="3264">
        <f t="shared" si="164"/>
        <v>0</v>
      </c>
      <c r="BI329" s="3264">
        <f t="shared" si="165"/>
        <v>0</v>
      </c>
      <c r="BJ329" s="3264">
        <f t="shared" si="166"/>
        <v>0</v>
      </c>
      <c r="BK329" s="3264">
        <f t="shared" si="167"/>
        <v>0</v>
      </c>
      <c r="BL329" s="3264">
        <f t="shared" si="168"/>
        <v>0</v>
      </c>
      <c r="BM329" s="3264">
        <f t="shared" si="169"/>
        <v>0</v>
      </c>
      <c r="BN329" s="3264">
        <f t="shared" si="170"/>
        <v>0</v>
      </c>
      <c r="BO329" s="3264">
        <f t="shared" si="171"/>
        <v>0</v>
      </c>
      <c r="BP329" s="3264">
        <f t="shared" si="172"/>
        <v>0</v>
      </c>
      <c r="BQ329" s="3264">
        <f t="shared" si="173"/>
        <v>0</v>
      </c>
      <c r="BR329" s="3264">
        <f t="shared" si="174"/>
        <v>0</v>
      </c>
      <c r="BS329" s="3264">
        <f t="shared" si="175"/>
        <v>0</v>
      </c>
      <c r="BT329" s="3317">
        <f t="shared" si="176"/>
        <v>0</v>
      </c>
    </row>
    <row r="330" spans="1:72">
      <c r="A330" s="3262"/>
      <c r="B330" s="3263"/>
      <c r="C330" s="3263"/>
      <c r="D330" s="3268"/>
      <c r="E330" s="3264">
        <f t="shared" si="177"/>
        <v>0</v>
      </c>
      <c r="F330" s="3265"/>
      <c r="G330" s="3266">
        <f t="shared" si="152"/>
        <v>0</v>
      </c>
      <c r="H330" s="3267">
        <f t="shared" si="153"/>
        <v>0</v>
      </c>
      <c r="I330" s="3275"/>
      <c r="J330" s="3275"/>
      <c r="K330" s="3275"/>
      <c r="L330" s="3275"/>
      <c r="M330" s="3275"/>
      <c r="N330" s="3275"/>
      <c r="O330" s="3275"/>
      <c r="P330" s="3275"/>
      <c r="Q330" s="3275"/>
      <c r="R330" s="3275"/>
      <c r="S330" s="3275"/>
      <c r="T330" s="3275"/>
      <c r="U330" s="3275"/>
      <c r="V330" s="3275"/>
      <c r="W330" s="3275"/>
      <c r="X330" s="3275"/>
      <c r="Y330" s="3275"/>
      <c r="Z330" s="3275"/>
      <c r="AA330" s="3275"/>
      <c r="AB330" s="3275"/>
      <c r="AC330" s="3264">
        <f t="shared" si="154"/>
        <v>0</v>
      </c>
      <c r="AD330" s="3285"/>
      <c r="AE330" s="3285"/>
      <c r="AF330" s="3285"/>
      <c r="AG330" s="3285"/>
      <c r="AH330" s="3285"/>
      <c r="AI330" s="3285"/>
      <c r="AJ330" s="3285"/>
      <c r="AK330" s="3285"/>
      <c r="AL330" s="3285"/>
      <c r="AM330" s="3285"/>
      <c r="AN330" s="3285"/>
      <c r="AO330" s="3285"/>
      <c r="AP330" s="3285"/>
      <c r="AQ330" s="3285"/>
      <c r="AR330" s="3285"/>
      <c r="AS330" s="3285"/>
      <c r="AT330" s="3295"/>
      <c r="AU330" s="3296"/>
      <c r="AV330" s="830">
        <f t="shared" si="178"/>
        <v>0</v>
      </c>
      <c r="AW330" s="830">
        <f t="shared" si="179"/>
        <v>0</v>
      </c>
      <c r="AX330" s="830">
        <f t="shared" si="180"/>
        <v>0</v>
      </c>
      <c r="AY330" s="3310">
        <f t="shared" si="155"/>
        <v>0</v>
      </c>
      <c r="AZ330" s="3264">
        <f t="shared" si="156"/>
        <v>0</v>
      </c>
      <c r="BA330" s="3264">
        <f t="shared" si="157"/>
        <v>0</v>
      </c>
      <c r="BB330" s="3264">
        <f t="shared" si="158"/>
        <v>0</v>
      </c>
      <c r="BC330" s="3264">
        <f t="shared" si="159"/>
        <v>0</v>
      </c>
      <c r="BD330" s="3264">
        <f t="shared" si="160"/>
        <v>0</v>
      </c>
      <c r="BE330" s="3264">
        <f t="shared" si="161"/>
        <v>0</v>
      </c>
      <c r="BF330" s="3264">
        <f t="shared" si="162"/>
        <v>0</v>
      </c>
      <c r="BG330" s="3264">
        <f t="shared" si="163"/>
        <v>0</v>
      </c>
      <c r="BH330" s="3264">
        <f t="shared" si="164"/>
        <v>0</v>
      </c>
      <c r="BI330" s="3264">
        <f t="shared" si="165"/>
        <v>0</v>
      </c>
      <c r="BJ330" s="3264">
        <f t="shared" si="166"/>
        <v>0</v>
      </c>
      <c r="BK330" s="3264">
        <f t="shared" si="167"/>
        <v>0</v>
      </c>
      <c r="BL330" s="3264">
        <f t="shared" si="168"/>
        <v>0</v>
      </c>
      <c r="BM330" s="3264">
        <f t="shared" si="169"/>
        <v>0</v>
      </c>
      <c r="BN330" s="3264">
        <f t="shared" si="170"/>
        <v>0</v>
      </c>
      <c r="BO330" s="3264">
        <f t="shared" si="171"/>
        <v>0</v>
      </c>
      <c r="BP330" s="3264">
        <f t="shared" si="172"/>
        <v>0</v>
      </c>
      <c r="BQ330" s="3264">
        <f t="shared" si="173"/>
        <v>0</v>
      </c>
      <c r="BR330" s="3264">
        <f t="shared" si="174"/>
        <v>0</v>
      </c>
      <c r="BS330" s="3264">
        <f t="shared" si="175"/>
        <v>0</v>
      </c>
      <c r="BT330" s="3317">
        <f t="shared" si="176"/>
        <v>0</v>
      </c>
    </row>
    <row r="331" spans="1:72">
      <c r="A331" s="3262"/>
      <c r="B331" s="3263"/>
      <c r="C331" s="3263"/>
      <c r="D331" s="3268"/>
      <c r="E331" s="3264">
        <f t="shared" si="177"/>
        <v>0</v>
      </c>
      <c r="F331" s="3265"/>
      <c r="G331" s="3266">
        <f t="shared" si="152"/>
        <v>0</v>
      </c>
      <c r="H331" s="3267">
        <f t="shared" si="153"/>
        <v>0</v>
      </c>
      <c r="I331" s="3275"/>
      <c r="J331" s="3275"/>
      <c r="K331" s="3275"/>
      <c r="L331" s="3275"/>
      <c r="M331" s="3275"/>
      <c r="N331" s="3275"/>
      <c r="O331" s="3275"/>
      <c r="P331" s="3275"/>
      <c r="Q331" s="3275"/>
      <c r="R331" s="3275"/>
      <c r="S331" s="3275"/>
      <c r="T331" s="3275"/>
      <c r="U331" s="3275"/>
      <c r="V331" s="3275"/>
      <c r="W331" s="3275"/>
      <c r="X331" s="3275"/>
      <c r="Y331" s="3275"/>
      <c r="Z331" s="3275"/>
      <c r="AA331" s="3275"/>
      <c r="AB331" s="3275"/>
      <c r="AC331" s="3264">
        <f t="shared" si="154"/>
        <v>0</v>
      </c>
      <c r="AD331" s="3285"/>
      <c r="AE331" s="3285"/>
      <c r="AF331" s="3285"/>
      <c r="AG331" s="3285"/>
      <c r="AH331" s="3285"/>
      <c r="AI331" s="3285"/>
      <c r="AJ331" s="3285"/>
      <c r="AK331" s="3285"/>
      <c r="AL331" s="3285"/>
      <c r="AM331" s="3285"/>
      <c r="AN331" s="3285"/>
      <c r="AO331" s="3285"/>
      <c r="AP331" s="3285"/>
      <c r="AQ331" s="3285"/>
      <c r="AR331" s="3285"/>
      <c r="AS331" s="3285"/>
      <c r="AT331" s="3295"/>
      <c r="AU331" s="3296"/>
      <c r="AV331" s="830">
        <f t="shared" si="178"/>
        <v>0</v>
      </c>
      <c r="AW331" s="830">
        <f t="shared" si="179"/>
        <v>0</v>
      </c>
      <c r="AX331" s="830">
        <f t="shared" si="180"/>
        <v>0</v>
      </c>
      <c r="AY331" s="3310">
        <f t="shared" si="155"/>
        <v>0</v>
      </c>
      <c r="AZ331" s="3264">
        <f t="shared" si="156"/>
        <v>0</v>
      </c>
      <c r="BA331" s="3264">
        <f t="shared" si="157"/>
        <v>0</v>
      </c>
      <c r="BB331" s="3264">
        <f t="shared" si="158"/>
        <v>0</v>
      </c>
      <c r="BC331" s="3264">
        <f t="shared" si="159"/>
        <v>0</v>
      </c>
      <c r="BD331" s="3264">
        <f t="shared" si="160"/>
        <v>0</v>
      </c>
      <c r="BE331" s="3264">
        <f t="shared" si="161"/>
        <v>0</v>
      </c>
      <c r="BF331" s="3264">
        <f t="shared" si="162"/>
        <v>0</v>
      </c>
      <c r="BG331" s="3264">
        <f t="shared" si="163"/>
        <v>0</v>
      </c>
      <c r="BH331" s="3264">
        <f t="shared" si="164"/>
        <v>0</v>
      </c>
      <c r="BI331" s="3264">
        <f t="shared" si="165"/>
        <v>0</v>
      </c>
      <c r="BJ331" s="3264">
        <f t="shared" si="166"/>
        <v>0</v>
      </c>
      <c r="BK331" s="3264">
        <f t="shared" si="167"/>
        <v>0</v>
      </c>
      <c r="BL331" s="3264">
        <f t="shared" si="168"/>
        <v>0</v>
      </c>
      <c r="BM331" s="3264">
        <f t="shared" si="169"/>
        <v>0</v>
      </c>
      <c r="BN331" s="3264">
        <f t="shared" si="170"/>
        <v>0</v>
      </c>
      <c r="BO331" s="3264">
        <f t="shared" si="171"/>
        <v>0</v>
      </c>
      <c r="BP331" s="3264">
        <f t="shared" si="172"/>
        <v>0</v>
      </c>
      <c r="BQ331" s="3264">
        <f t="shared" si="173"/>
        <v>0</v>
      </c>
      <c r="BR331" s="3264">
        <f t="shared" si="174"/>
        <v>0</v>
      </c>
      <c r="BS331" s="3264">
        <f t="shared" si="175"/>
        <v>0</v>
      </c>
      <c r="BT331" s="3317">
        <f t="shared" si="176"/>
        <v>0</v>
      </c>
    </row>
    <row r="332" spans="1:72">
      <c r="A332" s="3262"/>
      <c r="B332" s="3263"/>
      <c r="C332" s="3263"/>
      <c r="D332" s="3268"/>
      <c r="E332" s="3264">
        <f t="shared" si="177"/>
        <v>0</v>
      </c>
      <c r="F332" s="3265"/>
      <c r="G332" s="3266">
        <f t="shared" ref="G332:G363" si="181">H332+AC332+AT332</f>
        <v>0</v>
      </c>
      <c r="H332" s="3267">
        <f t="shared" ref="H332:H363" si="182">SUMIF(I$12:AB$12,"总值",I332:AB332)</f>
        <v>0</v>
      </c>
      <c r="I332" s="3275"/>
      <c r="J332" s="3275"/>
      <c r="K332" s="3275"/>
      <c r="L332" s="3275"/>
      <c r="M332" s="3275"/>
      <c r="N332" s="3275"/>
      <c r="O332" s="3275"/>
      <c r="P332" s="3275"/>
      <c r="Q332" s="3275"/>
      <c r="R332" s="3275"/>
      <c r="S332" s="3275"/>
      <c r="T332" s="3275"/>
      <c r="U332" s="3275"/>
      <c r="V332" s="3275"/>
      <c r="W332" s="3275"/>
      <c r="X332" s="3275"/>
      <c r="Y332" s="3275"/>
      <c r="Z332" s="3275"/>
      <c r="AA332" s="3275"/>
      <c r="AB332" s="3275"/>
      <c r="AC332" s="3264">
        <f t="shared" ref="AC332:AC363" si="183">SUMIF(AD$12:AS$12,"总值",AD332:AS332)</f>
        <v>0</v>
      </c>
      <c r="AD332" s="3285"/>
      <c r="AE332" s="3285"/>
      <c r="AF332" s="3285"/>
      <c r="AG332" s="3285"/>
      <c r="AH332" s="3285"/>
      <c r="AI332" s="3285"/>
      <c r="AJ332" s="3285"/>
      <c r="AK332" s="3285"/>
      <c r="AL332" s="3285"/>
      <c r="AM332" s="3285"/>
      <c r="AN332" s="3285"/>
      <c r="AO332" s="3285"/>
      <c r="AP332" s="3285"/>
      <c r="AQ332" s="3285"/>
      <c r="AR332" s="3285"/>
      <c r="AS332" s="3285"/>
      <c r="AT332" s="3295"/>
      <c r="AU332" s="3296"/>
      <c r="AV332" s="830">
        <f t="shared" si="178"/>
        <v>0</v>
      </c>
      <c r="AW332" s="830">
        <f t="shared" si="179"/>
        <v>0</v>
      </c>
      <c r="AX332" s="830">
        <f t="shared" si="180"/>
        <v>0</v>
      </c>
      <c r="AY332" s="3310">
        <f t="shared" ref="AY332:AY363" si="184">ROUND($AY$6*AZ332/$AZ$5,2)</f>
        <v>0</v>
      </c>
      <c r="AZ332" s="3264">
        <f t="shared" ref="AZ332:AZ363" si="185">BA332+BL332</f>
        <v>0</v>
      </c>
      <c r="BA332" s="3264">
        <f t="shared" ref="BA332:BA363" si="186">SUM(BB332:BK332)</f>
        <v>0</v>
      </c>
      <c r="BB332" s="3264">
        <f t="shared" ref="BB332:BB363" si="187">IF($D332="是",I332-J332,0)</f>
        <v>0</v>
      </c>
      <c r="BC332" s="3264">
        <f t="shared" ref="BC332:BC363" si="188">IF($D332="是",K332-L332,0)</f>
        <v>0</v>
      </c>
      <c r="BD332" s="3264">
        <f t="shared" ref="BD332:BD363" si="189">IF($D332="是",M332-N332,0)</f>
        <v>0</v>
      </c>
      <c r="BE332" s="3264">
        <f t="shared" ref="BE332:BE363" si="190">IF($D332="是",O332-P332,0)</f>
        <v>0</v>
      </c>
      <c r="BF332" s="3264">
        <f t="shared" ref="BF332:BF363" si="191">IF($D332="是",Q332-R332,0)</f>
        <v>0</v>
      </c>
      <c r="BG332" s="3264">
        <f t="shared" ref="BG332:BG363" si="192">IF($D332="是",S332-T332,0)</f>
        <v>0</v>
      </c>
      <c r="BH332" s="3264">
        <f t="shared" ref="BH332:BH363" si="193">IF($D332="是",U332-V332,0)</f>
        <v>0</v>
      </c>
      <c r="BI332" s="3264">
        <f t="shared" ref="BI332:BI363" si="194">IF($D332="是",W332-X332,0)</f>
        <v>0</v>
      </c>
      <c r="BJ332" s="3264">
        <f t="shared" ref="BJ332:BJ363" si="195">IF($D332="是",Y332-Z332,0)</f>
        <v>0</v>
      </c>
      <c r="BK332" s="3264">
        <f t="shared" ref="BK332:BK363" si="196">IF($D332="是",AA332-AB332,0)</f>
        <v>0</v>
      </c>
      <c r="BL332" s="3264">
        <f t="shared" ref="BL332:BL363" si="197">SUM(BM332:BT332)</f>
        <v>0</v>
      </c>
      <c r="BM332" s="3264">
        <f t="shared" ref="BM332:BM363" si="198">IF($D332="是",AD332-AE332,0)</f>
        <v>0</v>
      </c>
      <c r="BN332" s="3264">
        <f t="shared" ref="BN332:BN363" si="199">IF($D332="是",AF332-AG332,0)</f>
        <v>0</v>
      </c>
      <c r="BO332" s="3264">
        <f t="shared" ref="BO332:BO363" si="200">IF($D332="是",AH332-AI332,0)</f>
        <v>0</v>
      </c>
      <c r="BP332" s="3264">
        <f t="shared" ref="BP332:BP363" si="201">IF($D332="是",AJ332-AK332,0)</f>
        <v>0</v>
      </c>
      <c r="BQ332" s="3264">
        <f t="shared" ref="BQ332:BQ363" si="202">IF($D332="是",AL332-AM332,0)</f>
        <v>0</v>
      </c>
      <c r="BR332" s="3264">
        <f t="shared" ref="BR332:BR363" si="203">IF($D332="是",AN332-AO332,0)</f>
        <v>0</v>
      </c>
      <c r="BS332" s="3264">
        <f t="shared" ref="BS332:BS363" si="204">IF($D332="是",AP332-AQ332,0)</f>
        <v>0</v>
      </c>
      <c r="BT332" s="3317">
        <f t="shared" ref="BT332:BT363" si="205">IF($D332="是",AR332-AS332,0)</f>
        <v>0</v>
      </c>
    </row>
    <row r="333" spans="1:72">
      <c r="A333" s="3262"/>
      <c r="B333" s="3263"/>
      <c r="C333" s="3263"/>
      <c r="D333" s="3268"/>
      <c r="E333" s="3264">
        <f t="shared" si="177"/>
        <v>0</v>
      </c>
      <c r="F333" s="3265"/>
      <c r="G333" s="3266">
        <f t="shared" si="181"/>
        <v>0</v>
      </c>
      <c r="H333" s="3267">
        <f t="shared" si="182"/>
        <v>0</v>
      </c>
      <c r="I333" s="3275"/>
      <c r="J333" s="3275"/>
      <c r="K333" s="3275"/>
      <c r="L333" s="3275"/>
      <c r="M333" s="3275"/>
      <c r="N333" s="3275"/>
      <c r="O333" s="3275"/>
      <c r="P333" s="3275"/>
      <c r="Q333" s="3275"/>
      <c r="R333" s="3275"/>
      <c r="S333" s="3275"/>
      <c r="T333" s="3275"/>
      <c r="U333" s="3275"/>
      <c r="V333" s="3275"/>
      <c r="W333" s="3275"/>
      <c r="X333" s="3275"/>
      <c r="Y333" s="3275"/>
      <c r="Z333" s="3275"/>
      <c r="AA333" s="3275"/>
      <c r="AB333" s="3275"/>
      <c r="AC333" s="3264">
        <f t="shared" si="183"/>
        <v>0</v>
      </c>
      <c r="AD333" s="3285"/>
      <c r="AE333" s="3285"/>
      <c r="AF333" s="3285"/>
      <c r="AG333" s="3285"/>
      <c r="AH333" s="3285"/>
      <c r="AI333" s="3285"/>
      <c r="AJ333" s="3285"/>
      <c r="AK333" s="3285"/>
      <c r="AL333" s="3285"/>
      <c r="AM333" s="3285"/>
      <c r="AN333" s="3285"/>
      <c r="AO333" s="3285"/>
      <c r="AP333" s="3285"/>
      <c r="AQ333" s="3285"/>
      <c r="AR333" s="3285"/>
      <c r="AS333" s="3285"/>
      <c r="AT333" s="3295"/>
      <c r="AU333" s="3296"/>
      <c r="AV333" s="830">
        <f t="shared" si="178"/>
        <v>0</v>
      </c>
      <c r="AW333" s="830">
        <f t="shared" si="179"/>
        <v>0</v>
      </c>
      <c r="AX333" s="830">
        <f t="shared" si="180"/>
        <v>0</v>
      </c>
      <c r="AY333" s="3310">
        <f t="shared" si="184"/>
        <v>0</v>
      </c>
      <c r="AZ333" s="3264">
        <f t="shared" si="185"/>
        <v>0</v>
      </c>
      <c r="BA333" s="3264">
        <f t="shared" si="186"/>
        <v>0</v>
      </c>
      <c r="BB333" s="3264">
        <f t="shared" si="187"/>
        <v>0</v>
      </c>
      <c r="BC333" s="3264">
        <f t="shared" si="188"/>
        <v>0</v>
      </c>
      <c r="BD333" s="3264">
        <f t="shared" si="189"/>
        <v>0</v>
      </c>
      <c r="BE333" s="3264">
        <f t="shared" si="190"/>
        <v>0</v>
      </c>
      <c r="BF333" s="3264">
        <f t="shared" si="191"/>
        <v>0</v>
      </c>
      <c r="BG333" s="3264">
        <f t="shared" si="192"/>
        <v>0</v>
      </c>
      <c r="BH333" s="3264">
        <f t="shared" si="193"/>
        <v>0</v>
      </c>
      <c r="BI333" s="3264">
        <f t="shared" si="194"/>
        <v>0</v>
      </c>
      <c r="BJ333" s="3264">
        <f t="shared" si="195"/>
        <v>0</v>
      </c>
      <c r="BK333" s="3264">
        <f t="shared" si="196"/>
        <v>0</v>
      </c>
      <c r="BL333" s="3264">
        <f t="shared" si="197"/>
        <v>0</v>
      </c>
      <c r="BM333" s="3264">
        <f t="shared" si="198"/>
        <v>0</v>
      </c>
      <c r="BN333" s="3264">
        <f t="shared" si="199"/>
        <v>0</v>
      </c>
      <c r="BO333" s="3264">
        <f t="shared" si="200"/>
        <v>0</v>
      </c>
      <c r="BP333" s="3264">
        <f t="shared" si="201"/>
        <v>0</v>
      </c>
      <c r="BQ333" s="3264">
        <f t="shared" si="202"/>
        <v>0</v>
      </c>
      <c r="BR333" s="3264">
        <f t="shared" si="203"/>
        <v>0</v>
      </c>
      <c r="BS333" s="3264">
        <f t="shared" si="204"/>
        <v>0</v>
      </c>
      <c r="BT333" s="3317">
        <f t="shared" si="205"/>
        <v>0</v>
      </c>
    </row>
    <row r="334" spans="1:72">
      <c r="A334" s="3262"/>
      <c r="B334" s="3263"/>
      <c r="C334" s="3263"/>
      <c r="D334" s="3268"/>
      <c r="E334" s="3264">
        <f t="shared" si="177"/>
        <v>0</v>
      </c>
      <c r="F334" s="3265"/>
      <c r="G334" s="3266">
        <f t="shared" si="181"/>
        <v>0</v>
      </c>
      <c r="H334" s="3267">
        <f t="shared" si="182"/>
        <v>0</v>
      </c>
      <c r="I334" s="3275"/>
      <c r="J334" s="3275"/>
      <c r="K334" s="3275"/>
      <c r="L334" s="3275"/>
      <c r="M334" s="3275"/>
      <c r="N334" s="3275"/>
      <c r="O334" s="3275"/>
      <c r="P334" s="3275"/>
      <c r="Q334" s="3275"/>
      <c r="R334" s="3275"/>
      <c r="S334" s="3275"/>
      <c r="T334" s="3275"/>
      <c r="U334" s="3275"/>
      <c r="V334" s="3275"/>
      <c r="W334" s="3275"/>
      <c r="X334" s="3275"/>
      <c r="Y334" s="3275"/>
      <c r="Z334" s="3275"/>
      <c r="AA334" s="3275"/>
      <c r="AB334" s="3275"/>
      <c r="AC334" s="3264">
        <f t="shared" si="183"/>
        <v>0</v>
      </c>
      <c r="AD334" s="3285"/>
      <c r="AE334" s="3285"/>
      <c r="AF334" s="3285"/>
      <c r="AG334" s="3285"/>
      <c r="AH334" s="3285"/>
      <c r="AI334" s="3285"/>
      <c r="AJ334" s="3285"/>
      <c r="AK334" s="3285"/>
      <c r="AL334" s="3285"/>
      <c r="AM334" s="3285"/>
      <c r="AN334" s="3285"/>
      <c r="AO334" s="3285"/>
      <c r="AP334" s="3285"/>
      <c r="AQ334" s="3285"/>
      <c r="AR334" s="3285"/>
      <c r="AS334" s="3285"/>
      <c r="AT334" s="3295"/>
      <c r="AU334" s="3296"/>
      <c r="AV334" s="830">
        <f t="shared" si="178"/>
        <v>0</v>
      </c>
      <c r="AW334" s="830">
        <f t="shared" si="179"/>
        <v>0</v>
      </c>
      <c r="AX334" s="830">
        <f t="shared" si="180"/>
        <v>0</v>
      </c>
      <c r="AY334" s="3310">
        <f t="shared" si="184"/>
        <v>0</v>
      </c>
      <c r="AZ334" s="3264">
        <f t="shared" si="185"/>
        <v>0</v>
      </c>
      <c r="BA334" s="3264">
        <f t="shared" si="186"/>
        <v>0</v>
      </c>
      <c r="BB334" s="3264">
        <f t="shared" si="187"/>
        <v>0</v>
      </c>
      <c r="BC334" s="3264">
        <f t="shared" si="188"/>
        <v>0</v>
      </c>
      <c r="BD334" s="3264">
        <f t="shared" si="189"/>
        <v>0</v>
      </c>
      <c r="BE334" s="3264">
        <f t="shared" si="190"/>
        <v>0</v>
      </c>
      <c r="BF334" s="3264">
        <f t="shared" si="191"/>
        <v>0</v>
      </c>
      <c r="BG334" s="3264">
        <f t="shared" si="192"/>
        <v>0</v>
      </c>
      <c r="BH334" s="3264">
        <f t="shared" si="193"/>
        <v>0</v>
      </c>
      <c r="BI334" s="3264">
        <f t="shared" si="194"/>
        <v>0</v>
      </c>
      <c r="BJ334" s="3264">
        <f t="shared" si="195"/>
        <v>0</v>
      </c>
      <c r="BK334" s="3264">
        <f t="shared" si="196"/>
        <v>0</v>
      </c>
      <c r="BL334" s="3264">
        <f t="shared" si="197"/>
        <v>0</v>
      </c>
      <c r="BM334" s="3264">
        <f t="shared" si="198"/>
        <v>0</v>
      </c>
      <c r="BN334" s="3264">
        <f t="shared" si="199"/>
        <v>0</v>
      </c>
      <c r="BO334" s="3264">
        <f t="shared" si="200"/>
        <v>0</v>
      </c>
      <c r="BP334" s="3264">
        <f t="shared" si="201"/>
        <v>0</v>
      </c>
      <c r="BQ334" s="3264">
        <f t="shared" si="202"/>
        <v>0</v>
      </c>
      <c r="BR334" s="3264">
        <f t="shared" si="203"/>
        <v>0</v>
      </c>
      <c r="BS334" s="3264">
        <f t="shared" si="204"/>
        <v>0</v>
      </c>
      <c r="BT334" s="3317">
        <f t="shared" si="205"/>
        <v>0</v>
      </c>
    </row>
    <row r="335" spans="1:72">
      <c r="A335" s="3262"/>
      <c r="B335" s="3263"/>
      <c r="C335" s="3263"/>
      <c r="D335" s="3268"/>
      <c r="E335" s="3264">
        <f t="shared" ref="E335:E366" si="206">IF($C$3="是",ROUND($A$3*G335/$B$3,2),ROUND($A$3*(G335-AT335)/$B$3,2))</f>
        <v>0</v>
      </c>
      <c r="F335" s="3265"/>
      <c r="G335" s="3266">
        <f t="shared" si="181"/>
        <v>0</v>
      </c>
      <c r="H335" s="3267">
        <f t="shared" si="182"/>
        <v>0</v>
      </c>
      <c r="I335" s="3275"/>
      <c r="J335" s="3275"/>
      <c r="K335" s="3275"/>
      <c r="L335" s="3275"/>
      <c r="M335" s="3275"/>
      <c r="N335" s="3275"/>
      <c r="O335" s="3275"/>
      <c r="P335" s="3275"/>
      <c r="Q335" s="3275"/>
      <c r="R335" s="3275"/>
      <c r="S335" s="3275"/>
      <c r="T335" s="3275"/>
      <c r="U335" s="3275"/>
      <c r="V335" s="3275"/>
      <c r="W335" s="3275"/>
      <c r="X335" s="3275"/>
      <c r="Y335" s="3275"/>
      <c r="Z335" s="3275"/>
      <c r="AA335" s="3275"/>
      <c r="AB335" s="3275"/>
      <c r="AC335" s="3264">
        <f t="shared" si="183"/>
        <v>0</v>
      </c>
      <c r="AD335" s="3285"/>
      <c r="AE335" s="3285"/>
      <c r="AF335" s="3285"/>
      <c r="AG335" s="3285"/>
      <c r="AH335" s="3285"/>
      <c r="AI335" s="3285"/>
      <c r="AJ335" s="3285"/>
      <c r="AK335" s="3285"/>
      <c r="AL335" s="3285"/>
      <c r="AM335" s="3285"/>
      <c r="AN335" s="3285"/>
      <c r="AO335" s="3285"/>
      <c r="AP335" s="3285"/>
      <c r="AQ335" s="3285"/>
      <c r="AR335" s="3285"/>
      <c r="AS335" s="3285"/>
      <c r="AT335" s="3295"/>
      <c r="AU335" s="3296"/>
      <c r="AV335" s="830">
        <f t="shared" ref="AV335:AV366" si="207">A335</f>
        <v>0</v>
      </c>
      <c r="AW335" s="830">
        <f t="shared" ref="AW335:AW366" si="208">B335</f>
        <v>0</v>
      </c>
      <c r="AX335" s="830">
        <f t="shared" ref="AX335:AX366" si="209">C335</f>
        <v>0</v>
      </c>
      <c r="AY335" s="3310">
        <f t="shared" si="184"/>
        <v>0</v>
      </c>
      <c r="AZ335" s="3264">
        <f t="shared" si="185"/>
        <v>0</v>
      </c>
      <c r="BA335" s="3264">
        <f t="shared" si="186"/>
        <v>0</v>
      </c>
      <c r="BB335" s="3264">
        <f t="shared" si="187"/>
        <v>0</v>
      </c>
      <c r="BC335" s="3264">
        <f t="shared" si="188"/>
        <v>0</v>
      </c>
      <c r="BD335" s="3264">
        <f t="shared" si="189"/>
        <v>0</v>
      </c>
      <c r="BE335" s="3264">
        <f t="shared" si="190"/>
        <v>0</v>
      </c>
      <c r="BF335" s="3264">
        <f t="shared" si="191"/>
        <v>0</v>
      </c>
      <c r="BG335" s="3264">
        <f t="shared" si="192"/>
        <v>0</v>
      </c>
      <c r="BH335" s="3264">
        <f t="shared" si="193"/>
        <v>0</v>
      </c>
      <c r="BI335" s="3264">
        <f t="shared" si="194"/>
        <v>0</v>
      </c>
      <c r="BJ335" s="3264">
        <f t="shared" si="195"/>
        <v>0</v>
      </c>
      <c r="BK335" s="3264">
        <f t="shared" si="196"/>
        <v>0</v>
      </c>
      <c r="BL335" s="3264">
        <f t="shared" si="197"/>
        <v>0</v>
      </c>
      <c r="BM335" s="3264">
        <f t="shared" si="198"/>
        <v>0</v>
      </c>
      <c r="BN335" s="3264">
        <f t="shared" si="199"/>
        <v>0</v>
      </c>
      <c r="BO335" s="3264">
        <f t="shared" si="200"/>
        <v>0</v>
      </c>
      <c r="BP335" s="3264">
        <f t="shared" si="201"/>
        <v>0</v>
      </c>
      <c r="BQ335" s="3264">
        <f t="shared" si="202"/>
        <v>0</v>
      </c>
      <c r="BR335" s="3264">
        <f t="shared" si="203"/>
        <v>0</v>
      </c>
      <c r="BS335" s="3264">
        <f t="shared" si="204"/>
        <v>0</v>
      </c>
      <c r="BT335" s="3317">
        <f t="shared" si="205"/>
        <v>0</v>
      </c>
    </row>
    <row r="336" spans="1:72">
      <c r="A336" s="3262"/>
      <c r="B336" s="3263"/>
      <c r="C336" s="3263"/>
      <c r="D336" s="3268"/>
      <c r="E336" s="3264">
        <f t="shared" si="206"/>
        <v>0</v>
      </c>
      <c r="F336" s="3265"/>
      <c r="G336" s="3266">
        <f t="shared" si="181"/>
        <v>0</v>
      </c>
      <c r="H336" s="3267">
        <f t="shared" si="182"/>
        <v>0</v>
      </c>
      <c r="I336" s="3275"/>
      <c r="J336" s="3275"/>
      <c r="K336" s="3275"/>
      <c r="L336" s="3275"/>
      <c r="M336" s="3275"/>
      <c r="N336" s="3275"/>
      <c r="O336" s="3275"/>
      <c r="P336" s="3275"/>
      <c r="Q336" s="3275"/>
      <c r="R336" s="3275"/>
      <c r="S336" s="3275"/>
      <c r="T336" s="3275"/>
      <c r="U336" s="3275"/>
      <c r="V336" s="3275"/>
      <c r="W336" s="3275"/>
      <c r="X336" s="3275"/>
      <c r="Y336" s="3275"/>
      <c r="Z336" s="3275"/>
      <c r="AA336" s="3275"/>
      <c r="AB336" s="3275"/>
      <c r="AC336" s="3264">
        <f t="shared" si="183"/>
        <v>0</v>
      </c>
      <c r="AD336" s="3285"/>
      <c r="AE336" s="3285"/>
      <c r="AF336" s="3285"/>
      <c r="AG336" s="3285"/>
      <c r="AH336" s="3285"/>
      <c r="AI336" s="3285"/>
      <c r="AJ336" s="3285"/>
      <c r="AK336" s="3285"/>
      <c r="AL336" s="3285"/>
      <c r="AM336" s="3285"/>
      <c r="AN336" s="3285"/>
      <c r="AO336" s="3285"/>
      <c r="AP336" s="3285"/>
      <c r="AQ336" s="3285"/>
      <c r="AR336" s="3285"/>
      <c r="AS336" s="3285"/>
      <c r="AT336" s="3295"/>
      <c r="AU336" s="3296"/>
      <c r="AV336" s="830">
        <f t="shared" si="207"/>
        <v>0</v>
      </c>
      <c r="AW336" s="830">
        <f t="shared" si="208"/>
        <v>0</v>
      </c>
      <c r="AX336" s="830">
        <f t="shared" si="209"/>
        <v>0</v>
      </c>
      <c r="AY336" s="3310">
        <f t="shared" si="184"/>
        <v>0</v>
      </c>
      <c r="AZ336" s="3264">
        <f t="shared" si="185"/>
        <v>0</v>
      </c>
      <c r="BA336" s="3264">
        <f t="shared" si="186"/>
        <v>0</v>
      </c>
      <c r="BB336" s="3264">
        <f t="shared" si="187"/>
        <v>0</v>
      </c>
      <c r="BC336" s="3264">
        <f t="shared" si="188"/>
        <v>0</v>
      </c>
      <c r="BD336" s="3264">
        <f t="shared" si="189"/>
        <v>0</v>
      </c>
      <c r="BE336" s="3264">
        <f t="shared" si="190"/>
        <v>0</v>
      </c>
      <c r="BF336" s="3264">
        <f t="shared" si="191"/>
        <v>0</v>
      </c>
      <c r="BG336" s="3264">
        <f t="shared" si="192"/>
        <v>0</v>
      </c>
      <c r="BH336" s="3264">
        <f t="shared" si="193"/>
        <v>0</v>
      </c>
      <c r="BI336" s="3264">
        <f t="shared" si="194"/>
        <v>0</v>
      </c>
      <c r="BJ336" s="3264">
        <f t="shared" si="195"/>
        <v>0</v>
      </c>
      <c r="BK336" s="3264">
        <f t="shared" si="196"/>
        <v>0</v>
      </c>
      <c r="BL336" s="3264">
        <f t="shared" si="197"/>
        <v>0</v>
      </c>
      <c r="BM336" s="3264">
        <f t="shared" si="198"/>
        <v>0</v>
      </c>
      <c r="BN336" s="3264">
        <f t="shared" si="199"/>
        <v>0</v>
      </c>
      <c r="BO336" s="3264">
        <f t="shared" si="200"/>
        <v>0</v>
      </c>
      <c r="BP336" s="3264">
        <f t="shared" si="201"/>
        <v>0</v>
      </c>
      <c r="BQ336" s="3264">
        <f t="shared" si="202"/>
        <v>0</v>
      </c>
      <c r="BR336" s="3264">
        <f t="shared" si="203"/>
        <v>0</v>
      </c>
      <c r="BS336" s="3264">
        <f t="shared" si="204"/>
        <v>0</v>
      </c>
      <c r="BT336" s="3317">
        <f t="shared" si="205"/>
        <v>0</v>
      </c>
    </row>
    <row r="337" spans="1:72">
      <c r="A337" s="3262"/>
      <c r="B337" s="3263"/>
      <c r="C337" s="3263"/>
      <c r="D337" s="3268"/>
      <c r="E337" s="3264">
        <f t="shared" si="206"/>
        <v>0</v>
      </c>
      <c r="F337" s="3265"/>
      <c r="G337" s="3266">
        <f t="shared" si="181"/>
        <v>0</v>
      </c>
      <c r="H337" s="3267">
        <f t="shared" si="182"/>
        <v>0</v>
      </c>
      <c r="I337" s="3275"/>
      <c r="J337" s="3275"/>
      <c r="K337" s="3275"/>
      <c r="L337" s="3275"/>
      <c r="M337" s="3275"/>
      <c r="N337" s="3275"/>
      <c r="O337" s="3275"/>
      <c r="P337" s="3275"/>
      <c r="Q337" s="3275"/>
      <c r="R337" s="3275"/>
      <c r="S337" s="3275"/>
      <c r="T337" s="3275"/>
      <c r="U337" s="3275"/>
      <c r="V337" s="3275"/>
      <c r="W337" s="3275"/>
      <c r="X337" s="3275"/>
      <c r="Y337" s="3275"/>
      <c r="Z337" s="3275"/>
      <c r="AA337" s="3275"/>
      <c r="AB337" s="3275"/>
      <c r="AC337" s="3264">
        <f t="shared" si="183"/>
        <v>0</v>
      </c>
      <c r="AD337" s="3285"/>
      <c r="AE337" s="3285"/>
      <c r="AF337" s="3285"/>
      <c r="AG337" s="3285"/>
      <c r="AH337" s="3285"/>
      <c r="AI337" s="3285"/>
      <c r="AJ337" s="3285"/>
      <c r="AK337" s="3285"/>
      <c r="AL337" s="3285"/>
      <c r="AM337" s="3285"/>
      <c r="AN337" s="3285"/>
      <c r="AO337" s="3285"/>
      <c r="AP337" s="3285"/>
      <c r="AQ337" s="3285"/>
      <c r="AR337" s="3285"/>
      <c r="AS337" s="3285"/>
      <c r="AT337" s="3295"/>
      <c r="AU337" s="3296"/>
      <c r="AV337" s="830">
        <f t="shared" si="207"/>
        <v>0</v>
      </c>
      <c r="AW337" s="830">
        <f t="shared" si="208"/>
        <v>0</v>
      </c>
      <c r="AX337" s="830">
        <f t="shared" si="209"/>
        <v>0</v>
      </c>
      <c r="AY337" s="3310">
        <f t="shared" si="184"/>
        <v>0</v>
      </c>
      <c r="AZ337" s="3264">
        <f t="shared" si="185"/>
        <v>0</v>
      </c>
      <c r="BA337" s="3264">
        <f t="shared" si="186"/>
        <v>0</v>
      </c>
      <c r="BB337" s="3264">
        <f t="shared" si="187"/>
        <v>0</v>
      </c>
      <c r="BC337" s="3264">
        <f t="shared" si="188"/>
        <v>0</v>
      </c>
      <c r="BD337" s="3264">
        <f t="shared" si="189"/>
        <v>0</v>
      </c>
      <c r="BE337" s="3264">
        <f t="shared" si="190"/>
        <v>0</v>
      </c>
      <c r="BF337" s="3264">
        <f t="shared" si="191"/>
        <v>0</v>
      </c>
      <c r="BG337" s="3264">
        <f t="shared" si="192"/>
        <v>0</v>
      </c>
      <c r="BH337" s="3264">
        <f t="shared" si="193"/>
        <v>0</v>
      </c>
      <c r="BI337" s="3264">
        <f t="shared" si="194"/>
        <v>0</v>
      </c>
      <c r="BJ337" s="3264">
        <f t="shared" si="195"/>
        <v>0</v>
      </c>
      <c r="BK337" s="3264">
        <f t="shared" si="196"/>
        <v>0</v>
      </c>
      <c r="BL337" s="3264">
        <f t="shared" si="197"/>
        <v>0</v>
      </c>
      <c r="BM337" s="3264">
        <f t="shared" si="198"/>
        <v>0</v>
      </c>
      <c r="BN337" s="3264">
        <f t="shared" si="199"/>
        <v>0</v>
      </c>
      <c r="BO337" s="3264">
        <f t="shared" si="200"/>
        <v>0</v>
      </c>
      <c r="BP337" s="3264">
        <f t="shared" si="201"/>
        <v>0</v>
      </c>
      <c r="BQ337" s="3264">
        <f t="shared" si="202"/>
        <v>0</v>
      </c>
      <c r="BR337" s="3264">
        <f t="shared" si="203"/>
        <v>0</v>
      </c>
      <c r="BS337" s="3264">
        <f t="shared" si="204"/>
        <v>0</v>
      </c>
      <c r="BT337" s="3317">
        <f t="shared" si="205"/>
        <v>0</v>
      </c>
    </row>
    <row r="338" spans="1:72">
      <c r="A338" s="3262"/>
      <c r="B338" s="3263"/>
      <c r="C338" s="3263"/>
      <c r="D338" s="3268"/>
      <c r="E338" s="3264">
        <f t="shared" si="206"/>
        <v>0</v>
      </c>
      <c r="F338" s="3265"/>
      <c r="G338" s="3266">
        <f t="shared" si="181"/>
        <v>0</v>
      </c>
      <c r="H338" s="3267">
        <f t="shared" si="182"/>
        <v>0</v>
      </c>
      <c r="I338" s="3275"/>
      <c r="J338" s="3275"/>
      <c r="K338" s="3275"/>
      <c r="L338" s="3275"/>
      <c r="M338" s="3275"/>
      <c r="N338" s="3275"/>
      <c r="O338" s="3275"/>
      <c r="P338" s="3275"/>
      <c r="Q338" s="3275"/>
      <c r="R338" s="3275"/>
      <c r="S338" s="3275"/>
      <c r="T338" s="3275"/>
      <c r="U338" s="3275"/>
      <c r="V338" s="3275"/>
      <c r="W338" s="3275"/>
      <c r="X338" s="3275"/>
      <c r="Y338" s="3275"/>
      <c r="Z338" s="3275"/>
      <c r="AA338" s="3275"/>
      <c r="AB338" s="3275"/>
      <c r="AC338" s="3264">
        <f t="shared" si="183"/>
        <v>0</v>
      </c>
      <c r="AD338" s="3285"/>
      <c r="AE338" s="3285"/>
      <c r="AF338" s="3285"/>
      <c r="AG338" s="3285"/>
      <c r="AH338" s="3285"/>
      <c r="AI338" s="3285"/>
      <c r="AJ338" s="3285"/>
      <c r="AK338" s="3285"/>
      <c r="AL338" s="3285"/>
      <c r="AM338" s="3285"/>
      <c r="AN338" s="3285"/>
      <c r="AO338" s="3285"/>
      <c r="AP338" s="3285"/>
      <c r="AQ338" s="3285"/>
      <c r="AR338" s="3285"/>
      <c r="AS338" s="3285"/>
      <c r="AT338" s="3295"/>
      <c r="AU338" s="3296"/>
      <c r="AV338" s="830">
        <f t="shared" si="207"/>
        <v>0</v>
      </c>
      <c r="AW338" s="830">
        <f t="shared" si="208"/>
        <v>0</v>
      </c>
      <c r="AX338" s="830">
        <f t="shared" si="209"/>
        <v>0</v>
      </c>
      <c r="AY338" s="3310">
        <f t="shared" si="184"/>
        <v>0</v>
      </c>
      <c r="AZ338" s="3264">
        <f t="shared" si="185"/>
        <v>0</v>
      </c>
      <c r="BA338" s="3264">
        <f t="shared" si="186"/>
        <v>0</v>
      </c>
      <c r="BB338" s="3264">
        <f t="shared" si="187"/>
        <v>0</v>
      </c>
      <c r="BC338" s="3264">
        <f t="shared" si="188"/>
        <v>0</v>
      </c>
      <c r="BD338" s="3264">
        <f t="shared" si="189"/>
        <v>0</v>
      </c>
      <c r="BE338" s="3264">
        <f t="shared" si="190"/>
        <v>0</v>
      </c>
      <c r="BF338" s="3264">
        <f t="shared" si="191"/>
        <v>0</v>
      </c>
      <c r="BG338" s="3264">
        <f t="shared" si="192"/>
        <v>0</v>
      </c>
      <c r="BH338" s="3264">
        <f t="shared" si="193"/>
        <v>0</v>
      </c>
      <c r="BI338" s="3264">
        <f t="shared" si="194"/>
        <v>0</v>
      </c>
      <c r="BJ338" s="3264">
        <f t="shared" si="195"/>
        <v>0</v>
      </c>
      <c r="BK338" s="3264">
        <f t="shared" si="196"/>
        <v>0</v>
      </c>
      <c r="BL338" s="3264">
        <f t="shared" si="197"/>
        <v>0</v>
      </c>
      <c r="BM338" s="3264">
        <f t="shared" si="198"/>
        <v>0</v>
      </c>
      <c r="BN338" s="3264">
        <f t="shared" si="199"/>
        <v>0</v>
      </c>
      <c r="BO338" s="3264">
        <f t="shared" si="200"/>
        <v>0</v>
      </c>
      <c r="BP338" s="3264">
        <f t="shared" si="201"/>
        <v>0</v>
      </c>
      <c r="BQ338" s="3264">
        <f t="shared" si="202"/>
        <v>0</v>
      </c>
      <c r="BR338" s="3264">
        <f t="shared" si="203"/>
        <v>0</v>
      </c>
      <c r="BS338" s="3264">
        <f t="shared" si="204"/>
        <v>0</v>
      </c>
      <c r="BT338" s="3317">
        <f t="shared" si="205"/>
        <v>0</v>
      </c>
    </row>
    <row r="339" spans="1:72">
      <c r="A339" s="3262"/>
      <c r="B339" s="3263"/>
      <c r="C339" s="3263"/>
      <c r="D339" s="3268"/>
      <c r="E339" s="3264">
        <f t="shared" si="206"/>
        <v>0</v>
      </c>
      <c r="F339" s="3265"/>
      <c r="G339" s="3266">
        <f t="shared" si="181"/>
        <v>0</v>
      </c>
      <c r="H339" s="3267">
        <f t="shared" si="182"/>
        <v>0</v>
      </c>
      <c r="I339" s="3275"/>
      <c r="J339" s="3275"/>
      <c r="K339" s="3275"/>
      <c r="L339" s="3275"/>
      <c r="M339" s="3275"/>
      <c r="N339" s="3275"/>
      <c r="O339" s="3275"/>
      <c r="P339" s="3275"/>
      <c r="Q339" s="3275"/>
      <c r="R339" s="3275"/>
      <c r="S339" s="3275"/>
      <c r="T339" s="3275"/>
      <c r="U339" s="3275"/>
      <c r="V339" s="3275"/>
      <c r="W339" s="3275"/>
      <c r="X339" s="3275"/>
      <c r="Y339" s="3275"/>
      <c r="Z339" s="3275"/>
      <c r="AA339" s="3275"/>
      <c r="AB339" s="3275"/>
      <c r="AC339" s="3264">
        <f t="shared" si="183"/>
        <v>0</v>
      </c>
      <c r="AD339" s="3285"/>
      <c r="AE339" s="3285"/>
      <c r="AF339" s="3285"/>
      <c r="AG339" s="3285"/>
      <c r="AH339" s="3285"/>
      <c r="AI339" s="3285"/>
      <c r="AJ339" s="3285"/>
      <c r="AK339" s="3285"/>
      <c r="AL339" s="3285"/>
      <c r="AM339" s="3285"/>
      <c r="AN339" s="3285"/>
      <c r="AO339" s="3285"/>
      <c r="AP339" s="3285"/>
      <c r="AQ339" s="3285"/>
      <c r="AR339" s="3285"/>
      <c r="AS339" s="3285"/>
      <c r="AT339" s="3295"/>
      <c r="AU339" s="3296"/>
      <c r="AV339" s="830">
        <f t="shared" si="207"/>
        <v>0</v>
      </c>
      <c r="AW339" s="830">
        <f t="shared" si="208"/>
        <v>0</v>
      </c>
      <c r="AX339" s="830">
        <f t="shared" si="209"/>
        <v>0</v>
      </c>
      <c r="AY339" s="3310">
        <f t="shared" si="184"/>
        <v>0</v>
      </c>
      <c r="AZ339" s="3264">
        <f t="shared" si="185"/>
        <v>0</v>
      </c>
      <c r="BA339" s="3264">
        <f t="shared" si="186"/>
        <v>0</v>
      </c>
      <c r="BB339" s="3264">
        <f t="shared" si="187"/>
        <v>0</v>
      </c>
      <c r="BC339" s="3264">
        <f t="shared" si="188"/>
        <v>0</v>
      </c>
      <c r="BD339" s="3264">
        <f t="shared" si="189"/>
        <v>0</v>
      </c>
      <c r="BE339" s="3264">
        <f t="shared" si="190"/>
        <v>0</v>
      </c>
      <c r="BF339" s="3264">
        <f t="shared" si="191"/>
        <v>0</v>
      </c>
      <c r="BG339" s="3264">
        <f t="shared" si="192"/>
        <v>0</v>
      </c>
      <c r="BH339" s="3264">
        <f t="shared" si="193"/>
        <v>0</v>
      </c>
      <c r="BI339" s="3264">
        <f t="shared" si="194"/>
        <v>0</v>
      </c>
      <c r="BJ339" s="3264">
        <f t="shared" si="195"/>
        <v>0</v>
      </c>
      <c r="BK339" s="3264">
        <f t="shared" si="196"/>
        <v>0</v>
      </c>
      <c r="BL339" s="3264">
        <f t="shared" si="197"/>
        <v>0</v>
      </c>
      <c r="BM339" s="3264">
        <f t="shared" si="198"/>
        <v>0</v>
      </c>
      <c r="BN339" s="3264">
        <f t="shared" si="199"/>
        <v>0</v>
      </c>
      <c r="BO339" s="3264">
        <f t="shared" si="200"/>
        <v>0</v>
      </c>
      <c r="BP339" s="3264">
        <f t="shared" si="201"/>
        <v>0</v>
      </c>
      <c r="BQ339" s="3264">
        <f t="shared" si="202"/>
        <v>0</v>
      </c>
      <c r="BR339" s="3264">
        <f t="shared" si="203"/>
        <v>0</v>
      </c>
      <c r="BS339" s="3264">
        <f t="shared" si="204"/>
        <v>0</v>
      </c>
      <c r="BT339" s="3317">
        <f t="shared" si="205"/>
        <v>0</v>
      </c>
    </row>
    <row r="340" spans="1:72">
      <c r="A340" s="3262"/>
      <c r="B340" s="3263"/>
      <c r="C340" s="3263"/>
      <c r="D340" s="3268"/>
      <c r="E340" s="3264">
        <f t="shared" si="206"/>
        <v>0</v>
      </c>
      <c r="F340" s="3265"/>
      <c r="G340" s="3266">
        <f t="shared" si="181"/>
        <v>0</v>
      </c>
      <c r="H340" s="3267">
        <f t="shared" si="182"/>
        <v>0</v>
      </c>
      <c r="I340" s="3275"/>
      <c r="J340" s="3275"/>
      <c r="K340" s="3275"/>
      <c r="L340" s="3275"/>
      <c r="M340" s="3275"/>
      <c r="N340" s="3275"/>
      <c r="O340" s="3275"/>
      <c r="P340" s="3275"/>
      <c r="Q340" s="3275"/>
      <c r="R340" s="3275"/>
      <c r="S340" s="3275"/>
      <c r="T340" s="3275"/>
      <c r="U340" s="3275"/>
      <c r="V340" s="3275"/>
      <c r="W340" s="3275"/>
      <c r="X340" s="3275"/>
      <c r="Y340" s="3275"/>
      <c r="Z340" s="3275"/>
      <c r="AA340" s="3275"/>
      <c r="AB340" s="3275"/>
      <c r="AC340" s="3264">
        <f t="shared" si="183"/>
        <v>0</v>
      </c>
      <c r="AD340" s="3285"/>
      <c r="AE340" s="3285"/>
      <c r="AF340" s="3285"/>
      <c r="AG340" s="3285"/>
      <c r="AH340" s="3285"/>
      <c r="AI340" s="3285"/>
      <c r="AJ340" s="3285"/>
      <c r="AK340" s="3285"/>
      <c r="AL340" s="3285"/>
      <c r="AM340" s="3285"/>
      <c r="AN340" s="3285"/>
      <c r="AO340" s="3285"/>
      <c r="AP340" s="3285"/>
      <c r="AQ340" s="3285"/>
      <c r="AR340" s="3285"/>
      <c r="AS340" s="3285"/>
      <c r="AT340" s="3295"/>
      <c r="AU340" s="3296"/>
      <c r="AV340" s="830">
        <f t="shared" si="207"/>
        <v>0</v>
      </c>
      <c r="AW340" s="830">
        <f t="shared" si="208"/>
        <v>0</v>
      </c>
      <c r="AX340" s="830">
        <f t="shared" si="209"/>
        <v>0</v>
      </c>
      <c r="AY340" s="3310">
        <f t="shared" si="184"/>
        <v>0</v>
      </c>
      <c r="AZ340" s="3264">
        <f t="shared" si="185"/>
        <v>0</v>
      </c>
      <c r="BA340" s="3264">
        <f t="shared" si="186"/>
        <v>0</v>
      </c>
      <c r="BB340" s="3264">
        <f t="shared" si="187"/>
        <v>0</v>
      </c>
      <c r="BC340" s="3264">
        <f t="shared" si="188"/>
        <v>0</v>
      </c>
      <c r="BD340" s="3264">
        <f t="shared" si="189"/>
        <v>0</v>
      </c>
      <c r="BE340" s="3264">
        <f t="shared" si="190"/>
        <v>0</v>
      </c>
      <c r="BF340" s="3264">
        <f t="shared" si="191"/>
        <v>0</v>
      </c>
      <c r="BG340" s="3264">
        <f t="shared" si="192"/>
        <v>0</v>
      </c>
      <c r="BH340" s="3264">
        <f t="shared" si="193"/>
        <v>0</v>
      </c>
      <c r="BI340" s="3264">
        <f t="shared" si="194"/>
        <v>0</v>
      </c>
      <c r="BJ340" s="3264">
        <f t="shared" si="195"/>
        <v>0</v>
      </c>
      <c r="BK340" s="3264">
        <f t="shared" si="196"/>
        <v>0</v>
      </c>
      <c r="BL340" s="3264">
        <f t="shared" si="197"/>
        <v>0</v>
      </c>
      <c r="BM340" s="3264">
        <f t="shared" si="198"/>
        <v>0</v>
      </c>
      <c r="BN340" s="3264">
        <f t="shared" si="199"/>
        <v>0</v>
      </c>
      <c r="BO340" s="3264">
        <f t="shared" si="200"/>
        <v>0</v>
      </c>
      <c r="BP340" s="3264">
        <f t="shared" si="201"/>
        <v>0</v>
      </c>
      <c r="BQ340" s="3264">
        <f t="shared" si="202"/>
        <v>0</v>
      </c>
      <c r="BR340" s="3264">
        <f t="shared" si="203"/>
        <v>0</v>
      </c>
      <c r="BS340" s="3264">
        <f t="shared" si="204"/>
        <v>0</v>
      </c>
      <c r="BT340" s="3317">
        <f t="shared" si="205"/>
        <v>0</v>
      </c>
    </row>
    <row r="341" spans="1:72">
      <c r="A341" s="3262"/>
      <c r="B341" s="3263"/>
      <c r="C341" s="3263"/>
      <c r="D341" s="3268"/>
      <c r="E341" s="3264">
        <f t="shared" si="206"/>
        <v>0</v>
      </c>
      <c r="F341" s="3265"/>
      <c r="G341" s="3266">
        <f t="shared" si="181"/>
        <v>0</v>
      </c>
      <c r="H341" s="3267">
        <f t="shared" si="182"/>
        <v>0</v>
      </c>
      <c r="I341" s="3275"/>
      <c r="J341" s="3275"/>
      <c r="K341" s="3275"/>
      <c r="L341" s="3275"/>
      <c r="M341" s="3275"/>
      <c r="N341" s="3275"/>
      <c r="O341" s="3275"/>
      <c r="P341" s="3275"/>
      <c r="Q341" s="3275"/>
      <c r="R341" s="3275"/>
      <c r="S341" s="3275"/>
      <c r="T341" s="3275"/>
      <c r="U341" s="3275"/>
      <c r="V341" s="3275"/>
      <c r="W341" s="3275"/>
      <c r="X341" s="3275"/>
      <c r="Y341" s="3275"/>
      <c r="Z341" s="3275"/>
      <c r="AA341" s="3275"/>
      <c r="AB341" s="3275"/>
      <c r="AC341" s="3264">
        <f t="shared" si="183"/>
        <v>0</v>
      </c>
      <c r="AD341" s="3285"/>
      <c r="AE341" s="3285"/>
      <c r="AF341" s="3285"/>
      <c r="AG341" s="3285"/>
      <c r="AH341" s="3285"/>
      <c r="AI341" s="3285"/>
      <c r="AJ341" s="3285"/>
      <c r="AK341" s="3285"/>
      <c r="AL341" s="3285"/>
      <c r="AM341" s="3285"/>
      <c r="AN341" s="3285"/>
      <c r="AO341" s="3285"/>
      <c r="AP341" s="3285"/>
      <c r="AQ341" s="3285"/>
      <c r="AR341" s="3285"/>
      <c r="AS341" s="3285"/>
      <c r="AT341" s="3295"/>
      <c r="AU341" s="3296"/>
      <c r="AV341" s="830">
        <f t="shared" si="207"/>
        <v>0</v>
      </c>
      <c r="AW341" s="830">
        <f t="shared" si="208"/>
        <v>0</v>
      </c>
      <c r="AX341" s="830">
        <f t="shared" si="209"/>
        <v>0</v>
      </c>
      <c r="AY341" s="3310">
        <f t="shared" si="184"/>
        <v>0</v>
      </c>
      <c r="AZ341" s="3264">
        <f t="shared" si="185"/>
        <v>0</v>
      </c>
      <c r="BA341" s="3264">
        <f t="shared" si="186"/>
        <v>0</v>
      </c>
      <c r="BB341" s="3264">
        <f t="shared" si="187"/>
        <v>0</v>
      </c>
      <c r="BC341" s="3264">
        <f t="shared" si="188"/>
        <v>0</v>
      </c>
      <c r="BD341" s="3264">
        <f t="shared" si="189"/>
        <v>0</v>
      </c>
      <c r="BE341" s="3264">
        <f t="shared" si="190"/>
        <v>0</v>
      </c>
      <c r="BF341" s="3264">
        <f t="shared" si="191"/>
        <v>0</v>
      </c>
      <c r="BG341" s="3264">
        <f t="shared" si="192"/>
        <v>0</v>
      </c>
      <c r="BH341" s="3264">
        <f t="shared" si="193"/>
        <v>0</v>
      </c>
      <c r="BI341" s="3264">
        <f t="shared" si="194"/>
        <v>0</v>
      </c>
      <c r="BJ341" s="3264">
        <f t="shared" si="195"/>
        <v>0</v>
      </c>
      <c r="BK341" s="3264">
        <f t="shared" si="196"/>
        <v>0</v>
      </c>
      <c r="BL341" s="3264">
        <f t="shared" si="197"/>
        <v>0</v>
      </c>
      <c r="BM341" s="3264">
        <f t="shared" si="198"/>
        <v>0</v>
      </c>
      <c r="BN341" s="3264">
        <f t="shared" si="199"/>
        <v>0</v>
      </c>
      <c r="BO341" s="3264">
        <f t="shared" si="200"/>
        <v>0</v>
      </c>
      <c r="BP341" s="3264">
        <f t="shared" si="201"/>
        <v>0</v>
      </c>
      <c r="BQ341" s="3264">
        <f t="shared" si="202"/>
        <v>0</v>
      </c>
      <c r="BR341" s="3264">
        <f t="shared" si="203"/>
        <v>0</v>
      </c>
      <c r="BS341" s="3264">
        <f t="shared" si="204"/>
        <v>0</v>
      </c>
      <c r="BT341" s="3317">
        <f t="shared" si="205"/>
        <v>0</v>
      </c>
    </row>
    <row r="342" spans="1:72">
      <c r="A342" s="3262"/>
      <c r="B342" s="3263"/>
      <c r="C342" s="3263"/>
      <c r="D342" s="3268"/>
      <c r="E342" s="3264">
        <f t="shared" si="206"/>
        <v>0</v>
      </c>
      <c r="F342" s="3265"/>
      <c r="G342" s="3266">
        <f t="shared" si="181"/>
        <v>0</v>
      </c>
      <c r="H342" s="3267">
        <f t="shared" si="182"/>
        <v>0</v>
      </c>
      <c r="I342" s="3275"/>
      <c r="J342" s="3275"/>
      <c r="K342" s="3275"/>
      <c r="L342" s="3275"/>
      <c r="M342" s="3275"/>
      <c r="N342" s="3275"/>
      <c r="O342" s="3275"/>
      <c r="P342" s="3275"/>
      <c r="Q342" s="3275"/>
      <c r="R342" s="3275"/>
      <c r="S342" s="3275"/>
      <c r="T342" s="3275"/>
      <c r="U342" s="3275"/>
      <c r="V342" s="3275"/>
      <c r="W342" s="3275"/>
      <c r="X342" s="3275"/>
      <c r="Y342" s="3275"/>
      <c r="Z342" s="3275"/>
      <c r="AA342" s="3275"/>
      <c r="AB342" s="3275"/>
      <c r="AC342" s="3264">
        <f t="shared" si="183"/>
        <v>0</v>
      </c>
      <c r="AD342" s="3285"/>
      <c r="AE342" s="3285"/>
      <c r="AF342" s="3285"/>
      <c r="AG342" s="3285"/>
      <c r="AH342" s="3285"/>
      <c r="AI342" s="3285"/>
      <c r="AJ342" s="3285"/>
      <c r="AK342" s="3285"/>
      <c r="AL342" s="3285"/>
      <c r="AM342" s="3285"/>
      <c r="AN342" s="3285"/>
      <c r="AO342" s="3285"/>
      <c r="AP342" s="3285"/>
      <c r="AQ342" s="3285"/>
      <c r="AR342" s="3285"/>
      <c r="AS342" s="3285"/>
      <c r="AT342" s="3295"/>
      <c r="AU342" s="3296"/>
      <c r="AV342" s="830">
        <f t="shared" si="207"/>
        <v>0</v>
      </c>
      <c r="AW342" s="830">
        <f t="shared" si="208"/>
        <v>0</v>
      </c>
      <c r="AX342" s="830">
        <f t="shared" si="209"/>
        <v>0</v>
      </c>
      <c r="AY342" s="3310">
        <f t="shared" si="184"/>
        <v>0</v>
      </c>
      <c r="AZ342" s="3264">
        <f t="shared" si="185"/>
        <v>0</v>
      </c>
      <c r="BA342" s="3264">
        <f t="shared" si="186"/>
        <v>0</v>
      </c>
      <c r="BB342" s="3264">
        <f t="shared" si="187"/>
        <v>0</v>
      </c>
      <c r="BC342" s="3264">
        <f t="shared" si="188"/>
        <v>0</v>
      </c>
      <c r="BD342" s="3264">
        <f t="shared" si="189"/>
        <v>0</v>
      </c>
      <c r="BE342" s="3264">
        <f t="shared" si="190"/>
        <v>0</v>
      </c>
      <c r="BF342" s="3264">
        <f t="shared" si="191"/>
        <v>0</v>
      </c>
      <c r="BG342" s="3264">
        <f t="shared" si="192"/>
        <v>0</v>
      </c>
      <c r="BH342" s="3264">
        <f t="shared" si="193"/>
        <v>0</v>
      </c>
      <c r="BI342" s="3264">
        <f t="shared" si="194"/>
        <v>0</v>
      </c>
      <c r="BJ342" s="3264">
        <f t="shared" si="195"/>
        <v>0</v>
      </c>
      <c r="BK342" s="3264">
        <f t="shared" si="196"/>
        <v>0</v>
      </c>
      <c r="BL342" s="3264">
        <f t="shared" si="197"/>
        <v>0</v>
      </c>
      <c r="BM342" s="3264">
        <f t="shared" si="198"/>
        <v>0</v>
      </c>
      <c r="BN342" s="3264">
        <f t="shared" si="199"/>
        <v>0</v>
      </c>
      <c r="BO342" s="3264">
        <f t="shared" si="200"/>
        <v>0</v>
      </c>
      <c r="BP342" s="3264">
        <f t="shared" si="201"/>
        <v>0</v>
      </c>
      <c r="BQ342" s="3264">
        <f t="shared" si="202"/>
        <v>0</v>
      </c>
      <c r="BR342" s="3264">
        <f t="shared" si="203"/>
        <v>0</v>
      </c>
      <c r="BS342" s="3264">
        <f t="shared" si="204"/>
        <v>0</v>
      </c>
      <c r="BT342" s="3317">
        <f t="shared" si="205"/>
        <v>0</v>
      </c>
    </row>
    <row r="343" spans="1:72">
      <c r="A343" s="3262"/>
      <c r="B343" s="3263"/>
      <c r="C343" s="3263"/>
      <c r="D343" s="3268"/>
      <c r="E343" s="3264">
        <f t="shared" si="206"/>
        <v>0</v>
      </c>
      <c r="F343" s="3265"/>
      <c r="G343" s="3266">
        <f t="shared" si="181"/>
        <v>0</v>
      </c>
      <c r="H343" s="3267">
        <f t="shared" si="182"/>
        <v>0</v>
      </c>
      <c r="I343" s="3275"/>
      <c r="J343" s="3275"/>
      <c r="K343" s="3275"/>
      <c r="L343" s="3275"/>
      <c r="M343" s="3275"/>
      <c r="N343" s="3275"/>
      <c r="O343" s="3275"/>
      <c r="P343" s="3275"/>
      <c r="Q343" s="3275"/>
      <c r="R343" s="3275"/>
      <c r="S343" s="3275"/>
      <c r="T343" s="3275"/>
      <c r="U343" s="3275"/>
      <c r="V343" s="3275"/>
      <c r="W343" s="3275"/>
      <c r="X343" s="3275"/>
      <c r="Y343" s="3275"/>
      <c r="Z343" s="3275"/>
      <c r="AA343" s="3275"/>
      <c r="AB343" s="3275"/>
      <c r="AC343" s="3264">
        <f t="shared" si="183"/>
        <v>0</v>
      </c>
      <c r="AD343" s="3285"/>
      <c r="AE343" s="3285"/>
      <c r="AF343" s="3285"/>
      <c r="AG343" s="3285"/>
      <c r="AH343" s="3285"/>
      <c r="AI343" s="3285"/>
      <c r="AJ343" s="3285"/>
      <c r="AK343" s="3285"/>
      <c r="AL343" s="3285"/>
      <c r="AM343" s="3285"/>
      <c r="AN343" s="3285"/>
      <c r="AO343" s="3285"/>
      <c r="AP343" s="3285"/>
      <c r="AQ343" s="3285"/>
      <c r="AR343" s="3285"/>
      <c r="AS343" s="3285"/>
      <c r="AT343" s="3295"/>
      <c r="AU343" s="3296"/>
      <c r="AV343" s="830">
        <f t="shared" si="207"/>
        <v>0</v>
      </c>
      <c r="AW343" s="830">
        <f t="shared" si="208"/>
        <v>0</v>
      </c>
      <c r="AX343" s="830">
        <f t="shared" si="209"/>
        <v>0</v>
      </c>
      <c r="AY343" s="3310">
        <f t="shared" si="184"/>
        <v>0</v>
      </c>
      <c r="AZ343" s="3264">
        <f t="shared" si="185"/>
        <v>0</v>
      </c>
      <c r="BA343" s="3264">
        <f t="shared" si="186"/>
        <v>0</v>
      </c>
      <c r="BB343" s="3264">
        <f t="shared" si="187"/>
        <v>0</v>
      </c>
      <c r="BC343" s="3264">
        <f t="shared" si="188"/>
        <v>0</v>
      </c>
      <c r="BD343" s="3264">
        <f t="shared" si="189"/>
        <v>0</v>
      </c>
      <c r="BE343" s="3264">
        <f t="shared" si="190"/>
        <v>0</v>
      </c>
      <c r="BF343" s="3264">
        <f t="shared" si="191"/>
        <v>0</v>
      </c>
      <c r="BG343" s="3264">
        <f t="shared" si="192"/>
        <v>0</v>
      </c>
      <c r="BH343" s="3264">
        <f t="shared" si="193"/>
        <v>0</v>
      </c>
      <c r="BI343" s="3264">
        <f t="shared" si="194"/>
        <v>0</v>
      </c>
      <c r="BJ343" s="3264">
        <f t="shared" si="195"/>
        <v>0</v>
      </c>
      <c r="BK343" s="3264">
        <f t="shared" si="196"/>
        <v>0</v>
      </c>
      <c r="BL343" s="3264">
        <f t="shared" si="197"/>
        <v>0</v>
      </c>
      <c r="BM343" s="3264">
        <f t="shared" si="198"/>
        <v>0</v>
      </c>
      <c r="BN343" s="3264">
        <f t="shared" si="199"/>
        <v>0</v>
      </c>
      <c r="BO343" s="3264">
        <f t="shared" si="200"/>
        <v>0</v>
      </c>
      <c r="BP343" s="3264">
        <f t="shared" si="201"/>
        <v>0</v>
      </c>
      <c r="BQ343" s="3264">
        <f t="shared" si="202"/>
        <v>0</v>
      </c>
      <c r="BR343" s="3264">
        <f t="shared" si="203"/>
        <v>0</v>
      </c>
      <c r="BS343" s="3264">
        <f t="shared" si="204"/>
        <v>0</v>
      </c>
      <c r="BT343" s="3317">
        <f t="shared" si="205"/>
        <v>0</v>
      </c>
    </row>
    <row r="344" spans="1:72">
      <c r="A344" s="3262"/>
      <c r="B344" s="3263"/>
      <c r="C344" s="3263"/>
      <c r="D344" s="3268"/>
      <c r="E344" s="3264">
        <f t="shared" si="206"/>
        <v>0</v>
      </c>
      <c r="F344" s="3265"/>
      <c r="G344" s="3266">
        <f t="shared" si="181"/>
        <v>0</v>
      </c>
      <c r="H344" s="3267">
        <f t="shared" si="182"/>
        <v>0</v>
      </c>
      <c r="I344" s="3275"/>
      <c r="J344" s="3275"/>
      <c r="K344" s="3275"/>
      <c r="L344" s="3275"/>
      <c r="M344" s="3275"/>
      <c r="N344" s="3275"/>
      <c r="O344" s="3275"/>
      <c r="P344" s="3275"/>
      <c r="Q344" s="3275"/>
      <c r="R344" s="3275"/>
      <c r="S344" s="3275"/>
      <c r="T344" s="3275"/>
      <c r="U344" s="3275"/>
      <c r="V344" s="3275"/>
      <c r="W344" s="3275"/>
      <c r="X344" s="3275"/>
      <c r="Y344" s="3275"/>
      <c r="Z344" s="3275"/>
      <c r="AA344" s="3275"/>
      <c r="AB344" s="3275"/>
      <c r="AC344" s="3264">
        <f t="shared" si="183"/>
        <v>0</v>
      </c>
      <c r="AD344" s="3285"/>
      <c r="AE344" s="3285"/>
      <c r="AF344" s="3285"/>
      <c r="AG344" s="3285"/>
      <c r="AH344" s="3285"/>
      <c r="AI344" s="3285"/>
      <c r="AJ344" s="3285"/>
      <c r="AK344" s="3285"/>
      <c r="AL344" s="3285"/>
      <c r="AM344" s="3285"/>
      <c r="AN344" s="3285"/>
      <c r="AO344" s="3285"/>
      <c r="AP344" s="3285"/>
      <c r="AQ344" s="3285"/>
      <c r="AR344" s="3285"/>
      <c r="AS344" s="3285"/>
      <c r="AT344" s="3295"/>
      <c r="AU344" s="3296"/>
      <c r="AV344" s="830">
        <f t="shared" si="207"/>
        <v>0</v>
      </c>
      <c r="AW344" s="830">
        <f t="shared" si="208"/>
        <v>0</v>
      </c>
      <c r="AX344" s="830">
        <f t="shared" si="209"/>
        <v>0</v>
      </c>
      <c r="AY344" s="3310">
        <f t="shared" si="184"/>
        <v>0</v>
      </c>
      <c r="AZ344" s="3264">
        <f t="shared" si="185"/>
        <v>0</v>
      </c>
      <c r="BA344" s="3264">
        <f t="shared" si="186"/>
        <v>0</v>
      </c>
      <c r="BB344" s="3264">
        <f t="shared" si="187"/>
        <v>0</v>
      </c>
      <c r="BC344" s="3264">
        <f t="shared" si="188"/>
        <v>0</v>
      </c>
      <c r="BD344" s="3264">
        <f t="shared" si="189"/>
        <v>0</v>
      </c>
      <c r="BE344" s="3264">
        <f t="shared" si="190"/>
        <v>0</v>
      </c>
      <c r="BF344" s="3264">
        <f t="shared" si="191"/>
        <v>0</v>
      </c>
      <c r="BG344" s="3264">
        <f t="shared" si="192"/>
        <v>0</v>
      </c>
      <c r="BH344" s="3264">
        <f t="shared" si="193"/>
        <v>0</v>
      </c>
      <c r="BI344" s="3264">
        <f t="shared" si="194"/>
        <v>0</v>
      </c>
      <c r="BJ344" s="3264">
        <f t="shared" si="195"/>
        <v>0</v>
      </c>
      <c r="BK344" s="3264">
        <f t="shared" si="196"/>
        <v>0</v>
      </c>
      <c r="BL344" s="3264">
        <f t="shared" si="197"/>
        <v>0</v>
      </c>
      <c r="BM344" s="3264">
        <f t="shared" si="198"/>
        <v>0</v>
      </c>
      <c r="BN344" s="3264">
        <f t="shared" si="199"/>
        <v>0</v>
      </c>
      <c r="BO344" s="3264">
        <f t="shared" si="200"/>
        <v>0</v>
      </c>
      <c r="BP344" s="3264">
        <f t="shared" si="201"/>
        <v>0</v>
      </c>
      <c r="BQ344" s="3264">
        <f t="shared" si="202"/>
        <v>0</v>
      </c>
      <c r="BR344" s="3264">
        <f t="shared" si="203"/>
        <v>0</v>
      </c>
      <c r="BS344" s="3264">
        <f t="shared" si="204"/>
        <v>0</v>
      </c>
      <c r="BT344" s="3317">
        <f t="shared" si="205"/>
        <v>0</v>
      </c>
    </row>
    <row r="345" spans="1:72">
      <c r="A345" s="3262"/>
      <c r="B345" s="3263"/>
      <c r="C345" s="3263"/>
      <c r="D345" s="3268"/>
      <c r="E345" s="3264">
        <f t="shared" si="206"/>
        <v>0</v>
      </c>
      <c r="F345" s="3265"/>
      <c r="G345" s="3266">
        <f t="shared" si="181"/>
        <v>0</v>
      </c>
      <c r="H345" s="3267">
        <f t="shared" si="182"/>
        <v>0</v>
      </c>
      <c r="I345" s="3275"/>
      <c r="J345" s="3275"/>
      <c r="K345" s="3275"/>
      <c r="L345" s="3275"/>
      <c r="M345" s="3275"/>
      <c r="N345" s="3275"/>
      <c r="O345" s="3275"/>
      <c r="P345" s="3275"/>
      <c r="Q345" s="3275"/>
      <c r="R345" s="3275"/>
      <c r="S345" s="3275"/>
      <c r="T345" s="3275"/>
      <c r="U345" s="3275"/>
      <c r="V345" s="3275"/>
      <c r="W345" s="3275"/>
      <c r="X345" s="3275"/>
      <c r="Y345" s="3275"/>
      <c r="Z345" s="3275"/>
      <c r="AA345" s="3275"/>
      <c r="AB345" s="3275"/>
      <c r="AC345" s="3264">
        <f t="shared" si="183"/>
        <v>0</v>
      </c>
      <c r="AD345" s="3285"/>
      <c r="AE345" s="3285"/>
      <c r="AF345" s="3285"/>
      <c r="AG345" s="3285"/>
      <c r="AH345" s="3285"/>
      <c r="AI345" s="3285"/>
      <c r="AJ345" s="3285"/>
      <c r="AK345" s="3285"/>
      <c r="AL345" s="3285"/>
      <c r="AM345" s="3285"/>
      <c r="AN345" s="3285"/>
      <c r="AO345" s="3285"/>
      <c r="AP345" s="3285"/>
      <c r="AQ345" s="3285"/>
      <c r="AR345" s="3285"/>
      <c r="AS345" s="3285"/>
      <c r="AT345" s="3295"/>
      <c r="AU345" s="3296"/>
      <c r="AV345" s="830">
        <f t="shared" si="207"/>
        <v>0</v>
      </c>
      <c r="AW345" s="830">
        <f t="shared" si="208"/>
        <v>0</v>
      </c>
      <c r="AX345" s="830">
        <f t="shared" si="209"/>
        <v>0</v>
      </c>
      <c r="AY345" s="3310">
        <f t="shared" si="184"/>
        <v>0</v>
      </c>
      <c r="AZ345" s="3264">
        <f t="shared" si="185"/>
        <v>0</v>
      </c>
      <c r="BA345" s="3264">
        <f t="shared" si="186"/>
        <v>0</v>
      </c>
      <c r="BB345" s="3264">
        <f t="shared" si="187"/>
        <v>0</v>
      </c>
      <c r="BC345" s="3264">
        <f t="shared" si="188"/>
        <v>0</v>
      </c>
      <c r="BD345" s="3264">
        <f t="shared" si="189"/>
        <v>0</v>
      </c>
      <c r="BE345" s="3264">
        <f t="shared" si="190"/>
        <v>0</v>
      </c>
      <c r="BF345" s="3264">
        <f t="shared" si="191"/>
        <v>0</v>
      </c>
      <c r="BG345" s="3264">
        <f t="shared" si="192"/>
        <v>0</v>
      </c>
      <c r="BH345" s="3264">
        <f t="shared" si="193"/>
        <v>0</v>
      </c>
      <c r="BI345" s="3264">
        <f t="shared" si="194"/>
        <v>0</v>
      </c>
      <c r="BJ345" s="3264">
        <f t="shared" si="195"/>
        <v>0</v>
      </c>
      <c r="BK345" s="3264">
        <f t="shared" si="196"/>
        <v>0</v>
      </c>
      <c r="BL345" s="3264">
        <f t="shared" si="197"/>
        <v>0</v>
      </c>
      <c r="BM345" s="3264">
        <f t="shared" si="198"/>
        <v>0</v>
      </c>
      <c r="BN345" s="3264">
        <f t="shared" si="199"/>
        <v>0</v>
      </c>
      <c r="BO345" s="3264">
        <f t="shared" si="200"/>
        <v>0</v>
      </c>
      <c r="BP345" s="3264">
        <f t="shared" si="201"/>
        <v>0</v>
      </c>
      <c r="BQ345" s="3264">
        <f t="shared" si="202"/>
        <v>0</v>
      </c>
      <c r="BR345" s="3264">
        <f t="shared" si="203"/>
        <v>0</v>
      </c>
      <c r="BS345" s="3264">
        <f t="shared" si="204"/>
        <v>0</v>
      </c>
      <c r="BT345" s="3317">
        <f t="shared" si="205"/>
        <v>0</v>
      </c>
    </row>
    <row r="346" spans="1:72">
      <c r="A346" s="3262"/>
      <c r="B346" s="3263"/>
      <c r="C346" s="3263"/>
      <c r="D346" s="3268"/>
      <c r="E346" s="3264">
        <f t="shared" si="206"/>
        <v>0</v>
      </c>
      <c r="F346" s="3265"/>
      <c r="G346" s="3266">
        <f t="shared" si="181"/>
        <v>0</v>
      </c>
      <c r="H346" s="3267">
        <f t="shared" si="182"/>
        <v>0</v>
      </c>
      <c r="I346" s="3275"/>
      <c r="J346" s="3275"/>
      <c r="K346" s="3275"/>
      <c r="L346" s="3275"/>
      <c r="M346" s="3275"/>
      <c r="N346" s="3275"/>
      <c r="O346" s="3275"/>
      <c r="P346" s="3275"/>
      <c r="Q346" s="3275"/>
      <c r="R346" s="3275"/>
      <c r="S346" s="3275"/>
      <c r="T346" s="3275"/>
      <c r="U346" s="3275"/>
      <c r="V346" s="3275"/>
      <c r="W346" s="3275"/>
      <c r="X346" s="3275"/>
      <c r="Y346" s="3275"/>
      <c r="Z346" s="3275"/>
      <c r="AA346" s="3275"/>
      <c r="AB346" s="3275"/>
      <c r="AC346" s="3264">
        <f t="shared" si="183"/>
        <v>0</v>
      </c>
      <c r="AD346" s="3285"/>
      <c r="AE346" s="3285"/>
      <c r="AF346" s="3285"/>
      <c r="AG346" s="3285"/>
      <c r="AH346" s="3285"/>
      <c r="AI346" s="3285"/>
      <c r="AJ346" s="3285"/>
      <c r="AK346" s="3285"/>
      <c r="AL346" s="3285"/>
      <c r="AM346" s="3285"/>
      <c r="AN346" s="3285"/>
      <c r="AO346" s="3285"/>
      <c r="AP346" s="3285"/>
      <c r="AQ346" s="3285"/>
      <c r="AR346" s="3285"/>
      <c r="AS346" s="3285"/>
      <c r="AT346" s="3295"/>
      <c r="AU346" s="3296"/>
      <c r="AV346" s="830">
        <f t="shared" si="207"/>
        <v>0</v>
      </c>
      <c r="AW346" s="830">
        <f t="shared" si="208"/>
        <v>0</v>
      </c>
      <c r="AX346" s="830">
        <f t="shared" si="209"/>
        <v>0</v>
      </c>
      <c r="AY346" s="3310">
        <f t="shared" si="184"/>
        <v>0</v>
      </c>
      <c r="AZ346" s="3264">
        <f t="shared" si="185"/>
        <v>0</v>
      </c>
      <c r="BA346" s="3264">
        <f t="shared" si="186"/>
        <v>0</v>
      </c>
      <c r="BB346" s="3264">
        <f t="shared" si="187"/>
        <v>0</v>
      </c>
      <c r="BC346" s="3264">
        <f t="shared" si="188"/>
        <v>0</v>
      </c>
      <c r="BD346" s="3264">
        <f t="shared" si="189"/>
        <v>0</v>
      </c>
      <c r="BE346" s="3264">
        <f t="shared" si="190"/>
        <v>0</v>
      </c>
      <c r="BF346" s="3264">
        <f t="shared" si="191"/>
        <v>0</v>
      </c>
      <c r="BG346" s="3264">
        <f t="shared" si="192"/>
        <v>0</v>
      </c>
      <c r="BH346" s="3264">
        <f t="shared" si="193"/>
        <v>0</v>
      </c>
      <c r="BI346" s="3264">
        <f t="shared" si="194"/>
        <v>0</v>
      </c>
      <c r="BJ346" s="3264">
        <f t="shared" si="195"/>
        <v>0</v>
      </c>
      <c r="BK346" s="3264">
        <f t="shared" si="196"/>
        <v>0</v>
      </c>
      <c r="BL346" s="3264">
        <f t="shared" si="197"/>
        <v>0</v>
      </c>
      <c r="BM346" s="3264">
        <f t="shared" si="198"/>
        <v>0</v>
      </c>
      <c r="BN346" s="3264">
        <f t="shared" si="199"/>
        <v>0</v>
      </c>
      <c r="BO346" s="3264">
        <f t="shared" si="200"/>
        <v>0</v>
      </c>
      <c r="BP346" s="3264">
        <f t="shared" si="201"/>
        <v>0</v>
      </c>
      <c r="BQ346" s="3264">
        <f t="shared" si="202"/>
        <v>0</v>
      </c>
      <c r="BR346" s="3264">
        <f t="shared" si="203"/>
        <v>0</v>
      </c>
      <c r="BS346" s="3264">
        <f t="shared" si="204"/>
        <v>0</v>
      </c>
      <c r="BT346" s="3317">
        <f t="shared" si="205"/>
        <v>0</v>
      </c>
    </row>
    <row r="347" spans="1:72">
      <c r="A347" s="3262"/>
      <c r="B347" s="3263"/>
      <c r="C347" s="3263"/>
      <c r="D347" s="3268"/>
      <c r="E347" s="3264">
        <f t="shared" si="206"/>
        <v>0</v>
      </c>
      <c r="F347" s="3265"/>
      <c r="G347" s="3266">
        <f t="shared" si="181"/>
        <v>0</v>
      </c>
      <c r="H347" s="3267">
        <f t="shared" si="182"/>
        <v>0</v>
      </c>
      <c r="I347" s="3275"/>
      <c r="J347" s="3275"/>
      <c r="K347" s="3275"/>
      <c r="L347" s="3275"/>
      <c r="M347" s="3275"/>
      <c r="N347" s="3275"/>
      <c r="O347" s="3275"/>
      <c r="P347" s="3275"/>
      <c r="Q347" s="3275"/>
      <c r="R347" s="3275"/>
      <c r="S347" s="3275"/>
      <c r="T347" s="3275"/>
      <c r="U347" s="3275"/>
      <c r="V347" s="3275"/>
      <c r="W347" s="3275"/>
      <c r="X347" s="3275"/>
      <c r="Y347" s="3275"/>
      <c r="Z347" s="3275"/>
      <c r="AA347" s="3275"/>
      <c r="AB347" s="3275"/>
      <c r="AC347" s="3264">
        <f t="shared" si="183"/>
        <v>0</v>
      </c>
      <c r="AD347" s="3285"/>
      <c r="AE347" s="3285"/>
      <c r="AF347" s="3285"/>
      <c r="AG347" s="3285"/>
      <c r="AH347" s="3285"/>
      <c r="AI347" s="3285"/>
      <c r="AJ347" s="3285"/>
      <c r="AK347" s="3285"/>
      <c r="AL347" s="3285"/>
      <c r="AM347" s="3285"/>
      <c r="AN347" s="3285"/>
      <c r="AO347" s="3285"/>
      <c r="AP347" s="3285"/>
      <c r="AQ347" s="3285"/>
      <c r="AR347" s="3285"/>
      <c r="AS347" s="3285"/>
      <c r="AT347" s="3295"/>
      <c r="AU347" s="3296"/>
      <c r="AV347" s="830">
        <f t="shared" si="207"/>
        <v>0</v>
      </c>
      <c r="AW347" s="830">
        <f t="shared" si="208"/>
        <v>0</v>
      </c>
      <c r="AX347" s="830">
        <f t="shared" si="209"/>
        <v>0</v>
      </c>
      <c r="AY347" s="3310">
        <f t="shared" si="184"/>
        <v>0</v>
      </c>
      <c r="AZ347" s="3264">
        <f t="shared" si="185"/>
        <v>0</v>
      </c>
      <c r="BA347" s="3264">
        <f t="shared" si="186"/>
        <v>0</v>
      </c>
      <c r="BB347" s="3264">
        <f t="shared" si="187"/>
        <v>0</v>
      </c>
      <c r="BC347" s="3264">
        <f t="shared" si="188"/>
        <v>0</v>
      </c>
      <c r="BD347" s="3264">
        <f t="shared" si="189"/>
        <v>0</v>
      </c>
      <c r="BE347" s="3264">
        <f t="shared" si="190"/>
        <v>0</v>
      </c>
      <c r="BF347" s="3264">
        <f t="shared" si="191"/>
        <v>0</v>
      </c>
      <c r="BG347" s="3264">
        <f t="shared" si="192"/>
        <v>0</v>
      </c>
      <c r="BH347" s="3264">
        <f t="shared" si="193"/>
        <v>0</v>
      </c>
      <c r="BI347" s="3264">
        <f t="shared" si="194"/>
        <v>0</v>
      </c>
      <c r="BJ347" s="3264">
        <f t="shared" si="195"/>
        <v>0</v>
      </c>
      <c r="BK347" s="3264">
        <f t="shared" si="196"/>
        <v>0</v>
      </c>
      <c r="BL347" s="3264">
        <f t="shared" si="197"/>
        <v>0</v>
      </c>
      <c r="BM347" s="3264">
        <f t="shared" si="198"/>
        <v>0</v>
      </c>
      <c r="BN347" s="3264">
        <f t="shared" si="199"/>
        <v>0</v>
      </c>
      <c r="BO347" s="3264">
        <f t="shared" si="200"/>
        <v>0</v>
      </c>
      <c r="BP347" s="3264">
        <f t="shared" si="201"/>
        <v>0</v>
      </c>
      <c r="BQ347" s="3264">
        <f t="shared" si="202"/>
        <v>0</v>
      </c>
      <c r="BR347" s="3264">
        <f t="shared" si="203"/>
        <v>0</v>
      </c>
      <c r="BS347" s="3264">
        <f t="shared" si="204"/>
        <v>0</v>
      </c>
      <c r="BT347" s="3317">
        <f t="shared" si="205"/>
        <v>0</v>
      </c>
    </row>
    <row r="348" spans="1:72">
      <c r="A348" s="3262"/>
      <c r="B348" s="3263"/>
      <c r="C348" s="3263"/>
      <c r="D348" s="3268"/>
      <c r="E348" s="3264">
        <f t="shared" si="206"/>
        <v>0</v>
      </c>
      <c r="F348" s="3265"/>
      <c r="G348" s="3266">
        <f t="shared" si="181"/>
        <v>0</v>
      </c>
      <c r="H348" s="3267">
        <f t="shared" si="182"/>
        <v>0</v>
      </c>
      <c r="I348" s="3275"/>
      <c r="J348" s="3275"/>
      <c r="K348" s="3275"/>
      <c r="L348" s="3275"/>
      <c r="M348" s="3275"/>
      <c r="N348" s="3275"/>
      <c r="O348" s="3275"/>
      <c r="P348" s="3275"/>
      <c r="Q348" s="3275"/>
      <c r="R348" s="3275"/>
      <c r="S348" s="3275"/>
      <c r="T348" s="3275"/>
      <c r="U348" s="3275"/>
      <c r="V348" s="3275"/>
      <c r="W348" s="3275"/>
      <c r="X348" s="3275"/>
      <c r="Y348" s="3275"/>
      <c r="Z348" s="3275"/>
      <c r="AA348" s="3275"/>
      <c r="AB348" s="3275"/>
      <c r="AC348" s="3264">
        <f t="shared" si="183"/>
        <v>0</v>
      </c>
      <c r="AD348" s="3285"/>
      <c r="AE348" s="3285"/>
      <c r="AF348" s="3285"/>
      <c r="AG348" s="3285"/>
      <c r="AH348" s="3285"/>
      <c r="AI348" s="3285"/>
      <c r="AJ348" s="3285"/>
      <c r="AK348" s="3285"/>
      <c r="AL348" s="3285"/>
      <c r="AM348" s="3285"/>
      <c r="AN348" s="3285"/>
      <c r="AO348" s="3285"/>
      <c r="AP348" s="3285"/>
      <c r="AQ348" s="3285"/>
      <c r="AR348" s="3285"/>
      <c r="AS348" s="3285"/>
      <c r="AT348" s="3295"/>
      <c r="AU348" s="3296"/>
      <c r="AV348" s="830">
        <f t="shared" si="207"/>
        <v>0</v>
      </c>
      <c r="AW348" s="830">
        <f t="shared" si="208"/>
        <v>0</v>
      </c>
      <c r="AX348" s="830">
        <f t="shared" si="209"/>
        <v>0</v>
      </c>
      <c r="AY348" s="3310">
        <f t="shared" si="184"/>
        <v>0</v>
      </c>
      <c r="AZ348" s="3264">
        <f t="shared" si="185"/>
        <v>0</v>
      </c>
      <c r="BA348" s="3264">
        <f t="shared" si="186"/>
        <v>0</v>
      </c>
      <c r="BB348" s="3264">
        <f t="shared" si="187"/>
        <v>0</v>
      </c>
      <c r="BC348" s="3264">
        <f t="shared" si="188"/>
        <v>0</v>
      </c>
      <c r="BD348" s="3264">
        <f t="shared" si="189"/>
        <v>0</v>
      </c>
      <c r="BE348" s="3264">
        <f t="shared" si="190"/>
        <v>0</v>
      </c>
      <c r="BF348" s="3264">
        <f t="shared" si="191"/>
        <v>0</v>
      </c>
      <c r="BG348" s="3264">
        <f t="shared" si="192"/>
        <v>0</v>
      </c>
      <c r="BH348" s="3264">
        <f t="shared" si="193"/>
        <v>0</v>
      </c>
      <c r="BI348" s="3264">
        <f t="shared" si="194"/>
        <v>0</v>
      </c>
      <c r="BJ348" s="3264">
        <f t="shared" si="195"/>
        <v>0</v>
      </c>
      <c r="BK348" s="3264">
        <f t="shared" si="196"/>
        <v>0</v>
      </c>
      <c r="BL348" s="3264">
        <f t="shared" si="197"/>
        <v>0</v>
      </c>
      <c r="BM348" s="3264">
        <f t="shared" si="198"/>
        <v>0</v>
      </c>
      <c r="BN348" s="3264">
        <f t="shared" si="199"/>
        <v>0</v>
      </c>
      <c r="BO348" s="3264">
        <f t="shared" si="200"/>
        <v>0</v>
      </c>
      <c r="BP348" s="3264">
        <f t="shared" si="201"/>
        <v>0</v>
      </c>
      <c r="BQ348" s="3264">
        <f t="shared" si="202"/>
        <v>0</v>
      </c>
      <c r="BR348" s="3264">
        <f t="shared" si="203"/>
        <v>0</v>
      </c>
      <c r="BS348" s="3264">
        <f t="shared" si="204"/>
        <v>0</v>
      </c>
      <c r="BT348" s="3317">
        <f t="shared" si="205"/>
        <v>0</v>
      </c>
    </row>
    <row r="349" spans="1:72">
      <c r="A349" s="3262"/>
      <c r="B349" s="3263"/>
      <c r="C349" s="3263"/>
      <c r="D349" s="3268"/>
      <c r="E349" s="3264">
        <f t="shared" si="206"/>
        <v>0</v>
      </c>
      <c r="F349" s="3265"/>
      <c r="G349" s="3266">
        <f t="shared" si="181"/>
        <v>0</v>
      </c>
      <c r="H349" s="3267">
        <f t="shared" si="182"/>
        <v>0</v>
      </c>
      <c r="I349" s="3275"/>
      <c r="J349" s="3275"/>
      <c r="K349" s="3275"/>
      <c r="L349" s="3275"/>
      <c r="M349" s="3275"/>
      <c r="N349" s="3275"/>
      <c r="O349" s="3275"/>
      <c r="P349" s="3275"/>
      <c r="Q349" s="3275"/>
      <c r="R349" s="3275"/>
      <c r="S349" s="3275"/>
      <c r="T349" s="3275"/>
      <c r="U349" s="3275"/>
      <c r="V349" s="3275"/>
      <c r="W349" s="3275"/>
      <c r="X349" s="3275"/>
      <c r="Y349" s="3275"/>
      <c r="Z349" s="3275"/>
      <c r="AA349" s="3275"/>
      <c r="AB349" s="3275"/>
      <c r="AC349" s="3264">
        <f t="shared" si="183"/>
        <v>0</v>
      </c>
      <c r="AD349" s="3285"/>
      <c r="AE349" s="3285"/>
      <c r="AF349" s="3285"/>
      <c r="AG349" s="3285"/>
      <c r="AH349" s="3285"/>
      <c r="AI349" s="3285"/>
      <c r="AJ349" s="3285"/>
      <c r="AK349" s="3285"/>
      <c r="AL349" s="3285"/>
      <c r="AM349" s="3285"/>
      <c r="AN349" s="3285"/>
      <c r="AO349" s="3285"/>
      <c r="AP349" s="3285"/>
      <c r="AQ349" s="3285"/>
      <c r="AR349" s="3285"/>
      <c r="AS349" s="3285"/>
      <c r="AT349" s="3295"/>
      <c r="AU349" s="3296"/>
      <c r="AV349" s="830">
        <f t="shared" si="207"/>
        <v>0</v>
      </c>
      <c r="AW349" s="830">
        <f t="shared" si="208"/>
        <v>0</v>
      </c>
      <c r="AX349" s="830">
        <f t="shared" si="209"/>
        <v>0</v>
      </c>
      <c r="AY349" s="3310">
        <f t="shared" si="184"/>
        <v>0</v>
      </c>
      <c r="AZ349" s="3264">
        <f t="shared" si="185"/>
        <v>0</v>
      </c>
      <c r="BA349" s="3264">
        <f t="shared" si="186"/>
        <v>0</v>
      </c>
      <c r="BB349" s="3264">
        <f t="shared" si="187"/>
        <v>0</v>
      </c>
      <c r="BC349" s="3264">
        <f t="shared" si="188"/>
        <v>0</v>
      </c>
      <c r="BD349" s="3264">
        <f t="shared" si="189"/>
        <v>0</v>
      </c>
      <c r="BE349" s="3264">
        <f t="shared" si="190"/>
        <v>0</v>
      </c>
      <c r="BF349" s="3264">
        <f t="shared" si="191"/>
        <v>0</v>
      </c>
      <c r="BG349" s="3264">
        <f t="shared" si="192"/>
        <v>0</v>
      </c>
      <c r="BH349" s="3264">
        <f t="shared" si="193"/>
        <v>0</v>
      </c>
      <c r="BI349" s="3264">
        <f t="shared" si="194"/>
        <v>0</v>
      </c>
      <c r="BJ349" s="3264">
        <f t="shared" si="195"/>
        <v>0</v>
      </c>
      <c r="BK349" s="3264">
        <f t="shared" si="196"/>
        <v>0</v>
      </c>
      <c r="BL349" s="3264">
        <f t="shared" si="197"/>
        <v>0</v>
      </c>
      <c r="BM349" s="3264">
        <f t="shared" si="198"/>
        <v>0</v>
      </c>
      <c r="BN349" s="3264">
        <f t="shared" si="199"/>
        <v>0</v>
      </c>
      <c r="BO349" s="3264">
        <f t="shared" si="200"/>
        <v>0</v>
      </c>
      <c r="BP349" s="3264">
        <f t="shared" si="201"/>
        <v>0</v>
      </c>
      <c r="BQ349" s="3264">
        <f t="shared" si="202"/>
        <v>0</v>
      </c>
      <c r="BR349" s="3264">
        <f t="shared" si="203"/>
        <v>0</v>
      </c>
      <c r="BS349" s="3264">
        <f t="shared" si="204"/>
        <v>0</v>
      </c>
      <c r="BT349" s="3317">
        <f t="shared" si="205"/>
        <v>0</v>
      </c>
    </row>
    <row r="350" spans="1:72">
      <c r="A350" s="3262"/>
      <c r="B350" s="3263"/>
      <c r="C350" s="3263"/>
      <c r="D350" s="3268"/>
      <c r="E350" s="3264">
        <f t="shared" si="206"/>
        <v>0</v>
      </c>
      <c r="F350" s="3265"/>
      <c r="G350" s="3266">
        <f t="shared" si="181"/>
        <v>0</v>
      </c>
      <c r="H350" s="3267">
        <f t="shared" si="182"/>
        <v>0</v>
      </c>
      <c r="I350" s="3275"/>
      <c r="J350" s="3275"/>
      <c r="K350" s="3275"/>
      <c r="L350" s="3275"/>
      <c r="M350" s="3275"/>
      <c r="N350" s="3275"/>
      <c r="O350" s="3275"/>
      <c r="P350" s="3275"/>
      <c r="Q350" s="3275"/>
      <c r="R350" s="3275"/>
      <c r="S350" s="3275"/>
      <c r="T350" s="3275"/>
      <c r="U350" s="3275"/>
      <c r="V350" s="3275"/>
      <c r="W350" s="3275"/>
      <c r="X350" s="3275"/>
      <c r="Y350" s="3275"/>
      <c r="Z350" s="3275"/>
      <c r="AA350" s="3275"/>
      <c r="AB350" s="3275"/>
      <c r="AC350" s="3264">
        <f t="shared" si="183"/>
        <v>0</v>
      </c>
      <c r="AD350" s="3285"/>
      <c r="AE350" s="3285"/>
      <c r="AF350" s="3285"/>
      <c r="AG350" s="3285"/>
      <c r="AH350" s="3285"/>
      <c r="AI350" s="3285"/>
      <c r="AJ350" s="3285"/>
      <c r="AK350" s="3285"/>
      <c r="AL350" s="3285"/>
      <c r="AM350" s="3285"/>
      <c r="AN350" s="3285"/>
      <c r="AO350" s="3285"/>
      <c r="AP350" s="3285"/>
      <c r="AQ350" s="3285"/>
      <c r="AR350" s="3285"/>
      <c r="AS350" s="3285"/>
      <c r="AT350" s="3295"/>
      <c r="AU350" s="3296"/>
      <c r="AV350" s="830">
        <f t="shared" si="207"/>
        <v>0</v>
      </c>
      <c r="AW350" s="830">
        <f t="shared" si="208"/>
        <v>0</v>
      </c>
      <c r="AX350" s="830">
        <f t="shared" si="209"/>
        <v>0</v>
      </c>
      <c r="AY350" s="3310">
        <f t="shared" si="184"/>
        <v>0</v>
      </c>
      <c r="AZ350" s="3264">
        <f t="shared" si="185"/>
        <v>0</v>
      </c>
      <c r="BA350" s="3264">
        <f t="shared" si="186"/>
        <v>0</v>
      </c>
      <c r="BB350" s="3264">
        <f t="shared" si="187"/>
        <v>0</v>
      </c>
      <c r="BC350" s="3264">
        <f t="shared" si="188"/>
        <v>0</v>
      </c>
      <c r="BD350" s="3264">
        <f t="shared" si="189"/>
        <v>0</v>
      </c>
      <c r="BE350" s="3264">
        <f t="shared" si="190"/>
        <v>0</v>
      </c>
      <c r="BF350" s="3264">
        <f t="shared" si="191"/>
        <v>0</v>
      </c>
      <c r="BG350" s="3264">
        <f t="shared" si="192"/>
        <v>0</v>
      </c>
      <c r="BH350" s="3264">
        <f t="shared" si="193"/>
        <v>0</v>
      </c>
      <c r="BI350" s="3264">
        <f t="shared" si="194"/>
        <v>0</v>
      </c>
      <c r="BJ350" s="3264">
        <f t="shared" si="195"/>
        <v>0</v>
      </c>
      <c r="BK350" s="3264">
        <f t="shared" si="196"/>
        <v>0</v>
      </c>
      <c r="BL350" s="3264">
        <f t="shared" si="197"/>
        <v>0</v>
      </c>
      <c r="BM350" s="3264">
        <f t="shared" si="198"/>
        <v>0</v>
      </c>
      <c r="BN350" s="3264">
        <f t="shared" si="199"/>
        <v>0</v>
      </c>
      <c r="BO350" s="3264">
        <f t="shared" si="200"/>
        <v>0</v>
      </c>
      <c r="BP350" s="3264">
        <f t="shared" si="201"/>
        <v>0</v>
      </c>
      <c r="BQ350" s="3264">
        <f t="shared" si="202"/>
        <v>0</v>
      </c>
      <c r="BR350" s="3264">
        <f t="shared" si="203"/>
        <v>0</v>
      </c>
      <c r="BS350" s="3264">
        <f t="shared" si="204"/>
        <v>0</v>
      </c>
      <c r="BT350" s="3317">
        <f t="shared" si="205"/>
        <v>0</v>
      </c>
    </row>
    <row r="351" spans="1:72">
      <c r="A351" s="3262"/>
      <c r="B351" s="3263"/>
      <c r="C351" s="3263"/>
      <c r="D351" s="3268"/>
      <c r="E351" s="3264">
        <f t="shared" si="206"/>
        <v>0</v>
      </c>
      <c r="F351" s="3265"/>
      <c r="G351" s="3266">
        <f t="shared" si="181"/>
        <v>0</v>
      </c>
      <c r="H351" s="3267">
        <f t="shared" si="182"/>
        <v>0</v>
      </c>
      <c r="I351" s="3275"/>
      <c r="J351" s="3275"/>
      <c r="K351" s="3275"/>
      <c r="L351" s="3275"/>
      <c r="M351" s="3275"/>
      <c r="N351" s="3275"/>
      <c r="O351" s="3275"/>
      <c r="P351" s="3275"/>
      <c r="Q351" s="3275"/>
      <c r="R351" s="3275"/>
      <c r="S351" s="3275"/>
      <c r="T351" s="3275"/>
      <c r="U351" s="3275"/>
      <c r="V351" s="3275"/>
      <c r="W351" s="3275"/>
      <c r="X351" s="3275"/>
      <c r="Y351" s="3275"/>
      <c r="Z351" s="3275"/>
      <c r="AA351" s="3275"/>
      <c r="AB351" s="3275"/>
      <c r="AC351" s="3264">
        <f t="shared" si="183"/>
        <v>0</v>
      </c>
      <c r="AD351" s="3285"/>
      <c r="AE351" s="3285"/>
      <c r="AF351" s="3285"/>
      <c r="AG351" s="3285"/>
      <c r="AH351" s="3285"/>
      <c r="AI351" s="3285"/>
      <c r="AJ351" s="3285"/>
      <c r="AK351" s="3285"/>
      <c r="AL351" s="3285"/>
      <c r="AM351" s="3285"/>
      <c r="AN351" s="3285"/>
      <c r="AO351" s="3285"/>
      <c r="AP351" s="3285"/>
      <c r="AQ351" s="3285"/>
      <c r="AR351" s="3285"/>
      <c r="AS351" s="3285"/>
      <c r="AT351" s="3295"/>
      <c r="AU351" s="3296"/>
      <c r="AV351" s="830">
        <f t="shared" si="207"/>
        <v>0</v>
      </c>
      <c r="AW351" s="830">
        <f t="shared" si="208"/>
        <v>0</v>
      </c>
      <c r="AX351" s="830">
        <f t="shared" si="209"/>
        <v>0</v>
      </c>
      <c r="AY351" s="3310">
        <f t="shared" si="184"/>
        <v>0</v>
      </c>
      <c r="AZ351" s="3264">
        <f t="shared" si="185"/>
        <v>0</v>
      </c>
      <c r="BA351" s="3264">
        <f t="shared" si="186"/>
        <v>0</v>
      </c>
      <c r="BB351" s="3264">
        <f t="shared" si="187"/>
        <v>0</v>
      </c>
      <c r="BC351" s="3264">
        <f t="shared" si="188"/>
        <v>0</v>
      </c>
      <c r="BD351" s="3264">
        <f t="shared" si="189"/>
        <v>0</v>
      </c>
      <c r="BE351" s="3264">
        <f t="shared" si="190"/>
        <v>0</v>
      </c>
      <c r="BF351" s="3264">
        <f t="shared" si="191"/>
        <v>0</v>
      </c>
      <c r="BG351" s="3264">
        <f t="shared" si="192"/>
        <v>0</v>
      </c>
      <c r="BH351" s="3264">
        <f t="shared" si="193"/>
        <v>0</v>
      </c>
      <c r="BI351" s="3264">
        <f t="shared" si="194"/>
        <v>0</v>
      </c>
      <c r="BJ351" s="3264">
        <f t="shared" si="195"/>
        <v>0</v>
      </c>
      <c r="BK351" s="3264">
        <f t="shared" si="196"/>
        <v>0</v>
      </c>
      <c r="BL351" s="3264">
        <f t="shared" si="197"/>
        <v>0</v>
      </c>
      <c r="BM351" s="3264">
        <f t="shared" si="198"/>
        <v>0</v>
      </c>
      <c r="BN351" s="3264">
        <f t="shared" si="199"/>
        <v>0</v>
      </c>
      <c r="BO351" s="3264">
        <f t="shared" si="200"/>
        <v>0</v>
      </c>
      <c r="BP351" s="3264">
        <f t="shared" si="201"/>
        <v>0</v>
      </c>
      <c r="BQ351" s="3264">
        <f t="shared" si="202"/>
        <v>0</v>
      </c>
      <c r="BR351" s="3264">
        <f t="shared" si="203"/>
        <v>0</v>
      </c>
      <c r="BS351" s="3264">
        <f t="shared" si="204"/>
        <v>0</v>
      </c>
      <c r="BT351" s="3317">
        <f t="shared" si="205"/>
        <v>0</v>
      </c>
    </row>
    <row r="352" spans="1:72">
      <c r="A352" s="3262"/>
      <c r="B352" s="3263"/>
      <c r="C352" s="3263"/>
      <c r="D352" s="3268"/>
      <c r="E352" s="3264">
        <f t="shared" si="206"/>
        <v>0</v>
      </c>
      <c r="F352" s="3265"/>
      <c r="G352" s="3266">
        <f t="shared" si="181"/>
        <v>0</v>
      </c>
      <c r="H352" s="3267">
        <f t="shared" si="182"/>
        <v>0</v>
      </c>
      <c r="I352" s="3275"/>
      <c r="J352" s="3275"/>
      <c r="K352" s="3275"/>
      <c r="L352" s="3275"/>
      <c r="M352" s="3275"/>
      <c r="N352" s="3275"/>
      <c r="O352" s="3275"/>
      <c r="P352" s="3275"/>
      <c r="Q352" s="3275"/>
      <c r="R352" s="3275"/>
      <c r="S352" s="3275"/>
      <c r="T352" s="3275"/>
      <c r="U352" s="3275"/>
      <c r="V352" s="3275"/>
      <c r="W352" s="3275"/>
      <c r="X352" s="3275"/>
      <c r="Y352" s="3275"/>
      <c r="Z352" s="3275"/>
      <c r="AA352" s="3275"/>
      <c r="AB352" s="3275"/>
      <c r="AC352" s="3264">
        <f t="shared" si="183"/>
        <v>0</v>
      </c>
      <c r="AD352" s="3285"/>
      <c r="AE352" s="3285"/>
      <c r="AF352" s="3285"/>
      <c r="AG352" s="3285"/>
      <c r="AH352" s="3285"/>
      <c r="AI352" s="3285"/>
      <c r="AJ352" s="3285"/>
      <c r="AK352" s="3285"/>
      <c r="AL352" s="3285"/>
      <c r="AM352" s="3285"/>
      <c r="AN352" s="3285"/>
      <c r="AO352" s="3285"/>
      <c r="AP352" s="3285"/>
      <c r="AQ352" s="3285"/>
      <c r="AR352" s="3285"/>
      <c r="AS352" s="3285"/>
      <c r="AT352" s="3295"/>
      <c r="AU352" s="3296"/>
      <c r="AV352" s="830">
        <f t="shared" si="207"/>
        <v>0</v>
      </c>
      <c r="AW352" s="830">
        <f t="shared" si="208"/>
        <v>0</v>
      </c>
      <c r="AX352" s="830">
        <f t="shared" si="209"/>
        <v>0</v>
      </c>
      <c r="AY352" s="3310">
        <f t="shared" si="184"/>
        <v>0</v>
      </c>
      <c r="AZ352" s="3264">
        <f t="shared" si="185"/>
        <v>0</v>
      </c>
      <c r="BA352" s="3264">
        <f t="shared" si="186"/>
        <v>0</v>
      </c>
      <c r="BB352" s="3264">
        <f t="shared" si="187"/>
        <v>0</v>
      </c>
      <c r="BC352" s="3264">
        <f t="shared" si="188"/>
        <v>0</v>
      </c>
      <c r="BD352" s="3264">
        <f t="shared" si="189"/>
        <v>0</v>
      </c>
      <c r="BE352" s="3264">
        <f t="shared" si="190"/>
        <v>0</v>
      </c>
      <c r="BF352" s="3264">
        <f t="shared" si="191"/>
        <v>0</v>
      </c>
      <c r="BG352" s="3264">
        <f t="shared" si="192"/>
        <v>0</v>
      </c>
      <c r="BH352" s="3264">
        <f t="shared" si="193"/>
        <v>0</v>
      </c>
      <c r="BI352" s="3264">
        <f t="shared" si="194"/>
        <v>0</v>
      </c>
      <c r="BJ352" s="3264">
        <f t="shared" si="195"/>
        <v>0</v>
      </c>
      <c r="BK352" s="3264">
        <f t="shared" si="196"/>
        <v>0</v>
      </c>
      <c r="BL352" s="3264">
        <f t="shared" si="197"/>
        <v>0</v>
      </c>
      <c r="BM352" s="3264">
        <f t="shared" si="198"/>
        <v>0</v>
      </c>
      <c r="BN352" s="3264">
        <f t="shared" si="199"/>
        <v>0</v>
      </c>
      <c r="BO352" s="3264">
        <f t="shared" si="200"/>
        <v>0</v>
      </c>
      <c r="BP352" s="3264">
        <f t="shared" si="201"/>
        <v>0</v>
      </c>
      <c r="BQ352" s="3264">
        <f t="shared" si="202"/>
        <v>0</v>
      </c>
      <c r="BR352" s="3264">
        <f t="shared" si="203"/>
        <v>0</v>
      </c>
      <c r="BS352" s="3264">
        <f t="shared" si="204"/>
        <v>0</v>
      </c>
      <c r="BT352" s="3317">
        <f t="shared" si="205"/>
        <v>0</v>
      </c>
    </row>
    <row r="353" spans="1:72">
      <c r="A353" s="3262"/>
      <c r="B353" s="3263"/>
      <c r="C353" s="3263"/>
      <c r="D353" s="3268"/>
      <c r="E353" s="3264">
        <f t="shared" si="206"/>
        <v>0</v>
      </c>
      <c r="F353" s="3265"/>
      <c r="G353" s="3266">
        <f t="shared" si="181"/>
        <v>0</v>
      </c>
      <c r="H353" s="3267">
        <f t="shared" si="182"/>
        <v>0</v>
      </c>
      <c r="I353" s="3275"/>
      <c r="J353" s="3275"/>
      <c r="K353" s="3275"/>
      <c r="L353" s="3275"/>
      <c r="M353" s="3275"/>
      <c r="N353" s="3275"/>
      <c r="O353" s="3275"/>
      <c r="P353" s="3275"/>
      <c r="Q353" s="3275"/>
      <c r="R353" s="3275"/>
      <c r="S353" s="3275"/>
      <c r="T353" s="3275"/>
      <c r="U353" s="3275"/>
      <c r="V353" s="3275"/>
      <c r="W353" s="3275"/>
      <c r="X353" s="3275"/>
      <c r="Y353" s="3275"/>
      <c r="Z353" s="3275"/>
      <c r="AA353" s="3275"/>
      <c r="AB353" s="3275"/>
      <c r="AC353" s="3264">
        <f t="shared" si="183"/>
        <v>0</v>
      </c>
      <c r="AD353" s="3285"/>
      <c r="AE353" s="3285"/>
      <c r="AF353" s="3285"/>
      <c r="AG353" s="3285"/>
      <c r="AH353" s="3285"/>
      <c r="AI353" s="3285"/>
      <c r="AJ353" s="3285"/>
      <c r="AK353" s="3285"/>
      <c r="AL353" s="3285"/>
      <c r="AM353" s="3285"/>
      <c r="AN353" s="3285"/>
      <c r="AO353" s="3285"/>
      <c r="AP353" s="3285"/>
      <c r="AQ353" s="3285"/>
      <c r="AR353" s="3285"/>
      <c r="AS353" s="3285"/>
      <c r="AT353" s="3295"/>
      <c r="AU353" s="3296"/>
      <c r="AV353" s="830">
        <f t="shared" si="207"/>
        <v>0</v>
      </c>
      <c r="AW353" s="830">
        <f t="shared" si="208"/>
        <v>0</v>
      </c>
      <c r="AX353" s="830">
        <f t="shared" si="209"/>
        <v>0</v>
      </c>
      <c r="AY353" s="3310">
        <f t="shared" si="184"/>
        <v>0</v>
      </c>
      <c r="AZ353" s="3264">
        <f t="shared" si="185"/>
        <v>0</v>
      </c>
      <c r="BA353" s="3264">
        <f t="shared" si="186"/>
        <v>0</v>
      </c>
      <c r="BB353" s="3264">
        <f t="shared" si="187"/>
        <v>0</v>
      </c>
      <c r="BC353" s="3264">
        <f t="shared" si="188"/>
        <v>0</v>
      </c>
      <c r="BD353" s="3264">
        <f t="shared" si="189"/>
        <v>0</v>
      </c>
      <c r="BE353" s="3264">
        <f t="shared" si="190"/>
        <v>0</v>
      </c>
      <c r="BF353" s="3264">
        <f t="shared" si="191"/>
        <v>0</v>
      </c>
      <c r="BG353" s="3264">
        <f t="shared" si="192"/>
        <v>0</v>
      </c>
      <c r="BH353" s="3264">
        <f t="shared" si="193"/>
        <v>0</v>
      </c>
      <c r="BI353" s="3264">
        <f t="shared" si="194"/>
        <v>0</v>
      </c>
      <c r="BJ353" s="3264">
        <f t="shared" si="195"/>
        <v>0</v>
      </c>
      <c r="BK353" s="3264">
        <f t="shared" si="196"/>
        <v>0</v>
      </c>
      <c r="BL353" s="3264">
        <f t="shared" si="197"/>
        <v>0</v>
      </c>
      <c r="BM353" s="3264">
        <f t="shared" si="198"/>
        <v>0</v>
      </c>
      <c r="BN353" s="3264">
        <f t="shared" si="199"/>
        <v>0</v>
      </c>
      <c r="BO353" s="3264">
        <f t="shared" si="200"/>
        <v>0</v>
      </c>
      <c r="BP353" s="3264">
        <f t="shared" si="201"/>
        <v>0</v>
      </c>
      <c r="BQ353" s="3264">
        <f t="shared" si="202"/>
        <v>0</v>
      </c>
      <c r="BR353" s="3264">
        <f t="shared" si="203"/>
        <v>0</v>
      </c>
      <c r="BS353" s="3264">
        <f t="shared" si="204"/>
        <v>0</v>
      </c>
      <c r="BT353" s="3317">
        <f t="shared" si="205"/>
        <v>0</v>
      </c>
    </row>
    <row r="354" spans="1:72">
      <c r="A354" s="3262"/>
      <c r="B354" s="3263"/>
      <c r="C354" s="3263"/>
      <c r="D354" s="3268"/>
      <c r="E354" s="3264">
        <f t="shared" si="206"/>
        <v>0</v>
      </c>
      <c r="F354" s="3265"/>
      <c r="G354" s="3266">
        <f t="shared" si="181"/>
        <v>0</v>
      </c>
      <c r="H354" s="3267">
        <f t="shared" si="182"/>
        <v>0</v>
      </c>
      <c r="I354" s="3275"/>
      <c r="J354" s="3275"/>
      <c r="K354" s="3275"/>
      <c r="L354" s="3275"/>
      <c r="M354" s="3275"/>
      <c r="N354" s="3275"/>
      <c r="O354" s="3275"/>
      <c r="P354" s="3275"/>
      <c r="Q354" s="3275"/>
      <c r="R354" s="3275"/>
      <c r="S354" s="3275"/>
      <c r="T354" s="3275"/>
      <c r="U354" s="3275"/>
      <c r="V354" s="3275"/>
      <c r="W354" s="3275"/>
      <c r="X354" s="3275"/>
      <c r="Y354" s="3275"/>
      <c r="Z354" s="3275"/>
      <c r="AA354" s="3275"/>
      <c r="AB354" s="3275"/>
      <c r="AC354" s="3264">
        <f t="shared" si="183"/>
        <v>0</v>
      </c>
      <c r="AD354" s="3285"/>
      <c r="AE354" s="3285"/>
      <c r="AF354" s="3285"/>
      <c r="AG354" s="3285"/>
      <c r="AH354" s="3285"/>
      <c r="AI354" s="3285"/>
      <c r="AJ354" s="3285"/>
      <c r="AK354" s="3285"/>
      <c r="AL354" s="3285"/>
      <c r="AM354" s="3285"/>
      <c r="AN354" s="3285"/>
      <c r="AO354" s="3285"/>
      <c r="AP354" s="3285"/>
      <c r="AQ354" s="3285"/>
      <c r="AR354" s="3285"/>
      <c r="AS354" s="3285"/>
      <c r="AT354" s="3295"/>
      <c r="AU354" s="3296"/>
      <c r="AV354" s="830">
        <f t="shared" si="207"/>
        <v>0</v>
      </c>
      <c r="AW354" s="830">
        <f t="shared" si="208"/>
        <v>0</v>
      </c>
      <c r="AX354" s="830">
        <f t="shared" si="209"/>
        <v>0</v>
      </c>
      <c r="AY354" s="3310">
        <f t="shared" si="184"/>
        <v>0</v>
      </c>
      <c r="AZ354" s="3264">
        <f t="shared" si="185"/>
        <v>0</v>
      </c>
      <c r="BA354" s="3264">
        <f t="shared" si="186"/>
        <v>0</v>
      </c>
      <c r="BB354" s="3264">
        <f t="shared" si="187"/>
        <v>0</v>
      </c>
      <c r="BC354" s="3264">
        <f t="shared" si="188"/>
        <v>0</v>
      </c>
      <c r="BD354" s="3264">
        <f t="shared" si="189"/>
        <v>0</v>
      </c>
      <c r="BE354" s="3264">
        <f t="shared" si="190"/>
        <v>0</v>
      </c>
      <c r="BF354" s="3264">
        <f t="shared" si="191"/>
        <v>0</v>
      </c>
      <c r="BG354" s="3264">
        <f t="shared" si="192"/>
        <v>0</v>
      </c>
      <c r="BH354" s="3264">
        <f t="shared" si="193"/>
        <v>0</v>
      </c>
      <c r="BI354" s="3264">
        <f t="shared" si="194"/>
        <v>0</v>
      </c>
      <c r="BJ354" s="3264">
        <f t="shared" si="195"/>
        <v>0</v>
      </c>
      <c r="BK354" s="3264">
        <f t="shared" si="196"/>
        <v>0</v>
      </c>
      <c r="BL354" s="3264">
        <f t="shared" si="197"/>
        <v>0</v>
      </c>
      <c r="BM354" s="3264">
        <f t="shared" si="198"/>
        <v>0</v>
      </c>
      <c r="BN354" s="3264">
        <f t="shared" si="199"/>
        <v>0</v>
      </c>
      <c r="BO354" s="3264">
        <f t="shared" si="200"/>
        <v>0</v>
      </c>
      <c r="BP354" s="3264">
        <f t="shared" si="201"/>
        <v>0</v>
      </c>
      <c r="BQ354" s="3264">
        <f t="shared" si="202"/>
        <v>0</v>
      </c>
      <c r="BR354" s="3264">
        <f t="shared" si="203"/>
        <v>0</v>
      </c>
      <c r="BS354" s="3264">
        <f t="shared" si="204"/>
        <v>0</v>
      </c>
      <c r="BT354" s="3317">
        <f t="shared" si="205"/>
        <v>0</v>
      </c>
    </row>
    <row r="355" spans="1:72">
      <c r="A355" s="3262"/>
      <c r="B355" s="3263"/>
      <c r="C355" s="3263"/>
      <c r="D355" s="3268"/>
      <c r="E355" s="3264">
        <f t="shared" si="206"/>
        <v>0</v>
      </c>
      <c r="F355" s="3265"/>
      <c r="G355" s="3266">
        <f t="shared" si="181"/>
        <v>0</v>
      </c>
      <c r="H355" s="3267">
        <f t="shared" si="182"/>
        <v>0</v>
      </c>
      <c r="I355" s="3275"/>
      <c r="J355" s="3275"/>
      <c r="K355" s="3275"/>
      <c r="L355" s="3275"/>
      <c r="M355" s="3275"/>
      <c r="N355" s="3275"/>
      <c r="O355" s="3275"/>
      <c r="P355" s="3275"/>
      <c r="Q355" s="3275"/>
      <c r="R355" s="3275"/>
      <c r="S355" s="3275"/>
      <c r="T355" s="3275"/>
      <c r="U355" s="3275"/>
      <c r="V355" s="3275"/>
      <c r="W355" s="3275"/>
      <c r="X355" s="3275"/>
      <c r="Y355" s="3275"/>
      <c r="Z355" s="3275"/>
      <c r="AA355" s="3275"/>
      <c r="AB355" s="3275"/>
      <c r="AC355" s="3264">
        <f t="shared" si="183"/>
        <v>0</v>
      </c>
      <c r="AD355" s="3285"/>
      <c r="AE355" s="3285"/>
      <c r="AF355" s="3285"/>
      <c r="AG355" s="3285"/>
      <c r="AH355" s="3285"/>
      <c r="AI355" s="3285"/>
      <c r="AJ355" s="3285"/>
      <c r="AK355" s="3285"/>
      <c r="AL355" s="3285"/>
      <c r="AM355" s="3285"/>
      <c r="AN355" s="3285"/>
      <c r="AO355" s="3285"/>
      <c r="AP355" s="3285"/>
      <c r="AQ355" s="3285"/>
      <c r="AR355" s="3285"/>
      <c r="AS355" s="3285"/>
      <c r="AT355" s="3295"/>
      <c r="AU355" s="3296"/>
      <c r="AV355" s="830">
        <f t="shared" si="207"/>
        <v>0</v>
      </c>
      <c r="AW355" s="830">
        <f t="shared" si="208"/>
        <v>0</v>
      </c>
      <c r="AX355" s="830">
        <f t="shared" si="209"/>
        <v>0</v>
      </c>
      <c r="AY355" s="3310">
        <f t="shared" si="184"/>
        <v>0</v>
      </c>
      <c r="AZ355" s="3264">
        <f t="shared" si="185"/>
        <v>0</v>
      </c>
      <c r="BA355" s="3264">
        <f t="shared" si="186"/>
        <v>0</v>
      </c>
      <c r="BB355" s="3264">
        <f t="shared" si="187"/>
        <v>0</v>
      </c>
      <c r="BC355" s="3264">
        <f t="shared" si="188"/>
        <v>0</v>
      </c>
      <c r="BD355" s="3264">
        <f t="shared" si="189"/>
        <v>0</v>
      </c>
      <c r="BE355" s="3264">
        <f t="shared" si="190"/>
        <v>0</v>
      </c>
      <c r="BF355" s="3264">
        <f t="shared" si="191"/>
        <v>0</v>
      </c>
      <c r="BG355" s="3264">
        <f t="shared" si="192"/>
        <v>0</v>
      </c>
      <c r="BH355" s="3264">
        <f t="shared" si="193"/>
        <v>0</v>
      </c>
      <c r="BI355" s="3264">
        <f t="shared" si="194"/>
        <v>0</v>
      </c>
      <c r="BJ355" s="3264">
        <f t="shared" si="195"/>
        <v>0</v>
      </c>
      <c r="BK355" s="3264">
        <f t="shared" si="196"/>
        <v>0</v>
      </c>
      <c r="BL355" s="3264">
        <f t="shared" si="197"/>
        <v>0</v>
      </c>
      <c r="BM355" s="3264">
        <f t="shared" si="198"/>
        <v>0</v>
      </c>
      <c r="BN355" s="3264">
        <f t="shared" si="199"/>
        <v>0</v>
      </c>
      <c r="BO355" s="3264">
        <f t="shared" si="200"/>
        <v>0</v>
      </c>
      <c r="BP355" s="3264">
        <f t="shared" si="201"/>
        <v>0</v>
      </c>
      <c r="BQ355" s="3264">
        <f t="shared" si="202"/>
        <v>0</v>
      </c>
      <c r="BR355" s="3264">
        <f t="shared" si="203"/>
        <v>0</v>
      </c>
      <c r="BS355" s="3264">
        <f t="shared" si="204"/>
        <v>0</v>
      </c>
      <c r="BT355" s="3317">
        <f t="shared" si="205"/>
        <v>0</v>
      </c>
    </row>
    <row r="356" spans="1:72">
      <c r="A356" s="3262"/>
      <c r="B356" s="3263"/>
      <c r="C356" s="3263"/>
      <c r="D356" s="3268"/>
      <c r="E356" s="3264">
        <f t="shared" si="206"/>
        <v>0</v>
      </c>
      <c r="F356" s="3265"/>
      <c r="G356" s="3266">
        <f t="shared" si="181"/>
        <v>0</v>
      </c>
      <c r="H356" s="3267">
        <f t="shared" si="182"/>
        <v>0</v>
      </c>
      <c r="I356" s="3275"/>
      <c r="J356" s="3275"/>
      <c r="K356" s="3275"/>
      <c r="L356" s="3275"/>
      <c r="M356" s="3275"/>
      <c r="N356" s="3275"/>
      <c r="O356" s="3275"/>
      <c r="P356" s="3275"/>
      <c r="Q356" s="3275"/>
      <c r="R356" s="3275"/>
      <c r="S356" s="3275"/>
      <c r="T356" s="3275"/>
      <c r="U356" s="3275"/>
      <c r="V356" s="3275"/>
      <c r="W356" s="3275"/>
      <c r="X356" s="3275"/>
      <c r="Y356" s="3275"/>
      <c r="Z356" s="3275"/>
      <c r="AA356" s="3275"/>
      <c r="AB356" s="3275"/>
      <c r="AC356" s="3264">
        <f t="shared" si="183"/>
        <v>0</v>
      </c>
      <c r="AD356" s="3285"/>
      <c r="AE356" s="3285"/>
      <c r="AF356" s="3285"/>
      <c r="AG356" s="3285"/>
      <c r="AH356" s="3285"/>
      <c r="AI356" s="3285"/>
      <c r="AJ356" s="3285"/>
      <c r="AK356" s="3285"/>
      <c r="AL356" s="3285"/>
      <c r="AM356" s="3285"/>
      <c r="AN356" s="3285"/>
      <c r="AO356" s="3285"/>
      <c r="AP356" s="3285"/>
      <c r="AQ356" s="3285"/>
      <c r="AR356" s="3285"/>
      <c r="AS356" s="3285"/>
      <c r="AT356" s="3295"/>
      <c r="AU356" s="3296"/>
      <c r="AV356" s="830">
        <f t="shared" si="207"/>
        <v>0</v>
      </c>
      <c r="AW356" s="830">
        <f t="shared" si="208"/>
        <v>0</v>
      </c>
      <c r="AX356" s="830">
        <f t="shared" si="209"/>
        <v>0</v>
      </c>
      <c r="AY356" s="3310">
        <f t="shared" si="184"/>
        <v>0</v>
      </c>
      <c r="AZ356" s="3264">
        <f t="shared" si="185"/>
        <v>0</v>
      </c>
      <c r="BA356" s="3264">
        <f t="shared" si="186"/>
        <v>0</v>
      </c>
      <c r="BB356" s="3264">
        <f t="shared" si="187"/>
        <v>0</v>
      </c>
      <c r="BC356" s="3264">
        <f t="shared" si="188"/>
        <v>0</v>
      </c>
      <c r="BD356" s="3264">
        <f t="shared" si="189"/>
        <v>0</v>
      </c>
      <c r="BE356" s="3264">
        <f t="shared" si="190"/>
        <v>0</v>
      </c>
      <c r="BF356" s="3264">
        <f t="shared" si="191"/>
        <v>0</v>
      </c>
      <c r="BG356" s="3264">
        <f t="shared" si="192"/>
        <v>0</v>
      </c>
      <c r="BH356" s="3264">
        <f t="shared" si="193"/>
        <v>0</v>
      </c>
      <c r="BI356" s="3264">
        <f t="shared" si="194"/>
        <v>0</v>
      </c>
      <c r="BJ356" s="3264">
        <f t="shared" si="195"/>
        <v>0</v>
      </c>
      <c r="BK356" s="3264">
        <f t="shared" si="196"/>
        <v>0</v>
      </c>
      <c r="BL356" s="3264">
        <f t="shared" si="197"/>
        <v>0</v>
      </c>
      <c r="BM356" s="3264">
        <f t="shared" si="198"/>
        <v>0</v>
      </c>
      <c r="BN356" s="3264">
        <f t="shared" si="199"/>
        <v>0</v>
      </c>
      <c r="BO356" s="3264">
        <f t="shared" si="200"/>
        <v>0</v>
      </c>
      <c r="BP356" s="3264">
        <f t="shared" si="201"/>
        <v>0</v>
      </c>
      <c r="BQ356" s="3264">
        <f t="shared" si="202"/>
        <v>0</v>
      </c>
      <c r="BR356" s="3264">
        <f t="shared" si="203"/>
        <v>0</v>
      </c>
      <c r="BS356" s="3264">
        <f t="shared" si="204"/>
        <v>0</v>
      </c>
      <c r="BT356" s="3317">
        <f t="shared" si="205"/>
        <v>0</v>
      </c>
    </row>
    <row r="357" spans="1:72">
      <c r="A357" s="3262"/>
      <c r="B357" s="3263"/>
      <c r="C357" s="3263"/>
      <c r="D357" s="3268"/>
      <c r="E357" s="3264">
        <f t="shared" si="206"/>
        <v>0</v>
      </c>
      <c r="F357" s="3265"/>
      <c r="G357" s="3266">
        <f t="shared" si="181"/>
        <v>0</v>
      </c>
      <c r="H357" s="3267">
        <f t="shared" si="182"/>
        <v>0</v>
      </c>
      <c r="I357" s="3275"/>
      <c r="J357" s="3275"/>
      <c r="K357" s="3275"/>
      <c r="L357" s="3275"/>
      <c r="M357" s="3275"/>
      <c r="N357" s="3275"/>
      <c r="O357" s="3275"/>
      <c r="P357" s="3275"/>
      <c r="Q357" s="3275"/>
      <c r="R357" s="3275"/>
      <c r="S357" s="3275"/>
      <c r="T357" s="3275"/>
      <c r="U357" s="3275"/>
      <c r="V357" s="3275"/>
      <c r="W357" s="3275"/>
      <c r="X357" s="3275"/>
      <c r="Y357" s="3275"/>
      <c r="Z357" s="3275"/>
      <c r="AA357" s="3275"/>
      <c r="AB357" s="3275"/>
      <c r="AC357" s="3264">
        <f t="shared" si="183"/>
        <v>0</v>
      </c>
      <c r="AD357" s="3285"/>
      <c r="AE357" s="3285"/>
      <c r="AF357" s="3285"/>
      <c r="AG357" s="3285"/>
      <c r="AH357" s="3285"/>
      <c r="AI357" s="3285"/>
      <c r="AJ357" s="3285"/>
      <c r="AK357" s="3285"/>
      <c r="AL357" s="3285"/>
      <c r="AM357" s="3285"/>
      <c r="AN357" s="3285"/>
      <c r="AO357" s="3285"/>
      <c r="AP357" s="3285"/>
      <c r="AQ357" s="3285"/>
      <c r="AR357" s="3285"/>
      <c r="AS357" s="3285"/>
      <c r="AT357" s="3295"/>
      <c r="AU357" s="3296"/>
      <c r="AV357" s="830">
        <f t="shared" si="207"/>
        <v>0</v>
      </c>
      <c r="AW357" s="830">
        <f t="shared" si="208"/>
        <v>0</v>
      </c>
      <c r="AX357" s="830">
        <f t="shared" si="209"/>
        <v>0</v>
      </c>
      <c r="AY357" s="3310">
        <f t="shared" si="184"/>
        <v>0</v>
      </c>
      <c r="AZ357" s="3264">
        <f t="shared" si="185"/>
        <v>0</v>
      </c>
      <c r="BA357" s="3264">
        <f t="shared" si="186"/>
        <v>0</v>
      </c>
      <c r="BB357" s="3264">
        <f t="shared" si="187"/>
        <v>0</v>
      </c>
      <c r="BC357" s="3264">
        <f t="shared" si="188"/>
        <v>0</v>
      </c>
      <c r="BD357" s="3264">
        <f t="shared" si="189"/>
        <v>0</v>
      </c>
      <c r="BE357" s="3264">
        <f t="shared" si="190"/>
        <v>0</v>
      </c>
      <c r="BF357" s="3264">
        <f t="shared" si="191"/>
        <v>0</v>
      </c>
      <c r="BG357" s="3264">
        <f t="shared" si="192"/>
        <v>0</v>
      </c>
      <c r="BH357" s="3264">
        <f t="shared" si="193"/>
        <v>0</v>
      </c>
      <c r="BI357" s="3264">
        <f t="shared" si="194"/>
        <v>0</v>
      </c>
      <c r="BJ357" s="3264">
        <f t="shared" si="195"/>
        <v>0</v>
      </c>
      <c r="BK357" s="3264">
        <f t="shared" si="196"/>
        <v>0</v>
      </c>
      <c r="BL357" s="3264">
        <f t="shared" si="197"/>
        <v>0</v>
      </c>
      <c r="BM357" s="3264">
        <f t="shared" si="198"/>
        <v>0</v>
      </c>
      <c r="BN357" s="3264">
        <f t="shared" si="199"/>
        <v>0</v>
      </c>
      <c r="BO357" s="3264">
        <f t="shared" si="200"/>
        <v>0</v>
      </c>
      <c r="BP357" s="3264">
        <f t="shared" si="201"/>
        <v>0</v>
      </c>
      <c r="BQ357" s="3264">
        <f t="shared" si="202"/>
        <v>0</v>
      </c>
      <c r="BR357" s="3264">
        <f t="shared" si="203"/>
        <v>0</v>
      </c>
      <c r="BS357" s="3264">
        <f t="shared" si="204"/>
        <v>0</v>
      </c>
      <c r="BT357" s="3317">
        <f t="shared" si="205"/>
        <v>0</v>
      </c>
    </row>
    <row r="358" spans="1:72">
      <c r="A358" s="3262"/>
      <c r="B358" s="3263"/>
      <c r="C358" s="3263"/>
      <c r="D358" s="3268"/>
      <c r="E358" s="3264">
        <f t="shared" si="206"/>
        <v>0</v>
      </c>
      <c r="F358" s="3265"/>
      <c r="G358" s="3266">
        <f t="shared" si="181"/>
        <v>0</v>
      </c>
      <c r="H358" s="3267">
        <f t="shared" si="182"/>
        <v>0</v>
      </c>
      <c r="I358" s="3275"/>
      <c r="J358" s="3275"/>
      <c r="K358" s="3275"/>
      <c r="L358" s="3275"/>
      <c r="M358" s="3275"/>
      <c r="N358" s="3275"/>
      <c r="O358" s="3275"/>
      <c r="P358" s="3275"/>
      <c r="Q358" s="3275"/>
      <c r="R358" s="3275"/>
      <c r="S358" s="3275"/>
      <c r="T358" s="3275"/>
      <c r="U358" s="3275"/>
      <c r="V358" s="3275"/>
      <c r="W358" s="3275"/>
      <c r="X358" s="3275"/>
      <c r="Y358" s="3275"/>
      <c r="Z358" s="3275"/>
      <c r="AA358" s="3275"/>
      <c r="AB358" s="3275"/>
      <c r="AC358" s="3264">
        <f t="shared" si="183"/>
        <v>0</v>
      </c>
      <c r="AD358" s="3285"/>
      <c r="AE358" s="3285"/>
      <c r="AF358" s="3285"/>
      <c r="AG358" s="3285"/>
      <c r="AH358" s="3285"/>
      <c r="AI358" s="3285"/>
      <c r="AJ358" s="3285"/>
      <c r="AK358" s="3285"/>
      <c r="AL358" s="3285"/>
      <c r="AM358" s="3285"/>
      <c r="AN358" s="3285"/>
      <c r="AO358" s="3285"/>
      <c r="AP358" s="3285"/>
      <c r="AQ358" s="3285"/>
      <c r="AR358" s="3285"/>
      <c r="AS358" s="3285"/>
      <c r="AT358" s="3295"/>
      <c r="AU358" s="3296"/>
      <c r="AV358" s="830">
        <f t="shared" si="207"/>
        <v>0</v>
      </c>
      <c r="AW358" s="830">
        <f t="shared" si="208"/>
        <v>0</v>
      </c>
      <c r="AX358" s="830">
        <f t="shared" si="209"/>
        <v>0</v>
      </c>
      <c r="AY358" s="3310">
        <f t="shared" si="184"/>
        <v>0</v>
      </c>
      <c r="AZ358" s="3264">
        <f t="shared" si="185"/>
        <v>0</v>
      </c>
      <c r="BA358" s="3264">
        <f t="shared" si="186"/>
        <v>0</v>
      </c>
      <c r="BB358" s="3264">
        <f t="shared" si="187"/>
        <v>0</v>
      </c>
      <c r="BC358" s="3264">
        <f t="shared" si="188"/>
        <v>0</v>
      </c>
      <c r="BD358" s="3264">
        <f t="shared" si="189"/>
        <v>0</v>
      </c>
      <c r="BE358" s="3264">
        <f t="shared" si="190"/>
        <v>0</v>
      </c>
      <c r="BF358" s="3264">
        <f t="shared" si="191"/>
        <v>0</v>
      </c>
      <c r="BG358" s="3264">
        <f t="shared" si="192"/>
        <v>0</v>
      </c>
      <c r="BH358" s="3264">
        <f t="shared" si="193"/>
        <v>0</v>
      </c>
      <c r="BI358" s="3264">
        <f t="shared" si="194"/>
        <v>0</v>
      </c>
      <c r="BJ358" s="3264">
        <f t="shared" si="195"/>
        <v>0</v>
      </c>
      <c r="BK358" s="3264">
        <f t="shared" si="196"/>
        <v>0</v>
      </c>
      <c r="BL358" s="3264">
        <f t="shared" si="197"/>
        <v>0</v>
      </c>
      <c r="BM358" s="3264">
        <f t="shared" si="198"/>
        <v>0</v>
      </c>
      <c r="BN358" s="3264">
        <f t="shared" si="199"/>
        <v>0</v>
      </c>
      <c r="BO358" s="3264">
        <f t="shared" si="200"/>
        <v>0</v>
      </c>
      <c r="BP358" s="3264">
        <f t="shared" si="201"/>
        <v>0</v>
      </c>
      <c r="BQ358" s="3264">
        <f t="shared" si="202"/>
        <v>0</v>
      </c>
      <c r="BR358" s="3264">
        <f t="shared" si="203"/>
        <v>0</v>
      </c>
      <c r="BS358" s="3264">
        <f t="shared" si="204"/>
        <v>0</v>
      </c>
      <c r="BT358" s="3317">
        <f t="shared" si="205"/>
        <v>0</v>
      </c>
    </row>
    <row r="359" spans="1:72">
      <c r="A359" s="3262"/>
      <c r="B359" s="3263"/>
      <c r="C359" s="3263"/>
      <c r="D359" s="3268"/>
      <c r="E359" s="3264">
        <f t="shared" si="206"/>
        <v>0</v>
      </c>
      <c r="F359" s="3265"/>
      <c r="G359" s="3266">
        <f t="shared" si="181"/>
        <v>0</v>
      </c>
      <c r="H359" s="3267">
        <f t="shared" si="182"/>
        <v>0</v>
      </c>
      <c r="I359" s="3275"/>
      <c r="J359" s="3275"/>
      <c r="K359" s="3275"/>
      <c r="L359" s="3275"/>
      <c r="M359" s="3275"/>
      <c r="N359" s="3275"/>
      <c r="O359" s="3275"/>
      <c r="P359" s="3275"/>
      <c r="Q359" s="3275"/>
      <c r="R359" s="3275"/>
      <c r="S359" s="3275"/>
      <c r="T359" s="3275"/>
      <c r="U359" s="3275"/>
      <c r="V359" s="3275"/>
      <c r="W359" s="3275"/>
      <c r="X359" s="3275"/>
      <c r="Y359" s="3275"/>
      <c r="Z359" s="3275"/>
      <c r="AA359" s="3275"/>
      <c r="AB359" s="3275"/>
      <c r="AC359" s="3264">
        <f t="shared" si="183"/>
        <v>0</v>
      </c>
      <c r="AD359" s="3285"/>
      <c r="AE359" s="3285"/>
      <c r="AF359" s="3285"/>
      <c r="AG359" s="3285"/>
      <c r="AH359" s="3285"/>
      <c r="AI359" s="3285"/>
      <c r="AJ359" s="3285"/>
      <c r="AK359" s="3285"/>
      <c r="AL359" s="3285"/>
      <c r="AM359" s="3285"/>
      <c r="AN359" s="3285"/>
      <c r="AO359" s="3285"/>
      <c r="AP359" s="3285"/>
      <c r="AQ359" s="3285"/>
      <c r="AR359" s="3285"/>
      <c r="AS359" s="3285"/>
      <c r="AT359" s="3295"/>
      <c r="AU359" s="3296"/>
      <c r="AV359" s="830">
        <f t="shared" si="207"/>
        <v>0</v>
      </c>
      <c r="AW359" s="830">
        <f t="shared" si="208"/>
        <v>0</v>
      </c>
      <c r="AX359" s="830">
        <f t="shared" si="209"/>
        <v>0</v>
      </c>
      <c r="AY359" s="3310">
        <f t="shared" si="184"/>
        <v>0</v>
      </c>
      <c r="AZ359" s="3264">
        <f t="shared" si="185"/>
        <v>0</v>
      </c>
      <c r="BA359" s="3264">
        <f t="shared" si="186"/>
        <v>0</v>
      </c>
      <c r="BB359" s="3264">
        <f t="shared" si="187"/>
        <v>0</v>
      </c>
      <c r="BC359" s="3264">
        <f t="shared" si="188"/>
        <v>0</v>
      </c>
      <c r="BD359" s="3264">
        <f t="shared" si="189"/>
        <v>0</v>
      </c>
      <c r="BE359" s="3264">
        <f t="shared" si="190"/>
        <v>0</v>
      </c>
      <c r="BF359" s="3264">
        <f t="shared" si="191"/>
        <v>0</v>
      </c>
      <c r="BG359" s="3264">
        <f t="shared" si="192"/>
        <v>0</v>
      </c>
      <c r="BH359" s="3264">
        <f t="shared" si="193"/>
        <v>0</v>
      </c>
      <c r="BI359" s="3264">
        <f t="shared" si="194"/>
        <v>0</v>
      </c>
      <c r="BJ359" s="3264">
        <f t="shared" si="195"/>
        <v>0</v>
      </c>
      <c r="BK359" s="3264">
        <f t="shared" si="196"/>
        <v>0</v>
      </c>
      <c r="BL359" s="3264">
        <f t="shared" si="197"/>
        <v>0</v>
      </c>
      <c r="BM359" s="3264">
        <f t="shared" si="198"/>
        <v>0</v>
      </c>
      <c r="BN359" s="3264">
        <f t="shared" si="199"/>
        <v>0</v>
      </c>
      <c r="BO359" s="3264">
        <f t="shared" si="200"/>
        <v>0</v>
      </c>
      <c r="BP359" s="3264">
        <f t="shared" si="201"/>
        <v>0</v>
      </c>
      <c r="BQ359" s="3264">
        <f t="shared" si="202"/>
        <v>0</v>
      </c>
      <c r="BR359" s="3264">
        <f t="shared" si="203"/>
        <v>0</v>
      </c>
      <c r="BS359" s="3264">
        <f t="shared" si="204"/>
        <v>0</v>
      </c>
      <c r="BT359" s="3317">
        <f t="shared" si="205"/>
        <v>0</v>
      </c>
    </row>
    <row r="360" spans="1:72">
      <c r="A360" s="3262"/>
      <c r="B360" s="3263"/>
      <c r="C360" s="3263"/>
      <c r="D360" s="3268"/>
      <c r="E360" s="3264">
        <f t="shared" si="206"/>
        <v>0</v>
      </c>
      <c r="F360" s="3265"/>
      <c r="G360" s="3266">
        <f t="shared" si="181"/>
        <v>0</v>
      </c>
      <c r="H360" s="3267">
        <f t="shared" si="182"/>
        <v>0</v>
      </c>
      <c r="I360" s="3275"/>
      <c r="J360" s="3275"/>
      <c r="K360" s="3275"/>
      <c r="L360" s="3275"/>
      <c r="M360" s="3275"/>
      <c r="N360" s="3275"/>
      <c r="O360" s="3275"/>
      <c r="P360" s="3275"/>
      <c r="Q360" s="3275"/>
      <c r="R360" s="3275"/>
      <c r="S360" s="3275"/>
      <c r="T360" s="3275"/>
      <c r="U360" s="3275"/>
      <c r="V360" s="3275"/>
      <c r="W360" s="3275"/>
      <c r="X360" s="3275"/>
      <c r="Y360" s="3275"/>
      <c r="Z360" s="3275"/>
      <c r="AA360" s="3275"/>
      <c r="AB360" s="3275"/>
      <c r="AC360" s="3264">
        <f t="shared" si="183"/>
        <v>0</v>
      </c>
      <c r="AD360" s="3285"/>
      <c r="AE360" s="3285"/>
      <c r="AF360" s="3285"/>
      <c r="AG360" s="3285"/>
      <c r="AH360" s="3285"/>
      <c r="AI360" s="3285"/>
      <c r="AJ360" s="3285"/>
      <c r="AK360" s="3285"/>
      <c r="AL360" s="3285"/>
      <c r="AM360" s="3285"/>
      <c r="AN360" s="3285"/>
      <c r="AO360" s="3285"/>
      <c r="AP360" s="3285"/>
      <c r="AQ360" s="3285"/>
      <c r="AR360" s="3285"/>
      <c r="AS360" s="3285"/>
      <c r="AT360" s="3295"/>
      <c r="AU360" s="3296"/>
      <c r="AV360" s="830">
        <f t="shared" si="207"/>
        <v>0</v>
      </c>
      <c r="AW360" s="830">
        <f t="shared" si="208"/>
        <v>0</v>
      </c>
      <c r="AX360" s="830">
        <f t="shared" si="209"/>
        <v>0</v>
      </c>
      <c r="AY360" s="3310">
        <f t="shared" si="184"/>
        <v>0</v>
      </c>
      <c r="AZ360" s="3264">
        <f t="shared" si="185"/>
        <v>0</v>
      </c>
      <c r="BA360" s="3264">
        <f t="shared" si="186"/>
        <v>0</v>
      </c>
      <c r="BB360" s="3264">
        <f t="shared" si="187"/>
        <v>0</v>
      </c>
      <c r="BC360" s="3264">
        <f t="shared" si="188"/>
        <v>0</v>
      </c>
      <c r="BD360" s="3264">
        <f t="shared" si="189"/>
        <v>0</v>
      </c>
      <c r="BE360" s="3264">
        <f t="shared" si="190"/>
        <v>0</v>
      </c>
      <c r="BF360" s="3264">
        <f t="shared" si="191"/>
        <v>0</v>
      </c>
      <c r="BG360" s="3264">
        <f t="shared" si="192"/>
        <v>0</v>
      </c>
      <c r="BH360" s="3264">
        <f t="shared" si="193"/>
        <v>0</v>
      </c>
      <c r="BI360" s="3264">
        <f t="shared" si="194"/>
        <v>0</v>
      </c>
      <c r="BJ360" s="3264">
        <f t="shared" si="195"/>
        <v>0</v>
      </c>
      <c r="BK360" s="3264">
        <f t="shared" si="196"/>
        <v>0</v>
      </c>
      <c r="BL360" s="3264">
        <f t="shared" si="197"/>
        <v>0</v>
      </c>
      <c r="BM360" s="3264">
        <f t="shared" si="198"/>
        <v>0</v>
      </c>
      <c r="BN360" s="3264">
        <f t="shared" si="199"/>
        <v>0</v>
      </c>
      <c r="BO360" s="3264">
        <f t="shared" si="200"/>
        <v>0</v>
      </c>
      <c r="BP360" s="3264">
        <f t="shared" si="201"/>
        <v>0</v>
      </c>
      <c r="BQ360" s="3264">
        <f t="shared" si="202"/>
        <v>0</v>
      </c>
      <c r="BR360" s="3264">
        <f t="shared" si="203"/>
        <v>0</v>
      </c>
      <c r="BS360" s="3264">
        <f t="shared" si="204"/>
        <v>0</v>
      </c>
      <c r="BT360" s="3317">
        <f t="shared" si="205"/>
        <v>0</v>
      </c>
    </row>
    <row r="361" spans="1:72">
      <c r="A361" s="3262"/>
      <c r="B361" s="3263"/>
      <c r="C361" s="3263"/>
      <c r="D361" s="3268"/>
      <c r="E361" s="3264">
        <f t="shared" si="206"/>
        <v>0</v>
      </c>
      <c r="F361" s="3265"/>
      <c r="G361" s="3266">
        <f t="shared" si="181"/>
        <v>0</v>
      </c>
      <c r="H361" s="3267">
        <f t="shared" si="182"/>
        <v>0</v>
      </c>
      <c r="I361" s="3275"/>
      <c r="J361" s="3275"/>
      <c r="K361" s="3275"/>
      <c r="L361" s="3275"/>
      <c r="M361" s="3275"/>
      <c r="N361" s="3275"/>
      <c r="O361" s="3275"/>
      <c r="P361" s="3275"/>
      <c r="Q361" s="3275"/>
      <c r="R361" s="3275"/>
      <c r="S361" s="3275"/>
      <c r="T361" s="3275"/>
      <c r="U361" s="3275"/>
      <c r="V361" s="3275"/>
      <c r="W361" s="3275"/>
      <c r="X361" s="3275"/>
      <c r="Y361" s="3275"/>
      <c r="Z361" s="3275"/>
      <c r="AA361" s="3275"/>
      <c r="AB361" s="3275"/>
      <c r="AC361" s="3264">
        <f t="shared" si="183"/>
        <v>0</v>
      </c>
      <c r="AD361" s="3285"/>
      <c r="AE361" s="3285"/>
      <c r="AF361" s="3285"/>
      <c r="AG361" s="3285"/>
      <c r="AH361" s="3285"/>
      <c r="AI361" s="3285"/>
      <c r="AJ361" s="3285"/>
      <c r="AK361" s="3285"/>
      <c r="AL361" s="3285"/>
      <c r="AM361" s="3285"/>
      <c r="AN361" s="3285"/>
      <c r="AO361" s="3285"/>
      <c r="AP361" s="3285"/>
      <c r="AQ361" s="3285"/>
      <c r="AR361" s="3285"/>
      <c r="AS361" s="3285"/>
      <c r="AT361" s="3295"/>
      <c r="AU361" s="3296"/>
      <c r="AV361" s="830">
        <f t="shared" si="207"/>
        <v>0</v>
      </c>
      <c r="AW361" s="830">
        <f t="shared" si="208"/>
        <v>0</v>
      </c>
      <c r="AX361" s="830">
        <f t="shared" si="209"/>
        <v>0</v>
      </c>
      <c r="AY361" s="3310">
        <f t="shared" si="184"/>
        <v>0</v>
      </c>
      <c r="AZ361" s="3264">
        <f t="shared" si="185"/>
        <v>0</v>
      </c>
      <c r="BA361" s="3264">
        <f t="shared" si="186"/>
        <v>0</v>
      </c>
      <c r="BB361" s="3264">
        <f t="shared" si="187"/>
        <v>0</v>
      </c>
      <c r="BC361" s="3264">
        <f t="shared" si="188"/>
        <v>0</v>
      </c>
      <c r="BD361" s="3264">
        <f t="shared" si="189"/>
        <v>0</v>
      </c>
      <c r="BE361" s="3264">
        <f t="shared" si="190"/>
        <v>0</v>
      </c>
      <c r="BF361" s="3264">
        <f t="shared" si="191"/>
        <v>0</v>
      </c>
      <c r="BG361" s="3264">
        <f t="shared" si="192"/>
        <v>0</v>
      </c>
      <c r="BH361" s="3264">
        <f t="shared" si="193"/>
        <v>0</v>
      </c>
      <c r="BI361" s="3264">
        <f t="shared" si="194"/>
        <v>0</v>
      </c>
      <c r="BJ361" s="3264">
        <f t="shared" si="195"/>
        <v>0</v>
      </c>
      <c r="BK361" s="3264">
        <f t="shared" si="196"/>
        <v>0</v>
      </c>
      <c r="BL361" s="3264">
        <f t="shared" si="197"/>
        <v>0</v>
      </c>
      <c r="BM361" s="3264">
        <f t="shared" si="198"/>
        <v>0</v>
      </c>
      <c r="BN361" s="3264">
        <f t="shared" si="199"/>
        <v>0</v>
      </c>
      <c r="BO361" s="3264">
        <f t="shared" si="200"/>
        <v>0</v>
      </c>
      <c r="BP361" s="3264">
        <f t="shared" si="201"/>
        <v>0</v>
      </c>
      <c r="BQ361" s="3264">
        <f t="shared" si="202"/>
        <v>0</v>
      </c>
      <c r="BR361" s="3264">
        <f t="shared" si="203"/>
        <v>0</v>
      </c>
      <c r="BS361" s="3264">
        <f t="shared" si="204"/>
        <v>0</v>
      </c>
      <c r="BT361" s="3317">
        <f t="shared" si="205"/>
        <v>0</v>
      </c>
    </row>
    <row r="362" spans="1:72">
      <c r="A362" s="3262"/>
      <c r="B362" s="3263"/>
      <c r="C362" s="3263"/>
      <c r="D362" s="3268"/>
      <c r="E362" s="3264">
        <f t="shared" si="206"/>
        <v>0</v>
      </c>
      <c r="F362" s="3265"/>
      <c r="G362" s="3266">
        <f t="shared" si="181"/>
        <v>0</v>
      </c>
      <c r="H362" s="3267">
        <f t="shared" si="182"/>
        <v>0</v>
      </c>
      <c r="I362" s="3275"/>
      <c r="J362" s="3275"/>
      <c r="K362" s="3275"/>
      <c r="L362" s="3275"/>
      <c r="M362" s="3275"/>
      <c r="N362" s="3275"/>
      <c r="O362" s="3275"/>
      <c r="P362" s="3275"/>
      <c r="Q362" s="3275"/>
      <c r="R362" s="3275"/>
      <c r="S362" s="3275"/>
      <c r="T362" s="3275"/>
      <c r="U362" s="3275"/>
      <c r="V362" s="3275"/>
      <c r="W362" s="3275"/>
      <c r="X362" s="3275"/>
      <c r="Y362" s="3275"/>
      <c r="Z362" s="3275"/>
      <c r="AA362" s="3275"/>
      <c r="AB362" s="3275"/>
      <c r="AC362" s="3264">
        <f t="shared" si="183"/>
        <v>0</v>
      </c>
      <c r="AD362" s="3285"/>
      <c r="AE362" s="3285"/>
      <c r="AF362" s="3285"/>
      <c r="AG362" s="3285"/>
      <c r="AH362" s="3285"/>
      <c r="AI362" s="3285"/>
      <c r="AJ362" s="3285"/>
      <c r="AK362" s="3285"/>
      <c r="AL362" s="3285"/>
      <c r="AM362" s="3285"/>
      <c r="AN362" s="3285"/>
      <c r="AO362" s="3285"/>
      <c r="AP362" s="3285"/>
      <c r="AQ362" s="3285"/>
      <c r="AR362" s="3285"/>
      <c r="AS362" s="3285"/>
      <c r="AT362" s="3295"/>
      <c r="AU362" s="3296"/>
      <c r="AV362" s="830">
        <f t="shared" si="207"/>
        <v>0</v>
      </c>
      <c r="AW362" s="830">
        <f t="shared" si="208"/>
        <v>0</v>
      </c>
      <c r="AX362" s="830">
        <f t="shared" si="209"/>
        <v>0</v>
      </c>
      <c r="AY362" s="3310">
        <f t="shared" si="184"/>
        <v>0</v>
      </c>
      <c r="AZ362" s="3264">
        <f t="shared" si="185"/>
        <v>0</v>
      </c>
      <c r="BA362" s="3264">
        <f t="shared" si="186"/>
        <v>0</v>
      </c>
      <c r="BB362" s="3264">
        <f t="shared" si="187"/>
        <v>0</v>
      </c>
      <c r="BC362" s="3264">
        <f t="shared" si="188"/>
        <v>0</v>
      </c>
      <c r="BD362" s="3264">
        <f t="shared" si="189"/>
        <v>0</v>
      </c>
      <c r="BE362" s="3264">
        <f t="shared" si="190"/>
        <v>0</v>
      </c>
      <c r="BF362" s="3264">
        <f t="shared" si="191"/>
        <v>0</v>
      </c>
      <c r="BG362" s="3264">
        <f t="shared" si="192"/>
        <v>0</v>
      </c>
      <c r="BH362" s="3264">
        <f t="shared" si="193"/>
        <v>0</v>
      </c>
      <c r="BI362" s="3264">
        <f t="shared" si="194"/>
        <v>0</v>
      </c>
      <c r="BJ362" s="3264">
        <f t="shared" si="195"/>
        <v>0</v>
      </c>
      <c r="BK362" s="3264">
        <f t="shared" si="196"/>
        <v>0</v>
      </c>
      <c r="BL362" s="3264">
        <f t="shared" si="197"/>
        <v>0</v>
      </c>
      <c r="BM362" s="3264">
        <f t="shared" si="198"/>
        <v>0</v>
      </c>
      <c r="BN362" s="3264">
        <f t="shared" si="199"/>
        <v>0</v>
      </c>
      <c r="BO362" s="3264">
        <f t="shared" si="200"/>
        <v>0</v>
      </c>
      <c r="BP362" s="3264">
        <f t="shared" si="201"/>
        <v>0</v>
      </c>
      <c r="BQ362" s="3264">
        <f t="shared" si="202"/>
        <v>0</v>
      </c>
      <c r="BR362" s="3264">
        <f t="shared" si="203"/>
        <v>0</v>
      </c>
      <c r="BS362" s="3264">
        <f t="shared" si="204"/>
        <v>0</v>
      </c>
      <c r="BT362" s="3317">
        <f t="shared" si="205"/>
        <v>0</v>
      </c>
    </row>
    <row r="363" spans="1:72">
      <c r="A363" s="3262"/>
      <c r="B363" s="3263"/>
      <c r="C363" s="3263"/>
      <c r="D363" s="3268"/>
      <c r="E363" s="3264">
        <f t="shared" si="206"/>
        <v>0</v>
      </c>
      <c r="F363" s="3265"/>
      <c r="G363" s="3266">
        <f t="shared" si="181"/>
        <v>0</v>
      </c>
      <c r="H363" s="3267">
        <f t="shared" si="182"/>
        <v>0</v>
      </c>
      <c r="I363" s="3275"/>
      <c r="J363" s="3275"/>
      <c r="K363" s="3275"/>
      <c r="L363" s="3275"/>
      <c r="M363" s="3275"/>
      <c r="N363" s="3275"/>
      <c r="O363" s="3275"/>
      <c r="P363" s="3275"/>
      <c r="Q363" s="3275"/>
      <c r="R363" s="3275"/>
      <c r="S363" s="3275"/>
      <c r="T363" s="3275"/>
      <c r="U363" s="3275"/>
      <c r="V363" s="3275"/>
      <c r="W363" s="3275"/>
      <c r="X363" s="3275"/>
      <c r="Y363" s="3275"/>
      <c r="Z363" s="3275"/>
      <c r="AA363" s="3275"/>
      <c r="AB363" s="3275"/>
      <c r="AC363" s="3264">
        <f t="shared" si="183"/>
        <v>0</v>
      </c>
      <c r="AD363" s="3285"/>
      <c r="AE363" s="3285"/>
      <c r="AF363" s="3285"/>
      <c r="AG363" s="3285"/>
      <c r="AH363" s="3285"/>
      <c r="AI363" s="3285"/>
      <c r="AJ363" s="3285"/>
      <c r="AK363" s="3285"/>
      <c r="AL363" s="3285"/>
      <c r="AM363" s="3285"/>
      <c r="AN363" s="3285"/>
      <c r="AO363" s="3285"/>
      <c r="AP363" s="3285"/>
      <c r="AQ363" s="3285"/>
      <c r="AR363" s="3285"/>
      <c r="AS363" s="3285"/>
      <c r="AT363" s="3295"/>
      <c r="AU363" s="3296"/>
      <c r="AV363" s="830">
        <f t="shared" si="207"/>
        <v>0</v>
      </c>
      <c r="AW363" s="830">
        <f t="shared" si="208"/>
        <v>0</v>
      </c>
      <c r="AX363" s="830">
        <f t="shared" si="209"/>
        <v>0</v>
      </c>
      <c r="AY363" s="3310">
        <f t="shared" si="184"/>
        <v>0</v>
      </c>
      <c r="AZ363" s="3264">
        <f t="shared" si="185"/>
        <v>0</v>
      </c>
      <c r="BA363" s="3264">
        <f t="shared" si="186"/>
        <v>0</v>
      </c>
      <c r="BB363" s="3264">
        <f t="shared" si="187"/>
        <v>0</v>
      </c>
      <c r="BC363" s="3264">
        <f t="shared" si="188"/>
        <v>0</v>
      </c>
      <c r="BD363" s="3264">
        <f t="shared" si="189"/>
        <v>0</v>
      </c>
      <c r="BE363" s="3264">
        <f t="shared" si="190"/>
        <v>0</v>
      </c>
      <c r="BF363" s="3264">
        <f t="shared" si="191"/>
        <v>0</v>
      </c>
      <c r="BG363" s="3264">
        <f t="shared" si="192"/>
        <v>0</v>
      </c>
      <c r="BH363" s="3264">
        <f t="shared" si="193"/>
        <v>0</v>
      </c>
      <c r="BI363" s="3264">
        <f t="shared" si="194"/>
        <v>0</v>
      </c>
      <c r="BJ363" s="3264">
        <f t="shared" si="195"/>
        <v>0</v>
      </c>
      <c r="BK363" s="3264">
        <f t="shared" si="196"/>
        <v>0</v>
      </c>
      <c r="BL363" s="3264">
        <f t="shared" si="197"/>
        <v>0</v>
      </c>
      <c r="BM363" s="3264">
        <f t="shared" si="198"/>
        <v>0</v>
      </c>
      <c r="BN363" s="3264">
        <f t="shared" si="199"/>
        <v>0</v>
      </c>
      <c r="BO363" s="3264">
        <f t="shared" si="200"/>
        <v>0</v>
      </c>
      <c r="BP363" s="3264">
        <f t="shared" si="201"/>
        <v>0</v>
      </c>
      <c r="BQ363" s="3264">
        <f t="shared" si="202"/>
        <v>0</v>
      </c>
      <c r="BR363" s="3264">
        <f t="shared" si="203"/>
        <v>0</v>
      </c>
      <c r="BS363" s="3264">
        <f t="shared" si="204"/>
        <v>0</v>
      </c>
      <c r="BT363" s="3317">
        <f t="shared" si="205"/>
        <v>0</v>
      </c>
    </row>
    <row r="364" spans="1:72">
      <c r="A364" s="3262"/>
      <c r="B364" s="3263"/>
      <c r="C364" s="3263"/>
      <c r="D364" s="3268"/>
      <c r="E364" s="3264">
        <f t="shared" si="206"/>
        <v>0</v>
      </c>
      <c r="F364" s="3265"/>
      <c r="G364" s="3266">
        <f t="shared" ref="G364:G397" si="210">H364+AC364+AT364</f>
        <v>0</v>
      </c>
      <c r="H364" s="3267">
        <f t="shared" ref="H364:H397" si="211">SUMIF(I$12:AB$12,"总值",I364:AB364)</f>
        <v>0</v>
      </c>
      <c r="I364" s="3275"/>
      <c r="J364" s="3275"/>
      <c r="K364" s="3275"/>
      <c r="L364" s="3275"/>
      <c r="M364" s="3275"/>
      <c r="N364" s="3275"/>
      <c r="O364" s="3275"/>
      <c r="P364" s="3275"/>
      <c r="Q364" s="3275"/>
      <c r="R364" s="3275"/>
      <c r="S364" s="3275"/>
      <c r="T364" s="3275"/>
      <c r="U364" s="3275"/>
      <c r="V364" s="3275"/>
      <c r="W364" s="3275"/>
      <c r="X364" s="3275"/>
      <c r="Y364" s="3275"/>
      <c r="Z364" s="3275"/>
      <c r="AA364" s="3275"/>
      <c r="AB364" s="3275"/>
      <c r="AC364" s="3264">
        <f t="shared" ref="AC364:AC397" si="212">SUMIF(AD$12:AS$12,"总值",AD364:AS364)</f>
        <v>0</v>
      </c>
      <c r="AD364" s="3285"/>
      <c r="AE364" s="3285"/>
      <c r="AF364" s="3285"/>
      <c r="AG364" s="3285"/>
      <c r="AH364" s="3285"/>
      <c r="AI364" s="3285"/>
      <c r="AJ364" s="3285"/>
      <c r="AK364" s="3285"/>
      <c r="AL364" s="3285"/>
      <c r="AM364" s="3285"/>
      <c r="AN364" s="3285"/>
      <c r="AO364" s="3285"/>
      <c r="AP364" s="3285"/>
      <c r="AQ364" s="3285"/>
      <c r="AR364" s="3285"/>
      <c r="AS364" s="3285"/>
      <c r="AT364" s="3295"/>
      <c r="AU364" s="3296"/>
      <c r="AV364" s="830">
        <f t="shared" si="207"/>
        <v>0</v>
      </c>
      <c r="AW364" s="830">
        <f t="shared" si="208"/>
        <v>0</v>
      </c>
      <c r="AX364" s="830">
        <f t="shared" si="209"/>
        <v>0</v>
      </c>
      <c r="AY364" s="3310">
        <f t="shared" ref="AY364:AY397" si="213">ROUND($AY$6*AZ364/$AZ$5,2)</f>
        <v>0</v>
      </c>
      <c r="AZ364" s="3264">
        <f t="shared" ref="AZ364:AZ397" si="214">BA364+BL364</f>
        <v>0</v>
      </c>
      <c r="BA364" s="3264">
        <f t="shared" ref="BA364:BA397" si="215">SUM(BB364:BK364)</f>
        <v>0</v>
      </c>
      <c r="BB364" s="3264">
        <f t="shared" ref="BB364:BB397" si="216">IF($D364="是",I364-J364,0)</f>
        <v>0</v>
      </c>
      <c r="BC364" s="3264">
        <f t="shared" ref="BC364:BC397" si="217">IF($D364="是",K364-L364,0)</f>
        <v>0</v>
      </c>
      <c r="BD364" s="3264">
        <f t="shared" ref="BD364:BD397" si="218">IF($D364="是",M364-N364,0)</f>
        <v>0</v>
      </c>
      <c r="BE364" s="3264">
        <f t="shared" ref="BE364:BE397" si="219">IF($D364="是",O364-P364,0)</f>
        <v>0</v>
      </c>
      <c r="BF364" s="3264">
        <f t="shared" ref="BF364:BF397" si="220">IF($D364="是",Q364-R364,0)</f>
        <v>0</v>
      </c>
      <c r="BG364" s="3264">
        <f t="shared" ref="BG364:BG397" si="221">IF($D364="是",S364-T364,0)</f>
        <v>0</v>
      </c>
      <c r="BH364" s="3264">
        <f t="shared" ref="BH364:BH397" si="222">IF($D364="是",U364-V364,0)</f>
        <v>0</v>
      </c>
      <c r="BI364" s="3264">
        <f t="shared" ref="BI364:BI397" si="223">IF($D364="是",W364-X364,0)</f>
        <v>0</v>
      </c>
      <c r="BJ364" s="3264">
        <f t="shared" ref="BJ364:BJ397" si="224">IF($D364="是",Y364-Z364,0)</f>
        <v>0</v>
      </c>
      <c r="BK364" s="3264">
        <f t="shared" ref="BK364:BK397" si="225">IF($D364="是",AA364-AB364,0)</f>
        <v>0</v>
      </c>
      <c r="BL364" s="3264">
        <f t="shared" ref="BL364:BL397" si="226">SUM(BM364:BT364)</f>
        <v>0</v>
      </c>
      <c r="BM364" s="3264">
        <f t="shared" ref="BM364:BM397" si="227">IF($D364="是",AD364-AE364,0)</f>
        <v>0</v>
      </c>
      <c r="BN364" s="3264">
        <f t="shared" ref="BN364:BN397" si="228">IF($D364="是",AF364-AG364,0)</f>
        <v>0</v>
      </c>
      <c r="BO364" s="3264">
        <f t="shared" ref="BO364:BO397" si="229">IF($D364="是",AH364-AI364,0)</f>
        <v>0</v>
      </c>
      <c r="BP364" s="3264">
        <f t="shared" ref="BP364:BP397" si="230">IF($D364="是",AJ364-AK364,0)</f>
        <v>0</v>
      </c>
      <c r="BQ364" s="3264">
        <f t="shared" ref="BQ364:BQ397" si="231">IF($D364="是",AL364-AM364,0)</f>
        <v>0</v>
      </c>
      <c r="BR364" s="3264">
        <f t="shared" ref="BR364:BR397" si="232">IF($D364="是",AN364-AO364,0)</f>
        <v>0</v>
      </c>
      <c r="BS364" s="3264">
        <f t="shared" ref="BS364:BS397" si="233">IF($D364="是",AP364-AQ364,0)</f>
        <v>0</v>
      </c>
      <c r="BT364" s="3317">
        <f t="shared" ref="BT364:BT397" si="234">IF($D364="是",AR364-AS364,0)</f>
        <v>0</v>
      </c>
    </row>
    <row r="365" spans="1:72">
      <c r="A365" s="3262"/>
      <c r="B365" s="3263"/>
      <c r="C365" s="3263"/>
      <c r="D365" s="3268"/>
      <c r="E365" s="3264">
        <f t="shared" si="206"/>
        <v>0</v>
      </c>
      <c r="F365" s="3265"/>
      <c r="G365" s="3266">
        <f t="shared" si="210"/>
        <v>0</v>
      </c>
      <c r="H365" s="3267">
        <f t="shared" si="211"/>
        <v>0</v>
      </c>
      <c r="I365" s="3275"/>
      <c r="J365" s="3275"/>
      <c r="K365" s="3275"/>
      <c r="L365" s="3275"/>
      <c r="M365" s="3275"/>
      <c r="N365" s="3275"/>
      <c r="O365" s="3275"/>
      <c r="P365" s="3275"/>
      <c r="Q365" s="3275"/>
      <c r="R365" s="3275"/>
      <c r="S365" s="3275"/>
      <c r="T365" s="3275"/>
      <c r="U365" s="3275"/>
      <c r="V365" s="3275"/>
      <c r="W365" s="3275"/>
      <c r="X365" s="3275"/>
      <c r="Y365" s="3275"/>
      <c r="Z365" s="3275"/>
      <c r="AA365" s="3275"/>
      <c r="AB365" s="3275"/>
      <c r="AC365" s="3264">
        <f t="shared" si="212"/>
        <v>0</v>
      </c>
      <c r="AD365" s="3285"/>
      <c r="AE365" s="3285"/>
      <c r="AF365" s="3285"/>
      <c r="AG365" s="3285"/>
      <c r="AH365" s="3285"/>
      <c r="AI365" s="3285"/>
      <c r="AJ365" s="3285"/>
      <c r="AK365" s="3285"/>
      <c r="AL365" s="3285"/>
      <c r="AM365" s="3285"/>
      <c r="AN365" s="3285"/>
      <c r="AO365" s="3285"/>
      <c r="AP365" s="3285"/>
      <c r="AQ365" s="3285"/>
      <c r="AR365" s="3285"/>
      <c r="AS365" s="3285"/>
      <c r="AT365" s="3295"/>
      <c r="AU365" s="3296"/>
      <c r="AV365" s="830">
        <f t="shared" si="207"/>
        <v>0</v>
      </c>
      <c r="AW365" s="830">
        <f t="shared" si="208"/>
        <v>0</v>
      </c>
      <c r="AX365" s="830">
        <f t="shared" si="209"/>
        <v>0</v>
      </c>
      <c r="AY365" s="3310">
        <f t="shared" si="213"/>
        <v>0</v>
      </c>
      <c r="AZ365" s="3264">
        <f t="shared" si="214"/>
        <v>0</v>
      </c>
      <c r="BA365" s="3264">
        <f t="shared" si="215"/>
        <v>0</v>
      </c>
      <c r="BB365" s="3264">
        <f t="shared" si="216"/>
        <v>0</v>
      </c>
      <c r="BC365" s="3264">
        <f t="shared" si="217"/>
        <v>0</v>
      </c>
      <c r="BD365" s="3264">
        <f t="shared" si="218"/>
        <v>0</v>
      </c>
      <c r="BE365" s="3264">
        <f t="shared" si="219"/>
        <v>0</v>
      </c>
      <c r="BF365" s="3264">
        <f t="shared" si="220"/>
        <v>0</v>
      </c>
      <c r="BG365" s="3264">
        <f t="shared" si="221"/>
        <v>0</v>
      </c>
      <c r="BH365" s="3264">
        <f t="shared" si="222"/>
        <v>0</v>
      </c>
      <c r="BI365" s="3264">
        <f t="shared" si="223"/>
        <v>0</v>
      </c>
      <c r="BJ365" s="3264">
        <f t="shared" si="224"/>
        <v>0</v>
      </c>
      <c r="BK365" s="3264">
        <f t="shared" si="225"/>
        <v>0</v>
      </c>
      <c r="BL365" s="3264">
        <f t="shared" si="226"/>
        <v>0</v>
      </c>
      <c r="BM365" s="3264">
        <f t="shared" si="227"/>
        <v>0</v>
      </c>
      <c r="BN365" s="3264">
        <f t="shared" si="228"/>
        <v>0</v>
      </c>
      <c r="BO365" s="3264">
        <f t="shared" si="229"/>
        <v>0</v>
      </c>
      <c r="BP365" s="3264">
        <f t="shared" si="230"/>
        <v>0</v>
      </c>
      <c r="BQ365" s="3264">
        <f t="shared" si="231"/>
        <v>0</v>
      </c>
      <c r="BR365" s="3264">
        <f t="shared" si="232"/>
        <v>0</v>
      </c>
      <c r="BS365" s="3264">
        <f t="shared" si="233"/>
        <v>0</v>
      </c>
      <c r="BT365" s="3317">
        <f t="shared" si="234"/>
        <v>0</v>
      </c>
    </row>
    <row r="366" spans="1:72">
      <c r="A366" s="3262"/>
      <c r="B366" s="3263"/>
      <c r="C366" s="3263"/>
      <c r="D366" s="3268"/>
      <c r="E366" s="3264">
        <f t="shared" si="206"/>
        <v>0</v>
      </c>
      <c r="F366" s="3265"/>
      <c r="G366" s="3266">
        <f t="shared" si="210"/>
        <v>0</v>
      </c>
      <c r="H366" s="3267">
        <f t="shared" si="211"/>
        <v>0</v>
      </c>
      <c r="I366" s="3275"/>
      <c r="J366" s="3275"/>
      <c r="K366" s="3275"/>
      <c r="L366" s="3275"/>
      <c r="M366" s="3275"/>
      <c r="N366" s="3275"/>
      <c r="O366" s="3275"/>
      <c r="P366" s="3275"/>
      <c r="Q366" s="3275"/>
      <c r="R366" s="3275"/>
      <c r="S366" s="3275"/>
      <c r="T366" s="3275"/>
      <c r="U366" s="3275"/>
      <c r="V366" s="3275"/>
      <c r="W366" s="3275"/>
      <c r="X366" s="3275"/>
      <c r="Y366" s="3275"/>
      <c r="Z366" s="3275"/>
      <c r="AA366" s="3275"/>
      <c r="AB366" s="3275"/>
      <c r="AC366" s="3264">
        <f t="shared" si="212"/>
        <v>0</v>
      </c>
      <c r="AD366" s="3285"/>
      <c r="AE366" s="3285"/>
      <c r="AF366" s="3285"/>
      <c r="AG366" s="3285"/>
      <c r="AH366" s="3285"/>
      <c r="AI366" s="3285"/>
      <c r="AJ366" s="3285"/>
      <c r="AK366" s="3285"/>
      <c r="AL366" s="3285"/>
      <c r="AM366" s="3285"/>
      <c r="AN366" s="3285"/>
      <c r="AO366" s="3285"/>
      <c r="AP366" s="3285"/>
      <c r="AQ366" s="3285"/>
      <c r="AR366" s="3285"/>
      <c r="AS366" s="3285"/>
      <c r="AT366" s="3295"/>
      <c r="AU366" s="3296"/>
      <c r="AV366" s="830">
        <f t="shared" si="207"/>
        <v>0</v>
      </c>
      <c r="AW366" s="830">
        <f t="shared" si="208"/>
        <v>0</v>
      </c>
      <c r="AX366" s="830">
        <f t="shared" si="209"/>
        <v>0</v>
      </c>
      <c r="AY366" s="3310">
        <f t="shared" si="213"/>
        <v>0</v>
      </c>
      <c r="AZ366" s="3264">
        <f t="shared" si="214"/>
        <v>0</v>
      </c>
      <c r="BA366" s="3264">
        <f t="shared" si="215"/>
        <v>0</v>
      </c>
      <c r="BB366" s="3264">
        <f t="shared" si="216"/>
        <v>0</v>
      </c>
      <c r="BC366" s="3264">
        <f t="shared" si="217"/>
        <v>0</v>
      </c>
      <c r="BD366" s="3264">
        <f t="shared" si="218"/>
        <v>0</v>
      </c>
      <c r="BE366" s="3264">
        <f t="shared" si="219"/>
        <v>0</v>
      </c>
      <c r="BF366" s="3264">
        <f t="shared" si="220"/>
        <v>0</v>
      </c>
      <c r="BG366" s="3264">
        <f t="shared" si="221"/>
        <v>0</v>
      </c>
      <c r="BH366" s="3264">
        <f t="shared" si="222"/>
        <v>0</v>
      </c>
      <c r="BI366" s="3264">
        <f t="shared" si="223"/>
        <v>0</v>
      </c>
      <c r="BJ366" s="3264">
        <f t="shared" si="224"/>
        <v>0</v>
      </c>
      <c r="BK366" s="3264">
        <f t="shared" si="225"/>
        <v>0</v>
      </c>
      <c r="BL366" s="3264">
        <f t="shared" si="226"/>
        <v>0</v>
      </c>
      <c r="BM366" s="3264">
        <f t="shared" si="227"/>
        <v>0</v>
      </c>
      <c r="BN366" s="3264">
        <f t="shared" si="228"/>
        <v>0</v>
      </c>
      <c r="BO366" s="3264">
        <f t="shared" si="229"/>
        <v>0</v>
      </c>
      <c r="BP366" s="3264">
        <f t="shared" si="230"/>
        <v>0</v>
      </c>
      <c r="BQ366" s="3264">
        <f t="shared" si="231"/>
        <v>0</v>
      </c>
      <c r="BR366" s="3264">
        <f t="shared" si="232"/>
        <v>0</v>
      </c>
      <c r="BS366" s="3264">
        <f t="shared" si="233"/>
        <v>0</v>
      </c>
      <c r="BT366" s="3317">
        <f t="shared" si="234"/>
        <v>0</v>
      </c>
    </row>
    <row r="367" spans="1:72">
      <c r="A367" s="3262"/>
      <c r="B367" s="3263"/>
      <c r="C367" s="3263"/>
      <c r="D367" s="3268"/>
      <c r="E367" s="3264">
        <f t="shared" ref="E367:E397" si="235">IF($C$3="是",ROUND($A$3*G367/$B$3,2),ROUND($A$3*(G367-AT367)/$B$3,2))</f>
        <v>0</v>
      </c>
      <c r="F367" s="3265"/>
      <c r="G367" s="3266">
        <f t="shared" si="210"/>
        <v>0</v>
      </c>
      <c r="H367" s="3267">
        <f t="shared" si="211"/>
        <v>0</v>
      </c>
      <c r="I367" s="3275"/>
      <c r="J367" s="3275"/>
      <c r="K367" s="3275"/>
      <c r="L367" s="3275"/>
      <c r="M367" s="3275"/>
      <c r="N367" s="3275"/>
      <c r="O367" s="3275"/>
      <c r="P367" s="3275"/>
      <c r="Q367" s="3275"/>
      <c r="R367" s="3275"/>
      <c r="S367" s="3275"/>
      <c r="T367" s="3275"/>
      <c r="U367" s="3275"/>
      <c r="V367" s="3275"/>
      <c r="W367" s="3275"/>
      <c r="X367" s="3275"/>
      <c r="Y367" s="3275"/>
      <c r="Z367" s="3275"/>
      <c r="AA367" s="3275"/>
      <c r="AB367" s="3275"/>
      <c r="AC367" s="3264">
        <f t="shared" si="212"/>
        <v>0</v>
      </c>
      <c r="AD367" s="3285"/>
      <c r="AE367" s="3285"/>
      <c r="AF367" s="3285"/>
      <c r="AG367" s="3285"/>
      <c r="AH367" s="3285"/>
      <c r="AI367" s="3285"/>
      <c r="AJ367" s="3285"/>
      <c r="AK367" s="3285"/>
      <c r="AL367" s="3285"/>
      <c r="AM367" s="3285"/>
      <c r="AN367" s="3285"/>
      <c r="AO367" s="3285"/>
      <c r="AP367" s="3285"/>
      <c r="AQ367" s="3285"/>
      <c r="AR367" s="3285"/>
      <c r="AS367" s="3285"/>
      <c r="AT367" s="3295"/>
      <c r="AU367" s="3296"/>
      <c r="AV367" s="830">
        <f t="shared" ref="AV367:AV397" si="236">A367</f>
        <v>0</v>
      </c>
      <c r="AW367" s="830">
        <f t="shared" ref="AW367:AW397" si="237">B367</f>
        <v>0</v>
      </c>
      <c r="AX367" s="830">
        <f t="shared" ref="AX367:AX397" si="238">C367</f>
        <v>0</v>
      </c>
      <c r="AY367" s="3310">
        <f t="shared" si="213"/>
        <v>0</v>
      </c>
      <c r="AZ367" s="3264">
        <f t="shared" si="214"/>
        <v>0</v>
      </c>
      <c r="BA367" s="3264">
        <f t="shared" si="215"/>
        <v>0</v>
      </c>
      <c r="BB367" s="3264">
        <f t="shared" si="216"/>
        <v>0</v>
      </c>
      <c r="BC367" s="3264">
        <f t="shared" si="217"/>
        <v>0</v>
      </c>
      <c r="BD367" s="3264">
        <f t="shared" si="218"/>
        <v>0</v>
      </c>
      <c r="BE367" s="3264">
        <f t="shared" si="219"/>
        <v>0</v>
      </c>
      <c r="BF367" s="3264">
        <f t="shared" si="220"/>
        <v>0</v>
      </c>
      <c r="BG367" s="3264">
        <f t="shared" si="221"/>
        <v>0</v>
      </c>
      <c r="BH367" s="3264">
        <f t="shared" si="222"/>
        <v>0</v>
      </c>
      <c r="BI367" s="3264">
        <f t="shared" si="223"/>
        <v>0</v>
      </c>
      <c r="BJ367" s="3264">
        <f t="shared" si="224"/>
        <v>0</v>
      </c>
      <c r="BK367" s="3264">
        <f t="shared" si="225"/>
        <v>0</v>
      </c>
      <c r="BL367" s="3264">
        <f t="shared" si="226"/>
        <v>0</v>
      </c>
      <c r="BM367" s="3264">
        <f t="shared" si="227"/>
        <v>0</v>
      </c>
      <c r="BN367" s="3264">
        <f t="shared" si="228"/>
        <v>0</v>
      </c>
      <c r="BO367" s="3264">
        <f t="shared" si="229"/>
        <v>0</v>
      </c>
      <c r="BP367" s="3264">
        <f t="shared" si="230"/>
        <v>0</v>
      </c>
      <c r="BQ367" s="3264">
        <f t="shared" si="231"/>
        <v>0</v>
      </c>
      <c r="BR367" s="3264">
        <f t="shared" si="232"/>
        <v>0</v>
      </c>
      <c r="BS367" s="3264">
        <f t="shared" si="233"/>
        <v>0</v>
      </c>
      <c r="BT367" s="3317">
        <f t="shared" si="234"/>
        <v>0</v>
      </c>
    </row>
    <row r="368" spans="1:72">
      <c r="A368" s="3262"/>
      <c r="B368" s="3263"/>
      <c r="C368" s="3263"/>
      <c r="D368" s="3268"/>
      <c r="E368" s="3264">
        <f t="shared" si="235"/>
        <v>0</v>
      </c>
      <c r="F368" s="3265"/>
      <c r="G368" s="3266">
        <f t="shared" si="210"/>
        <v>0</v>
      </c>
      <c r="H368" s="3267">
        <f t="shared" si="211"/>
        <v>0</v>
      </c>
      <c r="I368" s="3275"/>
      <c r="J368" s="3275"/>
      <c r="K368" s="3275"/>
      <c r="L368" s="3275"/>
      <c r="M368" s="3275"/>
      <c r="N368" s="3275"/>
      <c r="O368" s="3275"/>
      <c r="P368" s="3275"/>
      <c r="Q368" s="3275"/>
      <c r="R368" s="3275"/>
      <c r="S368" s="3275"/>
      <c r="T368" s="3275"/>
      <c r="U368" s="3275"/>
      <c r="V368" s="3275"/>
      <c r="W368" s="3275"/>
      <c r="X368" s="3275"/>
      <c r="Y368" s="3275"/>
      <c r="Z368" s="3275"/>
      <c r="AA368" s="3275"/>
      <c r="AB368" s="3275"/>
      <c r="AC368" s="3264">
        <f t="shared" si="212"/>
        <v>0</v>
      </c>
      <c r="AD368" s="3285"/>
      <c r="AE368" s="3285"/>
      <c r="AF368" s="3285"/>
      <c r="AG368" s="3285"/>
      <c r="AH368" s="3285"/>
      <c r="AI368" s="3285"/>
      <c r="AJ368" s="3285"/>
      <c r="AK368" s="3285"/>
      <c r="AL368" s="3285"/>
      <c r="AM368" s="3285"/>
      <c r="AN368" s="3285"/>
      <c r="AO368" s="3285"/>
      <c r="AP368" s="3285"/>
      <c r="AQ368" s="3285"/>
      <c r="AR368" s="3285"/>
      <c r="AS368" s="3285"/>
      <c r="AT368" s="3295"/>
      <c r="AU368" s="3296"/>
      <c r="AV368" s="830">
        <f t="shared" si="236"/>
        <v>0</v>
      </c>
      <c r="AW368" s="830">
        <f t="shared" si="237"/>
        <v>0</v>
      </c>
      <c r="AX368" s="830">
        <f t="shared" si="238"/>
        <v>0</v>
      </c>
      <c r="AY368" s="3310">
        <f t="shared" si="213"/>
        <v>0</v>
      </c>
      <c r="AZ368" s="3264">
        <f t="shared" si="214"/>
        <v>0</v>
      </c>
      <c r="BA368" s="3264">
        <f t="shared" si="215"/>
        <v>0</v>
      </c>
      <c r="BB368" s="3264">
        <f t="shared" si="216"/>
        <v>0</v>
      </c>
      <c r="BC368" s="3264">
        <f t="shared" si="217"/>
        <v>0</v>
      </c>
      <c r="BD368" s="3264">
        <f t="shared" si="218"/>
        <v>0</v>
      </c>
      <c r="BE368" s="3264">
        <f t="shared" si="219"/>
        <v>0</v>
      </c>
      <c r="BF368" s="3264">
        <f t="shared" si="220"/>
        <v>0</v>
      </c>
      <c r="BG368" s="3264">
        <f t="shared" si="221"/>
        <v>0</v>
      </c>
      <c r="BH368" s="3264">
        <f t="shared" si="222"/>
        <v>0</v>
      </c>
      <c r="BI368" s="3264">
        <f t="shared" si="223"/>
        <v>0</v>
      </c>
      <c r="BJ368" s="3264">
        <f t="shared" si="224"/>
        <v>0</v>
      </c>
      <c r="BK368" s="3264">
        <f t="shared" si="225"/>
        <v>0</v>
      </c>
      <c r="BL368" s="3264">
        <f t="shared" si="226"/>
        <v>0</v>
      </c>
      <c r="BM368" s="3264">
        <f t="shared" si="227"/>
        <v>0</v>
      </c>
      <c r="BN368" s="3264">
        <f t="shared" si="228"/>
        <v>0</v>
      </c>
      <c r="BO368" s="3264">
        <f t="shared" si="229"/>
        <v>0</v>
      </c>
      <c r="BP368" s="3264">
        <f t="shared" si="230"/>
        <v>0</v>
      </c>
      <c r="BQ368" s="3264">
        <f t="shared" si="231"/>
        <v>0</v>
      </c>
      <c r="BR368" s="3264">
        <f t="shared" si="232"/>
        <v>0</v>
      </c>
      <c r="BS368" s="3264">
        <f t="shared" si="233"/>
        <v>0</v>
      </c>
      <c r="BT368" s="3317">
        <f t="shared" si="234"/>
        <v>0</v>
      </c>
    </row>
    <row r="369" spans="1:72">
      <c r="A369" s="3262"/>
      <c r="B369" s="3263"/>
      <c r="C369" s="3263"/>
      <c r="D369" s="3268"/>
      <c r="E369" s="3264">
        <f t="shared" si="235"/>
        <v>0</v>
      </c>
      <c r="F369" s="3265"/>
      <c r="G369" s="3266">
        <f t="shared" si="210"/>
        <v>0</v>
      </c>
      <c r="H369" s="3267">
        <f t="shared" si="211"/>
        <v>0</v>
      </c>
      <c r="I369" s="3275"/>
      <c r="J369" s="3275"/>
      <c r="K369" s="3275"/>
      <c r="L369" s="3275"/>
      <c r="M369" s="3275"/>
      <c r="N369" s="3275"/>
      <c r="O369" s="3275"/>
      <c r="P369" s="3275"/>
      <c r="Q369" s="3275"/>
      <c r="R369" s="3275"/>
      <c r="S369" s="3275"/>
      <c r="T369" s="3275"/>
      <c r="U369" s="3275"/>
      <c r="V369" s="3275"/>
      <c r="W369" s="3275"/>
      <c r="X369" s="3275"/>
      <c r="Y369" s="3275"/>
      <c r="Z369" s="3275"/>
      <c r="AA369" s="3275"/>
      <c r="AB369" s="3275"/>
      <c r="AC369" s="3264">
        <f t="shared" si="212"/>
        <v>0</v>
      </c>
      <c r="AD369" s="3285"/>
      <c r="AE369" s="3285"/>
      <c r="AF369" s="3285"/>
      <c r="AG369" s="3285"/>
      <c r="AH369" s="3285"/>
      <c r="AI369" s="3285"/>
      <c r="AJ369" s="3285"/>
      <c r="AK369" s="3285"/>
      <c r="AL369" s="3285"/>
      <c r="AM369" s="3285"/>
      <c r="AN369" s="3285"/>
      <c r="AO369" s="3285"/>
      <c r="AP369" s="3285"/>
      <c r="AQ369" s="3285"/>
      <c r="AR369" s="3285"/>
      <c r="AS369" s="3285"/>
      <c r="AT369" s="3295"/>
      <c r="AU369" s="3296"/>
      <c r="AV369" s="830">
        <f t="shared" si="236"/>
        <v>0</v>
      </c>
      <c r="AW369" s="830">
        <f t="shared" si="237"/>
        <v>0</v>
      </c>
      <c r="AX369" s="830">
        <f t="shared" si="238"/>
        <v>0</v>
      </c>
      <c r="AY369" s="3310">
        <f t="shared" si="213"/>
        <v>0</v>
      </c>
      <c r="AZ369" s="3264">
        <f t="shared" si="214"/>
        <v>0</v>
      </c>
      <c r="BA369" s="3264">
        <f t="shared" si="215"/>
        <v>0</v>
      </c>
      <c r="BB369" s="3264">
        <f t="shared" si="216"/>
        <v>0</v>
      </c>
      <c r="BC369" s="3264">
        <f t="shared" si="217"/>
        <v>0</v>
      </c>
      <c r="BD369" s="3264">
        <f t="shared" si="218"/>
        <v>0</v>
      </c>
      <c r="BE369" s="3264">
        <f t="shared" si="219"/>
        <v>0</v>
      </c>
      <c r="BF369" s="3264">
        <f t="shared" si="220"/>
        <v>0</v>
      </c>
      <c r="BG369" s="3264">
        <f t="shared" si="221"/>
        <v>0</v>
      </c>
      <c r="BH369" s="3264">
        <f t="shared" si="222"/>
        <v>0</v>
      </c>
      <c r="BI369" s="3264">
        <f t="shared" si="223"/>
        <v>0</v>
      </c>
      <c r="BJ369" s="3264">
        <f t="shared" si="224"/>
        <v>0</v>
      </c>
      <c r="BK369" s="3264">
        <f t="shared" si="225"/>
        <v>0</v>
      </c>
      <c r="BL369" s="3264">
        <f t="shared" si="226"/>
        <v>0</v>
      </c>
      <c r="BM369" s="3264">
        <f t="shared" si="227"/>
        <v>0</v>
      </c>
      <c r="BN369" s="3264">
        <f t="shared" si="228"/>
        <v>0</v>
      </c>
      <c r="BO369" s="3264">
        <f t="shared" si="229"/>
        <v>0</v>
      </c>
      <c r="BP369" s="3264">
        <f t="shared" si="230"/>
        <v>0</v>
      </c>
      <c r="BQ369" s="3264">
        <f t="shared" si="231"/>
        <v>0</v>
      </c>
      <c r="BR369" s="3264">
        <f t="shared" si="232"/>
        <v>0</v>
      </c>
      <c r="BS369" s="3264">
        <f t="shared" si="233"/>
        <v>0</v>
      </c>
      <c r="BT369" s="3317">
        <f t="shared" si="234"/>
        <v>0</v>
      </c>
    </row>
    <row r="370" spans="1:72">
      <c r="A370" s="3262"/>
      <c r="B370" s="3263"/>
      <c r="C370" s="3263"/>
      <c r="D370" s="3268"/>
      <c r="E370" s="3264">
        <f t="shared" si="235"/>
        <v>0</v>
      </c>
      <c r="F370" s="3265"/>
      <c r="G370" s="3266">
        <f t="shared" si="210"/>
        <v>0</v>
      </c>
      <c r="H370" s="3267">
        <f t="shared" si="211"/>
        <v>0</v>
      </c>
      <c r="I370" s="3275"/>
      <c r="J370" s="3275"/>
      <c r="K370" s="3275"/>
      <c r="L370" s="3275"/>
      <c r="M370" s="3275"/>
      <c r="N370" s="3275"/>
      <c r="O370" s="3275"/>
      <c r="P370" s="3275"/>
      <c r="Q370" s="3275"/>
      <c r="R370" s="3275"/>
      <c r="S370" s="3275"/>
      <c r="T370" s="3275"/>
      <c r="U370" s="3275"/>
      <c r="V370" s="3275"/>
      <c r="W370" s="3275"/>
      <c r="X370" s="3275"/>
      <c r="Y370" s="3275"/>
      <c r="Z370" s="3275"/>
      <c r="AA370" s="3275"/>
      <c r="AB370" s="3275"/>
      <c r="AC370" s="3264">
        <f t="shared" si="212"/>
        <v>0</v>
      </c>
      <c r="AD370" s="3285"/>
      <c r="AE370" s="3285"/>
      <c r="AF370" s="3285"/>
      <c r="AG370" s="3285"/>
      <c r="AH370" s="3285"/>
      <c r="AI370" s="3285"/>
      <c r="AJ370" s="3285"/>
      <c r="AK370" s="3285"/>
      <c r="AL370" s="3285"/>
      <c r="AM370" s="3285"/>
      <c r="AN370" s="3285"/>
      <c r="AO370" s="3285"/>
      <c r="AP370" s="3285"/>
      <c r="AQ370" s="3285"/>
      <c r="AR370" s="3285"/>
      <c r="AS370" s="3285"/>
      <c r="AT370" s="3295"/>
      <c r="AU370" s="3296"/>
      <c r="AV370" s="830">
        <f t="shared" si="236"/>
        <v>0</v>
      </c>
      <c r="AW370" s="830">
        <f t="shared" si="237"/>
        <v>0</v>
      </c>
      <c r="AX370" s="830">
        <f t="shared" si="238"/>
        <v>0</v>
      </c>
      <c r="AY370" s="3310">
        <f t="shared" si="213"/>
        <v>0</v>
      </c>
      <c r="AZ370" s="3264">
        <f t="shared" si="214"/>
        <v>0</v>
      </c>
      <c r="BA370" s="3264">
        <f t="shared" si="215"/>
        <v>0</v>
      </c>
      <c r="BB370" s="3264">
        <f t="shared" si="216"/>
        <v>0</v>
      </c>
      <c r="BC370" s="3264">
        <f t="shared" si="217"/>
        <v>0</v>
      </c>
      <c r="BD370" s="3264">
        <f t="shared" si="218"/>
        <v>0</v>
      </c>
      <c r="BE370" s="3264">
        <f t="shared" si="219"/>
        <v>0</v>
      </c>
      <c r="BF370" s="3264">
        <f t="shared" si="220"/>
        <v>0</v>
      </c>
      <c r="BG370" s="3264">
        <f t="shared" si="221"/>
        <v>0</v>
      </c>
      <c r="BH370" s="3264">
        <f t="shared" si="222"/>
        <v>0</v>
      </c>
      <c r="BI370" s="3264">
        <f t="shared" si="223"/>
        <v>0</v>
      </c>
      <c r="BJ370" s="3264">
        <f t="shared" si="224"/>
        <v>0</v>
      </c>
      <c r="BK370" s="3264">
        <f t="shared" si="225"/>
        <v>0</v>
      </c>
      <c r="BL370" s="3264">
        <f t="shared" si="226"/>
        <v>0</v>
      </c>
      <c r="BM370" s="3264">
        <f t="shared" si="227"/>
        <v>0</v>
      </c>
      <c r="BN370" s="3264">
        <f t="shared" si="228"/>
        <v>0</v>
      </c>
      <c r="BO370" s="3264">
        <f t="shared" si="229"/>
        <v>0</v>
      </c>
      <c r="BP370" s="3264">
        <f t="shared" si="230"/>
        <v>0</v>
      </c>
      <c r="BQ370" s="3264">
        <f t="shared" si="231"/>
        <v>0</v>
      </c>
      <c r="BR370" s="3264">
        <f t="shared" si="232"/>
        <v>0</v>
      </c>
      <c r="BS370" s="3264">
        <f t="shared" si="233"/>
        <v>0</v>
      </c>
      <c r="BT370" s="3317">
        <f t="shared" si="234"/>
        <v>0</v>
      </c>
    </row>
    <row r="371" spans="1:72">
      <c r="A371" s="3262"/>
      <c r="B371" s="3263"/>
      <c r="C371" s="3263"/>
      <c r="D371" s="3268"/>
      <c r="E371" s="3264">
        <f t="shared" si="235"/>
        <v>0</v>
      </c>
      <c r="F371" s="3265"/>
      <c r="G371" s="3266">
        <f t="shared" si="210"/>
        <v>0</v>
      </c>
      <c r="H371" s="3267">
        <f t="shared" si="211"/>
        <v>0</v>
      </c>
      <c r="I371" s="3275"/>
      <c r="J371" s="3275"/>
      <c r="K371" s="3275"/>
      <c r="L371" s="3275"/>
      <c r="M371" s="3275"/>
      <c r="N371" s="3275"/>
      <c r="O371" s="3275"/>
      <c r="P371" s="3275"/>
      <c r="Q371" s="3275"/>
      <c r="R371" s="3275"/>
      <c r="S371" s="3275"/>
      <c r="T371" s="3275"/>
      <c r="U371" s="3275"/>
      <c r="V371" s="3275"/>
      <c r="W371" s="3275"/>
      <c r="X371" s="3275"/>
      <c r="Y371" s="3275"/>
      <c r="Z371" s="3275"/>
      <c r="AA371" s="3275"/>
      <c r="AB371" s="3275"/>
      <c r="AC371" s="3264">
        <f t="shared" si="212"/>
        <v>0</v>
      </c>
      <c r="AD371" s="3285"/>
      <c r="AE371" s="3285"/>
      <c r="AF371" s="3285"/>
      <c r="AG371" s="3285"/>
      <c r="AH371" s="3285"/>
      <c r="AI371" s="3285"/>
      <c r="AJ371" s="3285"/>
      <c r="AK371" s="3285"/>
      <c r="AL371" s="3285"/>
      <c r="AM371" s="3285"/>
      <c r="AN371" s="3285"/>
      <c r="AO371" s="3285"/>
      <c r="AP371" s="3285"/>
      <c r="AQ371" s="3285"/>
      <c r="AR371" s="3285"/>
      <c r="AS371" s="3285"/>
      <c r="AT371" s="3295"/>
      <c r="AU371" s="3296"/>
      <c r="AV371" s="830">
        <f t="shared" si="236"/>
        <v>0</v>
      </c>
      <c r="AW371" s="830">
        <f t="shared" si="237"/>
        <v>0</v>
      </c>
      <c r="AX371" s="830">
        <f t="shared" si="238"/>
        <v>0</v>
      </c>
      <c r="AY371" s="3310">
        <f t="shared" si="213"/>
        <v>0</v>
      </c>
      <c r="AZ371" s="3264">
        <f t="shared" si="214"/>
        <v>0</v>
      </c>
      <c r="BA371" s="3264">
        <f t="shared" si="215"/>
        <v>0</v>
      </c>
      <c r="BB371" s="3264">
        <f t="shared" si="216"/>
        <v>0</v>
      </c>
      <c r="BC371" s="3264">
        <f t="shared" si="217"/>
        <v>0</v>
      </c>
      <c r="BD371" s="3264">
        <f t="shared" si="218"/>
        <v>0</v>
      </c>
      <c r="BE371" s="3264">
        <f t="shared" si="219"/>
        <v>0</v>
      </c>
      <c r="BF371" s="3264">
        <f t="shared" si="220"/>
        <v>0</v>
      </c>
      <c r="BG371" s="3264">
        <f t="shared" si="221"/>
        <v>0</v>
      </c>
      <c r="BH371" s="3264">
        <f t="shared" si="222"/>
        <v>0</v>
      </c>
      <c r="BI371" s="3264">
        <f t="shared" si="223"/>
        <v>0</v>
      </c>
      <c r="BJ371" s="3264">
        <f t="shared" si="224"/>
        <v>0</v>
      </c>
      <c r="BK371" s="3264">
        <f t="shared" si="225"/>
        <v>0</v>
      </c>
      <c r="BL371" s="3264">
        <f t="shared" si="226"/>
        <v>0</v>
      </c>
      <c r="BM371" s="3264">
        <f t="shared" si="227"/>
        <v>0</v>
      </c>
      <c r="BN371" s="3264">
        <f t="shared" si="228"/>
        <v>0</v>
      </c>
      <c r="BO371" s="3264">
        <f t="shared" si="229"/>
        <v>0</v>
      </c>
      <c r="BP371" s="3264">
        <f t="shared" si="230"/>
        <v>0</v>
      </c>
      <c r="BQ371" s="3264">
        <f t="shared" si="231"/>
        <v>0</v>
      </c>
      <c r="BR371" s="3264">
        <f t="shared" si="232"/>
        <v>0</v>
      </c>
      <c r="BS371" s="3264">
        <f t="shared" si="233"/>
        <v>0</v>
      </c>
      <c r="BT371" s="3317">
        <f t="shared" si="234"/>
        <v>0</v>
      </c>
    </row>
    <row r="372" spans="1:72">
      <c r="A372" s="3262"/>
      <c r="B372" s="3263"/>
      <c r="C372" s="3263"/>
      <c r="D372" s="3268"/>
      <c r="E372" s="3264">
        <f t="shared" si="235"/>
        <v>0</v>
      </c>
      <c r="F372" s="3265"/>
      <c r="G372" s="3266">
        <f t="shared" si="210"/>
        <v>0</v>
      </c>
      <c r="H372" s="3267">
        <f t="shared" si="211"/>
        <v>0</v>
      </c>
      <c r="I372" s="3275"/>
      <c r="J372" s="3275"/>
      <c r="K372" s="3275"/>
      <c r="L372" s="3275"/>
      <c r="M372" s="3275"/>
      <c r="N372" s="3275"/>
      <c r="O372" s="3275"/>
      <c r="P372" s="3275"/>
      <c r="Q372" s="3275"/>
      <c r="R372" s="3275"/>
      <c r="S372" s="3275"/>
      <c r="T372" s="3275"/>
      <c r="U372" s="3275"/>
      <c r="V372" s="3275"/>
      <c r="W372" s="3275"/>
      <c r="X372" s="3275"/>
      <c r="Y372" s="3275"/>
      <c r="Z372" s="3275"/>
      <c r="AA372" s="3275"/>
      <c r="AB372" s="3275"/>
      <c r="AC372" s="3264">
        <f t="shared" si="212"/>
        <v>0</v>
      </c>
      <c r="AD372" s="3285"/>
      <c r="AE372" s="3285"/>
      <c r="AF372" s="3285"/>
      <c r="AG372" s="3285"/>
      <c r="AH372" s="3285"/>
      <c r="AI372" s="3285"/>
      <c r="AJ372" s="3285"/>
      <c r="AK372" s="3285"/>
      <c r="AL372" s="3285"/>
      <c r="AM372" s="3285"/>
      <c r="AN372" s="3285"/>
      <c r="AO372" s="3285"/>
      <c r="AP372" s="3285"/>
      <c r="AQ372" s="3285"/>
      <c r="AR372" s="3285"/>
      <c r="AS372" s="3285"/>
      <c r="AT372" s="3295"/>
      <c r="AU372" s="3296"/>
      <c r="AV372" s="830">
        <f t="shared" si="236"/>
        <v>0</v>
      </c>
      <c r="AW372" s="830">
        <f t="shared" si="237"/>
        <v>0</v>
      </c>
      <c r="AX372" s="830">
        <f t="shared" si="238"/>
        <v>0</v>
      </c>
      <c r="AY372" s="3310">
        <f t="shared" si="213"/>
        <v>0</v>
      </c>
      <c r="AZ372" s="3264">
        <f t="shared" si="214"/>
        <v>0</v>
      </c>
      <c r="BA372" s="3264">
        <f t="shared" si="215"/>
        <v>0</v>
      </c>
      <c r="BB372" s="3264">
        <f t="shared" si="216"/>
        <v>0</v>
      </c>
      <c r="BC372" s="3264">
        <f t="shared" si="217"/>
        <v>0</v>
      </c>
      <c r="BD372" s="3264">
        <f t="shared" si="218"/>
        <v>0</v>
      </c>
      <c r="BE372" s="3264">
        <f t="shared" si="219"/>
        <v>0</v>
      </c>
      <c r="BF372" s="3264">
        <f t="shared" si="220"/>
        <v>0</v>
      </c>
      <c r="BG372" s="3264">
        <f t="shared" si="221"/>
        <v>0</v>
      </c>
      <c r="BH372" s="3264">
        <f t="shared" si="222"/>
        <v>0</v>
      </c>
      <c r="BI372" s="3264">
        <f t="shared" si="223"/>
        <v>0</v>
      </c>
      <c r="BJ372" s="3264">
        <f t="shared" si="224"/>
        <v>0</v>
      </c>
      <c r="BK372" s="3264">
        <f t="shared" si="225"/>
        <v>0</v>
      </c>
      <c r="BL372" s="3264">
        <f t="shared" si="226"/>
        <v>0</v>
      </c>
      <c r="BM372" s="3264">
        <f t="shared" si="227"/>
        <v>0</v>
      </c>
      <c r="BN372" s="3264">
        <f t="shared" si="228"/>
        <v>0</v>
      </c>
      <c r="BO372" s="3264">
        <f t="shared" si="229"/>
        <v>0</v>
      </c>
      <c r="BP372" s="3264">
        <f t="shared" si="230"/>
        <v>0</v>
      </c>
      <c r="BQ372" s="3264">
        <f t="shared" si="231"/>
        <v>0</v>
      </c>
      <c r="BR372" s="3264">
        <f t="shared" si="232"/>
        <v>0</v>
      </c>
      <c r="BS372" s="3264">
        <f t="shared" si="233"/>
        <v>0</v>
      </c>
      <c r="BT372" s="3317">
        <f t="shared" si="234"/>
        <v>0</v>
      </c>
    </row>
    <row r="373" spans="1:72">
      <c r="A373" s="3262"/>
      <c r="B373" s="3263"/>
      <c r="C373" s="3263"/>
      <c r="D373" s="3268"/>
      <c r="E373" s="3264">
        <f t="shared" si="235"/>
        <v>0</v>
      </c>
      <c r="F373" s="3265"/>
      <c r="G373" s="3266">
        <f t="shared" si="210"/>
        <v>0</v>
      </c>
      <c r="H373" s="3267">
        <f t="shared" si="211"/>
        <v>0</v>
      </c>
      <c r="I373" s="3275"/>
      <c r="J373" s="3275"/>
      <c r="K373" s="3275"/>
      <c r="L373" s="3275"/>
      <c r="M373" s="3275"/>
      <c r="N373" s="3275"/>
      <c r="O373" s="3275"/>
      <c r="P373" s="3275"/>
      <c r="Q373" s="3275"/>
      <c r="R373" s="3275"/>
      <c r="S373" s="3275"/>
      <c r="T373" s="3275"/>
      <c r="U373" s="3275"/>
      <c r="V373" s="3275"/>
      <c r="W373" s="3275"/>
      <c r="X373" s="3275"/>
      <c r="Y373" s="3275"/>
      <c r="Z373" s="3275"/>
      <c r="AA373" s="3275"/>
      <c r="AB373" s="3275"/>
      <c r="AC373" s="3264">
        <f t="shared" si="212"/>
        <v>0</v>
      </c>
      <c r="AD373" s="3285"/>
      <c r="AE373" s="3285"/>
      <c r="AF373" s="3285"/>
      <c r="AG373" s="3285"/>
      <c r="AH373" s="3285"/>
      <c r="AI373" s="3285"/>
      <c r="AJ373" s="3285"/>
      <c r="AK373" s="3285"/>
      <c r="AL373" s="3285"/>
      <c r="AM373" s="3285"/>
      <c r="AN373" s="3285"/>
      <c r="AO373" s="3285"/>
      <c r="AP373" s="3285"/>
      <c r="AQ373" s="3285"/>
      <c r="AR373" s="3285"/>
      <c r="AS373" s="3285"/>
      <c r="AT373" s="3295"/>
      <c r="AU373" s="3296"/>
      <c r="AV373" s="830">
        <f t="shared" si="236"/>
        <v>0</v>
      </c>
      <c r="AW373" s="830">
        <f t="shared" si="237"/>
        <v>0</v>
      </c>
      <c r="AX373" s="830">
        <f t="shared" si="238"/>
        <v>0</v>
      </c>
      <c r="AY373" s="3310">
        <f t="shared" si="213"/>
        <v>0</v>
      </c>
      <c r="AZ373" s="3264">
        <f t="shared" si="214"/>
        <v>0</v>
      </c>
      <c r="BA373" s="3264">
        <f t="shared" si="215"/>
        <v>0</v>
      </c>
      <c r="BB373" s="3264">
        <f t="shared" si="216"/>
        <v>0</v>
      </c>
      <c r="BC373" s="3264">
        <f t="shared" si="217"/>
        <v>0</v>
      </c>
      <c r="BD373" s="3264">
        <f t="shared" si="218"/>
        <v>0</v>
      </c>
      <c r="BE373" s="3264">
        <f t="shared" si="219"/>
        <v>0</v>
      </c>
      <c r="BF373" s="3264">
        <f t="shared" si="220"/>
        <v>0</v>
      </c>
      <c r="BG373" s="3264">
        <f t="shared" si="221"/>
        <v>0</v>
      </c>
      <c r="BH373" s="3264">
        <f t="shared" si="222"/>
        <v>0</v>
      </c>
      <c r="BI373" s="3264">
        <f t="shared" si="223"/>
        <v>0</v>
      </c>
      <c r="BJ373" s="3264">
        <f t="shared" si="224"/>
        <v>0</v>
      </c>
      <c r="BK373" s="3264">
        <f t="shared" si="225"/>
        <v>0</v>
      </c>
      <c r="BL373" s="3264">
        <f t="shared" si="226"/>
        <v>0</v>
      </c>
      <c r="BM373" s="3264">
        <f t="shared" si="227"/>
        <v>0</v>
      </c>
      <c r="BN373" s="3264">
        <f t="shared" si="228"/>
        <v>0</v>
      </c>
      <c r="BO373" s="3264">
        <f t="shared" si="229"/>
        <v>0</v>
      </c>
      <c r="BP373" s="3264">
        <f t="shared" si="230"/>
        <v>0</v>
      </c>
      <c r="BQ373" s="3264">
        <f t="shared" si="231"/>
        <v>0</v>
      </c>
      <c r="BR373" s="3264">
        <f t="shared" si="232"/>
        <v>0</v>
      </c>
      <c r="BS373" s="3264">
        <f t="shared" si="233"/>
        <v>0</v>
      </c>
      <c r="BT373" s="3317">
        <f t="shared" si="234"/>
        <v>0</v>
      </c>
    </row>
    <row r="374" spans="1:72">
      <c r="A374" s="3262"/>
      <c r="B374" s="3263"/>
      <c r="C374" s="3263"/>
      <c r="D374" s="3268"/>
      <c r="E374" s="3264">
        <f t="shared" si="235"/>
        <v>0</v>
      </c>
      <c r="F374" s="3265"/>
      <c r="G374" s="3266">
        <f t="shared" si="210"/>
        <v>0</v>
      </c>
      <c r="H374" s="3267">
        <f t="shared" si="211"/>
        <v>0</v>
      </c>
      <c r="I374" s="3275"/>
      <c r="J374" s="3275"/>
      <c r="K374" s="3275"/>
      <c r="L374" s="3275"/>
      <c r="M374" s="3275"/>
      <c r="N374" s="3275"/>
      <c r="O374" s="3275"/>
      <c r="P374" s="3275"/>
      <c r="Q374" s="3275"/>
      <c r="R374" s="3275"/>
      <c r="S374" s="3275"/>
      <c r="T374" s="3275"/>
      <c r="U374" s="3275"/>
      <c r="V374" s="3275"/>
      <c r="W374" s="3275"/>
      <c r="X374" s="3275"/>
      <c r="Y374" s="3275"/>
      <c r="Z374" s="3275"/>
      <c r="AA374" s="3275"/>
      <c r="AB374" s="3275"/>
      <c r="AC374" s="3264">
        <f t="shared" si="212"/>
        <v>0</v>
      </c>
      <c r="AD374" s="3285"/>
      <c r="AE374" s="3285"/>
      <c r="AF374" s="3285"/>
      <c r="AG374" s="3285"/>
      <c r="AH374" s="3285"/>
      <c r="AI374" s="3285"/>
      <c r="AJ374" s="3285"/>
      <c r="AK374" s="3285"/>
      <c r="AL374" s="3285"/>
      <c r="AM374" s="3285"/>
      <c r="AN374" s="3285"/>
      <c r="AO374" s="3285"/>
      <c r="AP374" s="3285"/>
      <c r="AQ374" s="3285"/>
      <c r="AR374" s="3285"/>
      <c r="AS374" s="3285"/>
      <c r="AT374" s="3295"/>
      <c r="AU374" s="3296"/>
      <c r="AV374" s="830">
        <f t="shared" si="236"/>
        <v>0</v>
      </c>
      <c r="AW374" s="830">
        <f t="shared" si="237"/>
        <v>0</v>
      </c>
      <c r="AX374" s="830">
        <f t="shared" si="238"/>
        <v>0</v>
      </c>
      <c r="AY374" s="3310">
        <f t="shared" si="213"/>
        <v>0</v>
      </c>
      <c r="AZ374" s="3264">
        <f t="shared" si="214"/>
        <v>0</v>
      </c>
      <c r="BA374" s="3264">
        <f t="shared" si="215"/>
        <v>0</v>
      </c>
      <c r="BB374" s="3264">
        <f t="shared" si="216"/>
        <v>0</v>
      </c>
      <c r="BC374" s="3264">
        <f t="shared" si="217"/>
        <v>0</v>
      </c>
      <c r="BD374" s="3264">
        <f t="shared" si="218"/>
        <v>0</v>
      </c>
      <c r="BE374" s="3264">
        <f t="shared" si="219"/>
        <v>0</v>
      </c>
      <c r="BF374" s="3264">
        <f t="shared" si="220"/>
        <v>0</v>
      </c>
      <c r="BG374" s="3264">
        <f t="shared" si="221"/>
        <v>0</v>
      </c>
      <c r="BH374" s="3264">
        <f t="shared" si="222"/>
        <v>0</v>
      </c>
      <c r="BI374" s="3264">
        <f t="shared" si="223"/>
        <v>0</v>
      </c>
      <c r="BJ374" s="3264">
        <f t="shared" si="224"/>
        <v>0</v>
      </c>
      <c r="BK374" s="3264">
        <f t="shared" si="225"/>
        <v>0</v>
      </c>
      <c r="BL374" s="3264">
        <f t="shared" si="226"/>
        <v>0</v>
      </c>
      <c r="BM374" s="3264">
        <f t="shared" si="227"/>
        <v>0</v>
      </c>
      <c r="BN374" s="3264">
        <f t="shared" si="228"/>
        <v>0</v>
      </c>
      <c r="BO374" s="3264">
        <f t="shared" si="229"/>
        <v>0</v>
      </c>
      <c r="BP374" s="3264">
        <f t="shared" si="230"/>
        <v>0</v>
      </c>
      <c r="BQ374" s="3264">
        <f t="shared" si="231"/>
        <v>0</v>
      </c>
      <c r="BR374" s="3264">
        <f t="shared" si="232"/>
        <v>0</v>
      </c>
      <c r="BS374" s="3264">
        <f t="shared" si="233"/>
        <v>0</v>
      </c>
      <c r="BT374" s="3317">
        <f t="shared" si="234"/>
        <v>0</v>
      </c>
    </row>
    <row r="375" spans="1:72">
      <c r="A375" s="3262"/>
      <c r="B375" s="3263"/>
      <c r="C375" s="3263"/>
      <c r="D375" s="3268"/>
      <c r="E375" s="3264">
        <f t="shared" si="235"/>
        <v>0</v>
      </c>
      <c r="F375" s="3265"/>
      <c r="G375" s="3266">
        <f t="shared" si="210"/>
        <v>0</v>
      </c>
      <c r="H375" s="3267">
        <f t="shared" si="211"/>
        <v>0</v>
      </c>
      <c r="I375" s="3275"/>
      <c r="J375" s="3275"/>
      <c r="K375" s="3275"/>
      <c r="L375" s="3275"/>
      <c r="M375" s="3275"/>
      <c r="N375" s="3275"/>
      <c r="O375" s="3275"/>
      <c r="P375" s="3275"/>
      <c r="Q375" s="3275"/>
      <c r="R375" s="3275"/>
      <c r="S375" s="3275"/>
      <c r="T375" s="3275"/>
      <c r="U375" s="3275"/>
      <c r="V375" s="3275"/>
      <c r="W375" s="3275"/>
      <c r="X375" s="3275"/>
      <c r="Y375" s="3275"/>
      <c r="Z375" s="3275"/>
      <c r="AA375" s="3275"/>
      <c r="AB375" s="3275"/>
      <c r="AC375" s="3264">
        <f t="shared" si="212"/>
        <v>0</v>
      </c>
      <c r="AD375" s="3285"/>
      <c r="AE375" s="3285"/>
      <c r="AF375" s="3285"/>
      <c r="AG375" s="3285"/>
      <c r="AH375" s="3285"/>
      <c r="AI375" s="3285"/>
      <c r="AJ375" s="3285"/>
      <c r="AK375" s="3285"/>
      <c r="AL375" s="3285"/>
      <c r="AM375" s="3285"/>
      <c r="AN375" s="3285"/>
      <c r="AO375" s="3285"/>
      <c r="AP375" s="3285"/>
      <c r="AQ375" s="3285"/>
      <c r="AR375" s="3285"/>
      <c r="AS375" s="3285"/>
      <c r="AT375" s="3295"/>
      <c r="AU375" s="3296"/>
      <c r="AV375" s="830">
        <f t="shared" si="236"/>
        <v>0</v>
      </c>
      <c r="AW375" s="830">
        <f t="shared" si="237"/>
        <v>0</v>
      </c>
      <c r="AX375" s="830">
        <f t="shared" si="238"/>
        <v>0</v>
      </c>
      <c r="AY375" s="3310">
        <f t="shared" si="213"/>
        <v>0</v>
      </c>
      <c r="AZ375" s="3264">
        <f t="shared" si="214"/>
        <v>0</v>
      </c>
      <c r="BA375" s="3264">
        <f t="shared" si="215"/>
        <v>0</v>
      </c>
      <c r="BB375" s="3264">
        <f t="shared" si="216"/>
        <v>0</v>
      </c>
      <c r="BC375" s="3264">
        <f t="shared" si="217"/>
        <v>0</v>
      </c>
      <c r="BD375" s="3264">
        <f t="shared" si="218"/>
        <v>0</v>
      </c>
      <c r="BE375" s="3264">
        <f t="shared" si="219"/>
        <v>0</v>
      </c>
      <c r="BF375" s="3264">
        <f t="shared" si="220"/>
        <v>0</v>
      </c>
      <c r="BG375" s="3264">
        <f t="shared" si="221"/>
        <v>0</v>
      </c>
      <c r="BH375" s="3264">
        <f t="shared" si="222"/>
        <v>0</v>
      </c>
      <c r="BI375" s="3264">
        <f t="shared" si="223"/>
        <v>0</v>
      </c>
      <c r="BJ375" s="3264">
        <f t="shared" si="224"/>
        <v>0</v>
      </c>
      <c r="BK375" s="3264">
        <f t="shared" si="225"/>
        <v>0</v>
      </c>
      <c r="BL375" s="3264">
        <f t="shared" si="226"/>
        <v>0</v>
      </c>
      <c r="BM375" s="3264">
        <f t="shared" si="227"/>
        <v>0</v>
      </c>
      <c r="BN375" s="3264">
        <f t="shared" si="228"/>
        <v>0</v>
      </c>
      <c r="BO375" s="3264">
        <f t="shared" si="229"/>
        <v>0</v>
      </c>
      <c r="BP375" s="3264">
        <f t="shared" si="230"/>
        <v>0</v>
      </c>
      <c r="BQ375" s="3264">
        <f t="shared" si="231"/>
        <v>0</v>
      </c>
      <c r="BR375" s="3264">
        <f t="shared" si="232"/>
        <v>0</v>
      </c>
      <c r="BS375" s="3264">
        <f t="shared" si="233"/>
        <v>0</v>
      </c>
      <c r="BT375" s="3317">
        <f t="shared" si="234"/>
        <v>0</v>
      </c>
    </row>
    <row r="376" spans="1:72">
      <c r="A376" s="3262"/>
      <c r="B376" s="3263"/>
      <c r="C376" s="3263"/>
      <c r="D376" s="3268"/>
      <c r="E376" s="3264">
        <f t="shared" si="235"/>
        <v>0</v>
      </c>
      <c r="F376" s="3265"/>
      <c r="G376" s="3266">
        <f t="shared" si="210"/>
        <v>0</v>
      </c>
      <c r="H376" s="3267">
        <f t="shared" si="211"/>
        <v>0</v>
      </c>
      <c r="I376" s="3275"/>
      <c r="J376" s="3275"/>
      <c r="K376" s="3275"/>
      <c r="L376" s="3275"/>
      <c r="M376" s="3275"/>
      <c r="N376" s="3275"/>
      <c r="O376" s="3275"/>
      <c r="P376" s="3275"/>
      <c r="Q376" s="3275"/>
      <c r="R376" s="3275"/>
      <c r="S376" s="3275"/>
      <c r="T376" s="3275"/>
      <c r="U376" s="3275"/>
      <c r="V376" s="3275"/>
      <c r="W376" s="3275"/>
      <c r="X376" s="3275"/>
      <c r="Y376" s="3275"/>
      <c r="Z376" s="3275"/>
      <c r="AA376" s="3275"/>
      <c r="AB376" s="3275"/>
      <c r="AC376" s="3264">
        <f t="shared" si="212"/>
        <v>0</v>
      </c>
      <c r="AD376" s="3285"/>
      <c r="AE376" s="3285"/>
      <c r="AF376" s="3285"/>
      <c r="AG376" s="3285"/>
      <c r="AH376" s="3285"/>
      <c r="AI376" s="3285"/>
      <c r="AJ376" s="3285"/>
      <c r="AK376" s="3285"/>
      <c r="AL376" s="3285"/>
      <c r="AM376" s="3285"/>
      <c r="AN376" s="3285"/>
      <c r="AO376" s="3285"/>
      <c r="AP376" s="3285"/>
      <c r="AQ376" s="3285"/>
      <c r="AR376" s="3285"/>
      <c r="AS376" s="3285"/>
      <c r="AT376" s="3295"/>
      <c r="AU376" s="3296"/>
      <c r="AV376" s="830">
        <f t="shared" si="236"/>
        <v>0</v>
      </c>
      <c r="AW376" s="830">
        <f t="shared" si="237"/>
        <v>0</v>
      </c>
      <c r="AX376" s="830">
        <f t="shared" si="238"/>
        <v>0</v>
      </c>
      <c r="AY376" s="3310">
        <f t="shared" si="213"/>
        <v>0</v>
      </c>
      <c r="AZ376" s="3264">
        <f t="shared" si="214"/>
        <v>0</v>
      </c>
      <c r="BA376" s="3264">
        <f t="shared" si="215"/>
        <v>0</v>
      </c>
      <c r="BB376" s="3264">
        <f t="shared" si="216"/>
        <v>0</v>
      </c>
      <c r="BC376" s="3264">
        <f t="shared" si="217"/>
        <v>0</v>
      </c>
      <c r="BD376" s="3264">
        <f t="shared" si="218"/>
        <v>0</v>
      </c>
      <c r="BE376" s="3264">
        <f t="shared" si="219"/>
        <v>0</v>
      </c>
      <c r="BF376" s="3264">
        <f t="shared" si="220"/>
        <v>0</v>
      </c>
      <c r="BG376" s="3264">
        <f t="shared" si="221"/>
        <v>0</v>
      </c>
      <c r="BH376" s="3264">
        <f t="shared" si="222"/>
        <v>0</v>
      </c>
      <c r="BI376" s="3264">
        <f t="shared" si="223"/>
        <v>0</v>
      </c>
      <c r="BJ376" s="3264">
        <f t="shared" si="224"/>
        <v>0</v>
      </c>
      <c r="BK376" s="3264">
        <f t="shared" si="225"/>
        <v>0</v>
      </c>
      <c r="BL376" s="3264">
        <f t="shared" si="226"/>
        <v>0</v>
      </c>
      <c r="BM376" s="3264">
        <f t="shared" si="227"/>
        <v>0</v>
      </c>
      <c r="BN376" s="3264">
        <f t="shared" si="228"/>
        <v>0</v>
      </c>
      <c r="BO376" s="3264">
        <f t="shared" si="229"/>
        <v>0</v>
      </c>
      <c r="BP376" s="3264">
        <f t="shared" si="230"/>
        <v>0</v>
      </c>
      <c r="BQ376" s="3264">
        <f t="shared" si="231"/>
        <v>0</v>
      </c>
      <c r="BR376" s="3264">
        <f t="shared" si="232"/>
        <v>0</v>
      </c>
      <c r="BS376" s="3264">
        <f t="shared" si="233"/>
        <v>0</v>
      </c>
      <c r="BT376" s="3317">
        <f t="shared" si="234"/>
        <v>0</v>
      </c>
    </row>
    <row r="377" spans="1:72">
      <c r="A377" s="3262"/>
      <c r="B377" s="3263"/>
      <c r="C377" s="3263"/>
      <c r="D377" s="3268"/>
      <c r="E377" s="3264">
        <f t="shared" si="235"/>
        <v>0</v>
      </c>
      <c r="F377" s="3265"/>
      <c r="G377" s="3266">
        <f t="shared" si="210"/>
        <v>0</v>
      </c>
      <c r="H377" s="3267">
        <f t="shared" si="211"/>
        <v>0</v>
      </c>
      <c r="I377" s="3275"/>
      <c r="J377" s="3275"/>
      <c r="K377" s="3275"/>
      <c r="L377" s="3275"/>
      <c r="M377" s="3275"/>
      <c r="N377" s="3275"/>
      <c r="O377" s="3275"/>
      <c r="P377" s="3275"/>
      <c r="Q377" s="3275"/>
      <c r="R377" s="3275"/>
      <c r="S377" s="3275"/>
      <c r="T377" s="3275"/>
      <c r="U377" s="3275"/>
      <c r="V377" s="3275"/>
      <c r="W377" s="3275"/>
      <c r="X377" s="3275"/>
      <c r="Y377" s="3275"/>
      <c r="Z377" s="3275"/>
      <c r="AA377" s="3275"/>
      <c r="AB377" s="3275"/>
      <c r="AC377" s="3264">
        <f t="shared" si="212"/>
        <v>0</v>
      </c>
      <c r="AD377" s="3285"/>
      <c r="AE377" s="3285"/>
      <c r="AF377" s="3285"/>
      <c r="AG377" s="3285"/>
      <c r="AH377" s="3285"/>
      <c r="AI377" s="3285"/>
      <c r="AJ377" s="3285"/>
      <c r="AK377" s="3285"/>
      <c r="AL377" s="3285"/>
      <c r="AM377" s="3285"/>
      <c r="AN377" s="3285"/>
      <c r="AO377" s="3285"/>
      <c r="AP377" s="3285"/>
      <c r="AQ377" s="3285"/>
      <c r="AR377" s="3285"/>
      <c r="AS377" s="3285"/>
      <c r="AT377" s="3295"/>
      <c r="AU377" s="3296"/>
      <c r="AV377" s="830">
        <f t="shared" si="236"/>
        <v>0</v>
      </c>
      <c r="AW377" s="830">
        <f t="shared" si="237"/>
        <v>0</v>
      </c>
      <c r="AX377" s="830">
        <f t="shared" si="238"/>
        <v>0</v>
      </c>
      <c r="AY377" s="3310">
        <f t="shared" si="213"/>
        <v>0</v>
      </c>
      <c r="AZ377" s="3264">
        <f t="shared" si="214"/>
        <v>0</v>
      </c>
      <c r="BA377" s="3264">
        <f t="shared" si="215"/>
        <v>0</v>
      </c>
      <c r="BB377" s="3264">
        <f t="shared" si="216"/>
        <v>0</v>
      </c>
      <c r="BC377" s="3264">
        <f t="shared" si="217"/>
        <v>0</v>
      </c>
      <c r="BD377" s="3264">
        <f t="shared" si="218"/>
        <v>0</v>
      </c>
      <c r="BE377" s="3264">
        <f t="shared" si="219"/>
        <v>0</v>
      </c>
      <c r="BF377" s="3264">
        <f t="shared" si="220"/>
        <v>0</v>
      </c>
      <c r="BG377" s="3264">
        <f t="shared" si="221"/>
        <v>0</v>
      </c>
      <c r="BH377" s="3264">
        <f t="shared" si="222"/>
        <v>0</v>
      </c>
      <c r="BI377" s="3264">
        <f t="shared" si="223"/>
        <v>0</v>
      </c>
      <c r="BJ377" s="3264">
        <f t="shared" si="224"/>
        <v>0</v>
      </c>
      <c r="BK377" s="3264">
        <f t="shared" si="225"/>
        <v>0</v>
      </c>
      <c r="BL377" s="3264">
        <f t="shared" si="226"/>
        <v>0</v>
      </c>
      <c r="BM377" s="3264">
        <f t="shared" si="227"/>
        <v>0</v>
      </c>
      <c r="BN377" s="3264">
        <f t="shared" si="228"/>
        <v>0</v>
      </c>
      <c r="BO377" s="3264">
        <f t="shared" si="229"/>
        <v>0</v>
      </c>
      <c r="BP377" s="3264">
        <f t="shared" si="230"/>
        <v>0</v>
      </c>
      <c r="BQ377" s="3264">
        <f t="shared" si="231"/>
        <v>0</v>
      </c>
      <c r="BR377" s="3264">
        <f t="shared" si="232"/>
        <v>0</v>
      </c>
      <c r="BS377" s="3264">
        <f t="shared" si="233"/>
        <v>0</v>
      </c>
      <c r="BT377" s="3317">
        <f t="shared" si="234"/>
        <v>0</v>
      </c>
    </row>
    <row r="378" spans="1:72">
      <c r="A378" s="3262"/>
      <c r="B378" s="3263"/>
      <c r="C378" s="3263"/>
      <c r="D378" s="3268"/>
      <c r="E378" s="3264">
        <f t="shared" si="235"/>
        <v>0</v>
      </c>
      <c r="F378" s="3265"/>
      <c r="G378" s="3266">
        <f t="shared" si="210"/>
        <v>0</v>
      </c>
      <c r="H378" s="3267">
        <f t="shared" si="211"/>
        <v>0</v>
      </c>
      <c r="I378" s="3275"/>
      <c r="J378" s="3275"/>
      <c r="K378" s="3275"/>
      <c r="L378" s="3275"/>
      <c r="M378" s="3275"/>
      <c r="N378" s="3275"/>
      <c r="O378" s="3275"/>
      <c r="P378" s="3275"/>
      <c r="Q378" s="3275"/>
      <c r="R378" s="3275"/>
      <c r="S378" s="3275"/>
      <c r="T378" s="3275"/>
      <c r="U378" s="3275"/>
      <c r="V378" s="3275"/>
      <c r="W378" s="3275"/>
      <c r="X378" s="3275"/>
      <c r="Y378" s="3275"/>
      <c r="Z378" s="3275"/>
      <c r="AA378" s="3275"/>
      <c r="AB378" s="3275"/>
      <c r="AC378" s="3264">
        <f t="shared" si="212"/>
        <v>0</v>
      </c>
      <c r="AD378" s="3285"/>
      <c r="AE378" s="3285"/>
      <c r="AF378" s="3285"/>
      <c r="AG378" s="3285"/>
      <c r="AH378" s="3285"/>
      <c r="AI378" s="3285"/>
      <c r="AJ378" s="3285"/>
      <c r="AK378" s="3285"/>
      <c r="AL378" s="3285"/>
      <c r="AM378" s="3285"/>
      <c r="AN378" s="3285"/>
      <c r="AO378" s="3285"/>
      <c r="AP378" s="3285"/>
      <c r="AQ378" s="3285"/>
      <c r="AR378" s="3285"/>
      <c r="AS378" s="3285"/>
      <c r="AT378" s="3295"/>
      <c r="AU378" s="3296"/>
      <c r="AV378" s="830">
        <f t="shared" si="236"/>
        <v>0</v>
      </c>
      <c r="AW378" s="830">
        <f t="shared" si="237"/>
        <v>0</v>
      </c>
      <c r="AX378" s="830">
        <f t="shared" si="238"/>
        <v>0</v>
      </c>
      <c r="AY378" s="3310">
        <f t="shared" si="213"/>
        <v>0</v>
      </c>
      <c r="AZ378" s="3264">
        <f t="shared" si="214"/>
        <v>0</v>
      </c>
      <c r="BA378" s="3264">
        <f t="shared" si="215"/>
        <v>0</v>
      </c>
      <c r="BB378" s="3264">
        <f t="shared" si="216"/>
        <v>0</v>
      </c>
      <c r="BC378" s="3264">
        <f t="shared" si="217"/>
        <v>0</v>
      </c>
      <c r="BD378" s="3264">
        <f t="shared" si="218"/>
        <v>0</v>
      </c>
      <c r="BE378" s="3264">
        <f t="shared" si="219"/>
        <v>0</v>
      </c>
      <c r="BF378" s="3264">
        <f t="shared" si="220"/>
        <v>0</v>
      </c>
      <c r="BG378" s="3264">
        <f t="shared" si="221"/>
        <v>0</v>
      </c>
      <c r="BH378" s="3264">
        <f t="shared" si="222"/>
        <v>0</v>
      </c>
      <c r="BI378" s="3264">
        <f t="shared" si="223"/>
        <v>0</v>
      </c>
      <c r="BJ378" s="3264">
        <f t="shared" si="224"/>
        <v>0</v>
      </c>
      <c r="BK378" s="3264">
        <f t="shared" si="225"/>
        <v>0</v>
      </c>
      <c r="BL378" s="3264">
        <f t="shared" si="226"/>
        <v>0</v>
      </c>
      <c r="BM378" s="3264">
        <f t="shared" si="227"/>
        <v>0</v>
      </c>
      <c r="BN378" s="3264">
        <f t="shared" si="228"/>
        <v>0</v>
      </c>
      <c r="BO378" s="3264">
        <f t="shared" si="229"/>
        <v>0</v>
      </c>
      <c r="BP378" s="3264">
        <f t="shared" si="230"/>
        <v>0</v>
      </c>
      <c r="BQ378" s="3264">
        <f t="shared" si="231"/>
        <v>0</v>
      </c>
      <c r="BR378" s="3264">
        <f t="shared" si="232"/>
        <v>0</v>
      </c>
      <c r="BS378" s="3264">
        <f t="shared" si="233"/>
        <v>0</v>
      </c>
      <c r="BT378" s="3317">
        <f t="shared" si="234"/>
        <v>0</v>
      </c>
    </row>
    <row r="379" spans="1:72">
      <c r="A379" s="3262"/>
      <c r="B379" s="3263"/>
      <c r="C379" s="3263"/>
      <c r="D379" s="3268"/>
      <c r="E379" s="3264">
        <f t="shared" si="235"/>
        <v>0</v>
      </c>
      <c r="F379" s="3265"/>
      <c r="G379" s="3266">
        <f t="shared" si="210"/>
        <v>0</v>
      </c>
      <c r="H379" s="3267">
        <f t="shared" si="211"/>
        <v>0</v>
      </c>
      <c r="I379" s="3275"/>
      <c r="J379" s="3275"/>
      <c r="K379" s="3275"/>
      <c r="L379" s="3275"/>
      <c r="M379" s="3275"/>
      <c r="N379" s="3275"/>
      <c r="O379" s="3275"/>
      <c r="P379" s="3275"/>
      <c r="Q379" s="3275"/>
      <c r="R379" s="3275"/>
      <c r="S379" s="3275"/>
      <c r="T379" s="3275"/>
      <c r="U379" s="3275"/>
      <c r="V379" s="3275"/>
      <c r="W379" s="3275"/>
      <c r="X379" s="3275"/>
      <c r="Y379" s="3275"/>
      <c r="Z379" s="3275"/>
      <c r="AA379" s="3275"/>
      <c r="AB379" s="3275"/>
      <c r="AC379" s="3264">
        <f t="shared" si="212"/>
        <v>0</v>
      </c>
      <c r="AD379" s="3285"/>
      <c r="AE379" s="3285"/>
      <c r="AF379" s="3285"/>
      <c r="AG379" s="3285"/>
      <c r="AH379" s="3285"/>
      <c r="AI379" s="3285"/>
      <c r="AJ379" s="3285"/>
      <c r="AK379" s="3285"/>
      <c r="AL379" s="3285"/>
      <c r="AM379" s="3285"/>
      <c r="AN379" s="3285"/>
      <c r="AO379" s="3285"/>
      <c r="AP379" s="3285"/>
      <c r="AQ379" s="3285"/>
      <c r="AR379" s="3285"/>
      <c r="AS379" s="3285"/>
      <c r="AT379" s="3295"/>
      <c r="AU379" s="3296"/>
      <c r="AV379" s="830">
        <f t="shared" si="236"/>
        <v>0</v>
      </c>
      <c r="AW379" s="830">
        <f t="shared" si="237"/>
        <v>0</v>
      </c>
      <c r="AX379" s="830">
        <f t="shared" si="238"/>
        <v>0</v>
      </c>
      <c r="AY379" s="3310">
        <f t="shared" si="213"/>
        <v>0</v>
      </c>
      <c r="AZ379" s="3264">
        <f t="shared" si="214"/>
        <v>0</v>
      </c>
      <c r="BA379" s="3264">
        <f t="shared" si="215"/>
        <v>0</v>
      </c>
      <c r="BB379" s="3264">
        <f t="shared" si="216"/>
        <v>0</v>
      </c>
      <c r="BC379" s="3264">
        <f t="shared" si="217"/>
        <v>0</v>
      </c>
      <c r="BD379" s="3264">
        <f t="shared" si="218"/>
        <v>0</v>
      </c>
      <c r="BE379" s="3264">
        <f t="shared" si="219"/>
        <v>0</v>
      </c>
      <c r="BF379" s="3264">
        <f t="shared" si="220"/>
        <v>0</v>
      </c>
      <c r="BG379" s="3264">
        <f t="shared" si="221"/>
        <v>0</v>
      </c>
      <c r="BH379" s="3264">
        <f t="shared" si="222"/>
        <v>0</v>
      </c>
      <c r="BI379" s="3264">
        <f t="shared" si="223"/>
        <v>0</v>
      </c>
      <c r="BJ379" s="3264">
        <f t="shared" si="224"/>
        <v>0</v>
      </c>
      <c r="BK379" s="3264">
        <f t="shared" si="225"/>
        <v>0</v>
      </c>
      <c r="BL379" s="3264">
        <f t="shared" si="226"/>
        <v>0</v>
      </c>
      <c r="BM379" s="3264">
        <f t="shared" si="227"/>
        <v>0</v>
      </c>
      <c r="BN379" s="3264">
        <f t="shared" si="228"/>
        <v>0</v>
      </c>
      <c r="BO379" s="3264">
        <f t="shared" si="229"/>
        <v>0</v>
      </c>
      <c r="BP379" s="3264">
        <f t="shared" si="230"/>
        <v>0</v>
      </c>
      <c r="BQ379" s="3264">
        <f t="shared" si="231"/>
        <v>0</v>
      </c>
      <c r="BR379" s="3264">
        <f t="shared" si="232"/>
        <v>0</v>
      </c>
      <c r="BS379" s="3264">
        <f t="shared" si="233"/>
        <v>0</v>
      </c>
      <c r="BT379" s="3317">
        <f t="shared" si="234"/>
        <v>0</v>
      </c>
    </row>
    <row r="380" spans="1:72">
      <c r="A380" s="3262"/>
      <c r="B380" s="3263"/>
      <c r="C380" s="3263"/>
      <c r="D380" s="3268"/>
      <c r="E380" s="3264">
        <f t="shared" si="235"/>
        <v>0</v>
      </c>
      <c r="F380" s="3265"/>
      <c r="G380" s="3266">
        <f t="shared" si="210"/>
        <v>0</v>
      </c>
      <c r="H380" s="3267">
        <f t="shared" si="211"/>
        <v>0</v>
      </c>
      <c r="I380" s="3275"/>
      <c r="J380" s="3275"/>
      <c r="K380" s="3275"/>
      <c r="L380" s="3275"/>
      <c r="M380" s="3275"/>
      <c r="N380" s="3275"/>
      <c r="O380" s="3275"/>
      <c r="P380" s="3275"/>
      <c r="Q380" s="3275"/>
      <c r="R380" s="3275"/>
      <c r="S380" s="3275"/>
      <c r="T380" s="3275"/>
      <c r="U380" s="3275"/>
      <c r="V380" s="3275"/>
      <c r="W380" s="3275"/>
      <c r="X380" s="3275"/>
      <c r="Y380" s="3275"/>
      <c r="Z380" s="3275"/>
      <c r="AA380" s="3275"/>
      <c r="AB380" s="3275"/>
      <c r="AC380" s="3264">
        <f t="shared" si="212"/>
        <v>0</v>
      </c>
      <c r="AD380" s="3285"/>
      <c r="AE380" s="3285"/>
      <c r="AF380" s="3285"/>
      <c r="AG380" s="3285"/>
      <c r="AH380" s="3285"/>
      <c r="AI380" s="3285"/>
      <c r="AJ380" s="3285"/>
      <c r="AK380" s="3285"/>
      <c r="AL380" s="3285"/>
      <c r="AM380" s="3285"/>
      <c r="AN380" s="3285"/>
      <c r="AO380" s="3285"/>
      <c r="AP380" s="3285"/>
      <c r="AQ380" s="3285"/>
      <c r="AR380" s="3285"/>
      <c r="AS380" s="3285"/>
      <c r="AT380" s="3295"/>
      <c r="AU380" s="3296"/>
      <c r="AV380" s="830">
        <f t="shared" si="236"/>
        <v>0</v>
      </c>
      <c r="AW380" s="830">
        <f t="shared" si="237"/>
        <v>0</v>
      </c>
      <c r="AX380" s="830">
        <f t="shared" si="238"/>
        <v>0</v>
      </c>
      <c r="AY380" s="3310">
        <f t="shared" si="213"/>
        <v>0</v>
      </c>
      <c r="AZ380" s="3264">
        <f t="shared" si="214"/>
        <v>0</v>
      </c>
      <c r="BA380" s="3264">
        <f t="shared" si="215"/>
        <v>0</v>
      </c>
      <c r="BB380" s="3264">
        <f t="shared" si="216"/>
        <v>0</v>
      </c>
      <c r="BC380" s="3264">
        <f t="shared" si="217"/>
        <v>0</v>
      </c>
      <c r="BD380" s="3264">
        <f t="shared" si="218"/>
        <v>0</v>
      </c>
      <c r="BE380" s="3264">
        <f t="shared" si="219"/>
        <v>0</v>
      </c>
      <c r="BF380" s="3264">
        <f t="shared" si="220"/>
        <v>0</v>
      </c>
      <c r="BG380" s="3264">
        <f t="shared" si="221"/>
        <v>0</v>
      </c>
      <c r="BH380" s="3264">
        <f t="shared" si="222"/>
        <v>0</v>
      </c>
      <c r="BI380" s="3264">
        <f t="shared" si="223"/>
        <v>0</v>
      </c>
      <c r="BJ380" s="3264">
        <f t="shared" si="224"/>
        <v>0</v>
      </c>
      <c r="BK380" s="3264">
        <f t="shared" si="225"/>
        <v>0</v>
      </c>
      <c r="BL380" s="3264">
        <f t="shared" si="226"/>
        <v>0</v>
      </c>
      <c r="BM380" s="3264">
        <f t="shared" si="227"/>
        <v>0</v>
      </c>
      <c r="BN380" s="3264">
        <f t="shared" si="228"/>
        <v>0</v>
      </c>
      <c r="BO380" s="3264">
        <f t="shared" si="229"/>
        <v>0</v>
      </c>
      <c r="BP380" s="3264">
        <f t="shared" si="230"/>
        <v>0</v>
      </c>
      <c r="BQ380" s="3264">
        <f t="shared" si="231"/>
        <v>0</v>
      </c>
      <c r="BR380" s="3264">
        <f t="shared" si="232"/>
        <v>0</v>
      </c>
      <c r="BS380" s="3264">
        <f t="shared" si="233"/>
        <v>0</v>
      </c>
      <c r="BT380" s="3317">
        <f t="shared" si="234"/>
        <v>0</v>
      </c>
    </row>
    <row r="381" spans="1:72">
      <c r="A381" s="3262"/>
      <c r="B381" s="3263"/>
      <c r="C381" s="3263"/>
      <c r="D381" s="3268"/>
      <c r="E381" s="3264">
        <f t="shared" si="235"/>
        <v>0</v>
      </c>
      <c r="F381" s="3265"/>
      <c r="G381" s="3266">
        <f t="shared" si="210"/>
        <v>0</v>
      </c>
      <c r="H381" s="3267">
        <f t="shared" si="211"/>
        <v>0</v>
      </c>
      <c r="I381" s="3275"/>
      <c r="J381" s="3275"/>
      <c r="K381" s="3275"/>
      <c r="L381" s="3275"/>
      <c r="M381" s="3275"/>
      <c r="N381" s="3275"/>
      <c r="O381" s="3275"/>
      <c r="P381" s="3275"/>
      <c r="Q381" s="3275"/>
      <c r="R381" s="3275"/>
      <c r="S381" s="3275"/>
      <c r="T381" s="3275"/>
      <c r="U381" s="3275"/>
      <c r="V381" s="3275"/>
      <c r="W381" s="3275"/>
      <c r="X381" s="3275"/>
      <c r="Y381" s="3275"/>
      <c r="Z381" s="3275"/>
      <c r="AA381" s="3275"/>
      <c r="AB381" s="3275"/>
      <c r="AC381" s="3264">
        <f t="shared" si="212"/>
        <v>0</v>
      </c>
      <c r="AD381" s="3285"/>
      <c r="AE381" s="3285"/>
      <c r="AF381" s="3285"/>
      <c r="AG381" s="3285"/>
      <c r="AH381" s="3285"/>
      <c r="AI381" s="3285"/>
      <c r="AJ381" s="3285"/>
      <c r="AK381" s="3285"/>
      <c r="AL381" s="3285"/>
      <c r="AM381" s="3285"/>
      <c r="AN381" s="3285"/>
      <c r="AO381" s="3285"/>
      <c r="AP381" s="3285"/>
      <c r="AQ381" s="3285"/>
      <c r="AR381" s="3285"/>
      <c r="AS381" s="3285"/>
      <c r="AT381" s="3295"/>
      <c r="AU381" s="3296"/>
      <c r="AV381" s="830">
        <f t="shared" si="236"/>
        <v>0</v>
      </c>
      <c r="AW381" s="830">
        <f t="shared" si="237"/>
        <v>0</v>
      </c>
      <c r="AX381" s="830">
        <f t="shared" si="238"/>
        <v>0</v>
      </c>
      <c r="AY381" s="3310">
        <f t="shared" si="213"/>
        <v>0</v>
      </c>
      <c r="AZ381" s="3264">
        <f t="shared" si="214"/>
        <v>0</v>
      </c>
      <c r="BA381" s="3264">
        <f t="shared" si="215"/>
        <v>0</v>
      </c>
      <c r="BB381" s="3264">
        <f t="shared" si="216"/>
        <v>0</v>
      </c>
      <c r="BC381" s="3264">
        <f t="shared" si="217"/>
        <v>0</v>
      </c>
      <c r="BD381" s="3264">
        <f t="shared" si="218"/>
        <v>0</v>
      </c>
      <c r="BE381" s="3264">
        <f t="shared" si="219"/>
        <v>0</v>
      </c>
      <c r="BF381" s="3264">
        <f t="shared" si="220"/>
        <v>0</v>
      </c>
      <c r="BG381" s="3264">
        <f t="shared" si="221"/>
        <v>0</v>
      </c>
      <c r="BH381" s="3264">
        <f t="shared" si="222"/>
        <v>0</v>
      </c>
      <c r="BI381" s="3264">
        <f t="shared" si="223"/>
        <v>0</v>
      </c>
      <c r="BJ381" s="3264">
        <f t="shared" si="224"/>
        <v>0</v>
      </c>
      <c r="BK381" s="3264">
        <f t="shared" si="225"/>
        <v>0</v>
      </c>
      <c r="BL381" s="3264">
        <f t="shared" si="226"/>
        <v>0</v>
      </c>
      <c r="BM381" s="3264">
        <f t="shared" si="227"/>
        <v>0</v>
      </c>
      <c r="BN381" s="3264">
        <f t="shared" si="228"/>
        <v>0</v>
      </c>
      <c r="BO381" s="3264">
        <f t="shared" si="229"/>
        <v>0</v>
      </c>
      <c r="BP381" s="3264">
        <f t="shared" si="230"/>
        <v>0</v>
      </c>
      <c r="BQ381" s="3264">
        <f t="shared" si="231"/>
        <v>0</v>
      </c>
      <c r="BR381" s="3264">
        <f t="shared" si="232"/>
        <v>0</v>
      </c>
      <c r="BS381" s="3264">
        <f t="shared" si="233"/>
        <v>0</v>
      </c>
      <c r="BT381" s="3317">
        <f t="shared" si="234"/>
        <v>0</v>
      </c>
    </row>
    <row r="382" spans="1:72">
      <c r="A382" s="3262"/>
      <c r="B382" s="3263"/>
      <c r="C382" s="3263"/>
      <c r="D382" s="3268"/>
      <c r="E382" s="3264">
        <f t="shared" si="235"/>
        <v>0</v>
      </c>
      <c r="F382" s="3265"/>
      <c r="G382" s="3266">
        <f t="shared" si="210"/>
        <v>0</v>
      </c>
      <c r="H382" s="3267">
        <f t="shared" si="211"/>
        <v>0</v>
      </c>
      <c r="I382" s="3275"/>
      <c r="J382" s="3275"/>
      <c r="K382" s="3275"/>
      <c r="L382" s="3275"/>
      <c r="M382" s="3275"/>
      <c r="N382" s="3275"/>
      <c r="O382" s="3275"/>
      <c r="P382" s="3275"/>
      <c r="Q382" s="3275"/>
      <c r="R382" s="3275"/>
      <c r="S382" s="3275"/>
      <c r="T382" s="3275"/>
      <c r="U382" s="3275"/>
      <c r="V382" s="3275"/>
      <c r="W382" s="3275"/>
      <c r="X382" s="3275"/>
      <c r="Y382" s="3275"/>
      <c r="Z382" s="3275"/>
      <c r="AA382" s="3275"/>
      <c r="AB382" s="3275"/>
      <c r="AC382" s="3264">
        <f t="shared" si="212"/>
        <v>0</v>
      </c>
      <c r="AD382" s="3285"/>
      <c r="AE382" s="3285"/>
      <c r="AF382" s="3285"/>
      <c r="AG382" s="3285"/>
      <c r="AH382" s="3285"/>
      <c r="AI382" s="3285"/>
      <c r="AJ382" s="3285"/>
      <c r="AK382" s="3285"/>
      <c r="AL382" s="3285"/>
      <c r="AM382" s="3285"/>
      <c r="AN382" s="3285"/>
      <c r="AO382" s="3285"/>
      <c r="AP382" s="3285"/>
      <c r="AQ382" s="3285"/>
      <c r="AR382" s="3285"/>
      <c r="AS382" s="3285"/>
      <c r="AT382" s="3295"/>
      <c r="AU382" s="3296"/>
      <c r="AV382" s="830">
        <f t="shared" si="236"/>
        <v>0</v>
      </c>
      <c r="AW382" s="830">
        <f t="shared" si="237"/>
        <v>0</v>
      </c>
      <c r="AX382" s="830">
        <f t="shared" si="238"/>
        <v>0</v>
      </c>
      <c r="AY382" s="3310">
        <f t="shared" si="213"/>
        <v>0</v>
      </c>
      <c r="AZ382" s="3264">
        <f t="shared" si="214"/>
        <v>0</v>
      </c>
      <c r="BA382" s="3264">
        <f t="shared" si="215"/>
        <v>0</v>
      </c>
      <c r="BB382" s="3264">
        <f t="shared" si="216"/>
        <v>0</v>
      </c>
      <c r="BC382" s="3264">
        <f t="shared" si="217"/>
        <v>0</v>
      </c>
      <c r="BD382" s="3264">
        <f t="shared" si="218"/>
        <v>0</v>
      </c>
      <c r="BE382" s="3264">
        <f t="shared" si="219"/>
        <v>0</v>
      </c>
      <c r="BF382" s="3264">
        <f t="shared" si="220"/>
        <v>0</v>
      </c>
      <c r="BG382" s="3264">
        <f t="shared" si="221"/>
        <v>0</v>
      </c>
      <c r="BH382" s="3264">
        <f t="shared" si="222"/>
        <v>0</v>
      </c>
      <c r="BI382" s="3264">
        <f t="shared" si="223"/>
        <v>0</v>
      </c>
      <c r="BJ382" s="3264">
        <f t="shared" si="224"/>
        <v>0</v>
      </c>
      <c r="BK382" s="3264">
        <f t="shared" si="225"/>
        <v>0</v>
      </c>
      <c r="BL382" s="3264">
        <f t="shared" si="226"/>
        <v>0</v>
      </c>
      <c r="BM382" s="3264">
        <f t="shared" si="227"/>
        <v>0</v>
      </c>
      <c r="BN382" s="3264">
        <f t="shared" si="228"/>
        <v>0</v>
      </c>
      <c r="BO382" s="3264">
        <f t="shared" si="229"/>
        <v>0</v>
      </c>
      <c r="BP382" s="3264">
        <f t="shared" si="230"/>
        <v>0</v>
      </c>
      <c r="BQ382" s="3264">
        <f t="shared" si="231"/>
        <v>0</v>
      </c>
      <c r="BR382" s="3264">
        <f t="shared" si="232"/>
        <v>0</v>
      </c>
      <c r="BS382" s="3264">
        <f t="shared" si="233"/>
        <v>0</v>
      </c>
      <c r="BT382" s="3317">
        <f t="shared" si="234"/>
        <v>0</v>
      </c>
    </row>
    <row r="383" spans="1:72">
      <c r="A383" s="3262"/>
      <c r="B383" s="3263"/>
      <c r="C383" s="3263"/>
      <c r="D383" s="3268"/>
      <c r="E383" s="3264">
        <f t="shared" si="235"/>
        <v>0</v>
      </c>
      <c r="F383" s="3265"/>
      <c r="G383" s="3266">
        <f t="shared" si="210"/>
        <v>0</v>
      </c>
      <c r="H383" s="3267">
        <f t="shared" si="211"/>
        <v>0</v>
      </c>
      <c r="I383" s="3275"/>
      <c r="J383" s="3275"/>
      <c r="K383" s="3275"/>
      <c r="L383" s="3275"/>
      <c r="M383" s="3275"/>
      <c r="N383" s="3275"/>
      <c r="O383" s="3275"/>
      <c r="P383" s="3275"/>
      <c r="Q383" s="3275"/>
      <c r="R383" s="3275"/>
      <c r="S383" s="3275"/>
      <c r="T383" s="3275"/>
      <c r="U383" s="3275"/>
      <c r="V383" s="3275"/>
      <c r="W383" s="3275"/>
      <c r="X383" s="3275"/>
      <c r="Y383" s="3275"/>
      <c r="Z383" s="3275"/>
      <c r="AA383" s="3275"/>
      <c r="AB383" s="3275"/>
      <c r="AC383" s="3264">
        <f t="shared" si="212"/>
        <v>0</v>
      </c>
      <c r="AD383" s="3285"/>
      <c r="AE383" s="3285"/>
      <c r="AF383" s="3285"/>
      <c r="AG383" s="3285"/>
      <c r="AH383" s="3285"/>
      <c r="AI383" s="3285"/>
      <c r="AJ383" s="3285"/>
      <c r="AK383" s="3285"/>
      <c r="AL383" s="3285"/>
      <c r="AM383" s="3285"/>
      <c r="AN383" s="3285"/>
      <c r="AO383" s="3285"/>
      <c r="AP383" s="3285"/>
      <c r="AQ383" s="3285"/>
      <c r="AR383" s="3285"/>
      <c r="AS383" s="3285"/>
      <c r="AT383" s="3295"/>
      <c r="AU383" s="3296"/>
      <c r="AV383" s="830">
        <f t="shared" si="236"/>
        <v>0</v>
      </c>
      <c r="AW383" s="830">
        <f t="shared" si="237"/>
        <v>0</v>
      </c>
      <c r="AX383" s="830">
        <f t="shared" si="238"/>
        <v>0</v>
      </c>
      <c r="AY383" s="3310">
        <f t="shared" si="213"/>
        <v>0</v>
      </c>
      <c r="AZ383" s="3264">
        <f t="shared" si="214"/>
        <v>0</v>
      </c>
      <c r="BA383" s="3264">
        <f t="shared" si="215"/>
        <v>0</v>
      </c>
      <c r="BB383" s="3264">
        <f t="shared" si="216"/>
        <v>0</v>
      </c>
      <c r="BC383" s="3264">
        <f t="shared" si="217"/>
        <v>0</v>
      </c>
      <c r="BD383" s="3264">
        <f t="shared" si="218"/>
        <v>0</v>
      </c>
      <c r="BE383" s="3264">
        <f t="shared" si="219"/>
        <v>0</v>
      </c>
      <c r="BF383" s="3264">
        <f t="shared" si="220"/>
        <v>0</v>
      </c>
      <c r="BG383" s="3264">
        <f t="shared" si="221"/>
        <v>0</v>
      </c>
      <c r="BH383" s="3264">
        <f t="shared" si="222"/>
        <v>0</v>
      </c>
      <c r="BI383" s="3264">
        <f t="shared" si="223"/>
        <v>0</v>
      </c>
      <c r="BJ383" s="3264">
        <f t="shared" si="224"/>
        <v>0</v>
      </c>
      <c r="BK383" s="3264">
        <f t="shared" si="225"/>
        <v>0</v>
      </c>
      <c r="BL383" s="3264">
        <f t="shared" si="226"/>
        <v>0</v>
      </c>
      <c r="BM383" s="3264">
        <f t="shared" si="227"/>
        <v>0</v>
      </c>
      <c r="BN383" s="3264">
        <f t="shared" si="228"/>
        <v>0</v>
      </c>
      <c r="BO383" s="3264">
        <f t="shared" si="229"/>
        <v>0</v>
      </c>
      <c r="BP383" s="3264">
        <f t="shared" si="230"/>
        <v>0</v>
      </c>
      <c r="BQ383" s="3264">
        <f t="shared" si="231"/>
        <v>0</v>
      </c>
      <c r="BR383" s="3264">
        <f t="shared" si="232"/>
        <v>0</v>
      </c>
      <c r="BS383" s="3264">
        <f t="shared" si="233"/>
        <v>0</v>
      </c>
      <c r="BT383" s="3317">
        <f t="shared" si="234"/>
        <v>0</v>
      </c>
    </row>
    <row r="384" spans="1:72">
      <c r="A384" s="3262"/>
      <c r="B384" s="3263"/>
      <c r="C384" s="3263"/>
      <c r="D384" s="3268"/>
      <c r="E384" s="3264">
        <f t="shared" si="235"/>
        <v>0</v>
      </c>
      <c r="F384" s="3265"/>
      <c r="G384" s="3266">
        <f t="shared" si="210"/>
        <v>0</v>
      </c>
      <c r="H384" s="3267">
        <f t="shared" si="211"/>
        <v>0</v>
      </c>
      <c r="I384" s="3275"/>
      <c r="J384" s="3275"/>
      <c r="K384" s="3275"/>
      <c r="L384" s="3275"/>
      <c r="M384" s="3275"/>
      <c r="N384" s="3275"/>
      <c r="O384" s="3275"/>
      <c r="P384" s="3275"/>
      <c r="Q384" s="3275"/>
      <c r="R384" s="3275"/>
      <c r="S384" s="3275"/>
      <c r="T384" s="3275"/>
      <c r="U384" s="3275"/>
      <c r="V384" s="3275"/>
      <c r="W384" s="3275"/>
      <c r="X384" s="3275"/>
      <c r="Y384" s="3275"/>
      <c r="Z384" s="3275"/>
      <c r="AA384" s="3275"/>
      <c r="AB384" s="3275"/>
      <c r="AC384" s="3264">
        <f t="shared" si="212"/>
        <v>0</v>
      </c>
      <c r="AD384" s="3285"/>
      <c r="AE384" s="3285"/>
      <c r="AF384" s="3285"/>
      <c r="AG384" s="3285"/>
      <c r="AH384" s="3285"/>
      <c r="AI384" s="3285"/>
      <c r="AJ384" s="3285"/>
      <c r="AK384" s="3285"/>
      <c r="AL384" s="3285"/>
      <c r="AM384" s="3285"/>
      <c r="AN384" s="3285"/>
      <c r="AO384" s="3285"/>
      <c r="AP384" s="3285"/>
      <c r="AQ384" s="3285"/>
      <c r="AR384" s="3285"/>
      <c r="AS384" s="3285"/>
      <c r="AT384" s="3295"/>
      <c r="AU384" s="3296"/>
      <c r="AV384" s="830">
        <f t="shared" si="236"/>
        <v>0</v>
      </c>
      <c r="AW384" s="830">
        <f t="shared" si="237"/>
        <v>0</v>
      </c>
      <c r="AX384" s="830">
        <f t="shared" si="238"/>
        <v>0</v>
      </c>
      <c r="AY384" s="3310">
        <f t="shared" si="213"/>
        <v>0</v>
      </c>
      <c r="AZ384" s="3264">
        <f t="shared" si="214"/>
        <v>0</v>
      </c>
      <c r="BA384" s="3264">
        <f t="shared" si="215"/>
        <v>0</v>
      </c>
      <c r="BB384" s="3264">
        <f t="shared" si="216"/>
        <v>0</v>
      </c>
      <c r="BC384" s="3264">
        <f t="shared" si="217"/>
        <v>0</v>
      </c>
      <c r="BD384" s="3264">
        <f t="shared" si="218"/>
        <v>0</v>
      </c>
      <c r="BE384" s="3264">
        <f t="shared" si="219"/>
        <v>0</v>
      </c>
      <c r="BF384" s="3264">
        <f t="shared" si="220"/>
        <v>0</v>
      </c>
      <c r="BG384" s="3264">
        <f t="shared" si="221"/>
        <v>0</v>
      </c>
      <c r="BH384" s="3264">
        <f t="shared" si="222"/>
        <v>0</v>
      </c>
      <c r="BI384" s="3264">
        <f t="shared" si="223"/>
        <v>0</v>
      </c>
      <c r="BJ384" s="3264">
        <f t="shared" si="224"/>
        <v>0</v>
      </c>
      <c r="BK384" s="3264">
        <f t="shared" si="225"/>
        <v>0</v>
      </c>
      <c r="BL384" s="3264">
        <f t="shared" si="226"/>
        <v>0</v>
      </c>
      <c r="BM384" s="3264">
        <f t="shared" si="227"/>
        <v>0</v>
      </c>
      <c r="BN384" s="3264">
        <f t="shared" si="228"/>
        <v>0</v>
      </c>
      <c r="BO384" s="3264">
        <f t="shared" si="229"/>
        <v>0</v>
      </c>
      <c r="BP384" s="3264">
        <f t="shared" si="230"/>
        <v>0</v>
      </c>
      <c r="BQ384" s="3264">
        <f t="shared" si="231"/>
        <v>0</v>
      </c>
      <c r="BR384" s="3264">
        <f t="shared" si="232"/>
        <v>0</v>
      </c>
      <c r="BS384" s="3264">
        <f t="shared" si="233"/>
        <v>0</v>
      </c>
      <c r="BT384" s="3317">
        <f t="shared" si="234"/>
        <v>0</v>
      </c>
    </row>
    <row r="385" spans="1:72">
      <c r="A385" s="3262"/>
      <c r="B385" s="3263"/>
      <c r="C385" s="3263"/>
      <c r="D385" s="3268"/>
      <c r="E385" s="3264">
        <f t="shared" si="235"/>
        <v>0</v>
      </c>
      <c r="F385" s="3265"/>
      <c r="G385" s="3266">
        <f t="shared" si="210"/>
        <v>0</v>
      </c>
      <c r="H385" s="3267">
        <f t="shared" si="211"/>
        <v>0</v>
      </c>
      <c r="I385" s="3275"/>
      <c r="J385" s="3275"/>
      <c r="K385" s="3275"/>
      <c r="L385" s="3275"/>
      <c r="M385" s="3275"/>
      <c r="N385" s="3275"/>
      <c r="O385" s="3275"/>
      <c r="P385" s="3275"/>
      <c r="Q385" s="3275"/>
      <c r="R385" s="3275"/>
      <c r="S385" s="3275"/>
      <c r="T385" s="3275"/>
      <c r="U385" s="3275"/>
      <c r="V385" s="3275"/>
      <c r="W385" s="3275"/>
      <c r="X385" s="3275"/>
      <c r="Y385" s="3275"/>
      <c r="Z385" s="3275"/>
      <c r="AA385" s="3275"/>
      <c r="AB385" s="3275"/>
      <c r="AC385" s="3264">
        <f t="shared" si="212"/>
        <v>0</v>
      </c>
      <c r="AD385" s="3285"/>
      <c r="AE385" s="3285"/>
      <c r="AF385" s="3285"/>
      <c r="AG385" s="3285"/>
      <c r="AH385" s="3285"/>
      <c r="AI385" s="3285"/>
      <c r="AJ385" s="3285"/>
      <c r="AK385" s="3285"/>
      <c r="AL385" s="3285"/>
      <c r="AM385" s="3285"/>
      <c r="AN385" s="3285"/>
      <c r="AO385" s="3285"/>
      <c r="AP385" s="3285"/>
      <c r="AQ385" s="3285"/>
      <c r="AR385" s="3285"/>
      <c r="AS385" s="3285"/>
      <c r="AT385" s="3295"/>
      <c r="AU385" s="3296"/>
      <c r="AV385" s="830">
        <f t="shared" si="236"/>
        <v>0</v>
      </c>
      <c r="AW385" s="830">
        <f t="shared" si="237"/>
        <v>0</v>
      </c>
      <c r="AX385" s="830">
        <f t="shared" si="238"/>
        <v>0</v>
      </c>
      <c r="AY385" s="3310">
        <f t="shared" si="213"/>
        <v>0</v>
      </c>
      <c r="AZ385" s="3264">
        <f t="shared" si="214"/>
        <v>0</v>
      </c>
      <c r="BA385" s="3264">
        <f t="shared" si="215"/>
        <v>0</v>
      </c>
      <c r="BB385" s="3264">
        <f t="shared" si="216"/>
        <v>0</v>
      </c>
      <c r="BC385" s="3264">
        <f t="shared" si="217"/>
        <v>0</v>
      </c>
      <c r="BD385" s="3264">
        <f t="shared" si="218"/>
        <v>0</v>
      </c>
      <c r="BE385" s="3264">
        <f t="shared" si="219"/>
        <v>0</v>
      </c>
      <c r="BF385" s="3264">
        <f t="shared" si="220"/>
        <v>0</v>
      </c>
      <c r="BG385" s="3264">
        <f t="shared" si="221"/>
        <v>0</v>
      </c>
      <c r="BH385" s="3264">
        <f t="shared" si="222"/>
        <v>0</v>
      </c>
      <c r="BI385" s="3264">
        <f t="shared" si="223"/>
        <v>0</v>
      </c>
      <c r="BJ385" s="3264">
        <f t="shared" si="224"/>
        <v>0</v>
      </c>
      <c r="BK385" s="3264">
        <f t="shared" si="225"/>
        <v>0</v>
      </c>
      <c r="BL385" s="3264">
        <f t="shared" si="226"/>
        <v>0</v>
      </c>
      <c r="BM385" s="3264">
        <f t="shared" si="227"/>
        <v>0</v>
      </c>
      <c r="BN385" s="3264">
        <f t="shared" si="228"/>
        <v>0</v>
      </c>
      <c r="BO385" s="3264">
        <f t="shared" si="229"/>
        <v>0</v>
      </c>
      <c r="BP385" s="3264">
        <f t="shared" si="230"/>
        <v>0</v>
      </c>
      <c r="BQ385" s="3264">
        <f t="shared" si="231"/>
        <v>0</v>
      </c>
      <c r="BR385" s="3264">
        <f t="shared" si="232"/>
        <v>0</v>
      </c>
      <c r="BS385" s="3264">
        <f t="shared" si="233"/>
        <v>0</v>
      </c>
      <c r="BT385" s="3317">
        <f t="shared" si="234"/>
        <v>0</v>
      </c>
    </row>
    <row r="386" spans="1:72">
      <c r="A386" s="3262"/>
      <c r="B386" s="3263"/>
      <c r="C386" s="3263"/>
      <c r="D386" s="3268"/>
      <c r="E386" s="3264">
        <f t="shared" si="235"/>
        <v>0</v>
      </c>
      <c r="F386" s="3265"/>
      <c r="G386" s="3266">
        <f t="shared" si="210"/>
        <v>0</v>
      </c>
      <c r="H386" s="3267">
        <f t="shared" si="211"/>
        <v>0</v>
      </c>
      <c r="I386" s="3275"/>
      <c r="J386" s="3275"/>
      <c r="K386" s="3275"/>
      <c r="L386" s="3275"/>
      <c r="M386" s="3275"/>
      <c r="N386" s="3275"/>
      <c r="O386" s="3275"/>
      <c r="P386" s="3275"/>
      <c r="Q386" s="3275"/>
      <c r="R386" s="3275"/>
      <c r="S386" s="3275"/>
      <c r="T386" s="3275"/>
      <c r="U386" s="3275"/>
      <c r="V386" s="3275"/>
      <c r="W386" s="3275"/>
      <c r="X386" s="3275"/>
      <c r="Y386" s="3275"/>
      <c r="Z386" s="3275"/>
      <c r="AA386" s="3275"/>
      <c r="AB386" s="3275"/>
      <c r="AC386" s="3264">
        <f t="shared" si="212"/>
        <v>0</v>
      </c>
      <c r="AD386" s="3285"/>
      <c r="AE386" s="3285"/>
      <c r="AF386" s="3285"/>
      <c r="AG386" s="3285"/>
      <c r="AH386" s="3285"/>
      <c r="AI386" s="3285"/>
      <c r="AJ386" s="3285"/>
      <c r="AK386" s="3285"/>
      <c r="AL386" s="3285"/>
      <c r="AM386" s="3285"/>
      <c r="AN386" s="3285"/>
      <c r="AO386" s="3285"/>
      <c r="AP386" s="3285"/>
      <c r="AQ386" s="3285"/>
      <c r="AR386" s="3285"/>
      <c r="AS386" s="3285"/>
      <c r="AT386" s="3295"/>
      <c r="AU386" s="3296"/>
      <c r="AV386" s="830">
        <f t="shared" si="236"/>
        <v>0</v>
      </c>
      <c r="AW386" s="830">
        <f t="shared" si="237"/>
        <v>0</v>
      </c>
      <c r="AX386" s="830">
        <f t="shared" si="238"/>
        <v>0</v>
      </c>
      <c r="AY386" s="3310">
        <f t="shared" si="213"/>
        <v>0</v>
      </c>
      <c r="AZ386" s="3264">
        <f t="shared" si="214"/>
        <v>0</v>
      </c>
      <c r="BA386" s="3264">
        <f t="shared" si="215"/>
        <v>0</v>
      </c>
      <c r="BB386" s="3264">
        <f t="shared" si="216"/>
        <v>0</v>
      </c>
      <c r="BC386" s="3264">
        <f t="shared" si="217"/>
        <v>0</v>
      </c>
      <c r="BD386" s="3264">
        <f t="shared" si="218"/>
        <v>0</v>
      </c>
      <c r="BE386" s="3264">
        <f t="shared" si="219"/>
        <v>0</v>
      </c>
      <c r="BF386" s="3264">
        <f t="shared" si="220"/>
        <v>0</v>
      </c>
      <c r="BG386" s="3264">
        <f t="shared" si="221"/>
        <v>0</v>
      </c>
      <c r="BH386" s="3264">
        <f t="shared" si="222"/>
        <v>0</v>
      </c>
      <c r="BI386" s="3264">
        <f t="shared" si="223"/>
        <v>0</v>
      </c>
      <c r="BJ386" s="3264">
        <f t="shared" si="224"/>
        <v>0</v>
      </c>
      <c r="BK386" s="3264">
        <f t="shared" si="225"/>
        <v>0</v>
      </c>
      <c r="BL386" s="3264">
        <f t="shared" si="226"/>
        <v>0</v>
      </c>
      <c r="BM386" s="3264">
        <f t="shared" si="227"/>
        <v>0</v>
      </c>
      <c r="BN386" s="3264">
        <f t="shared" si="228"/>
        <v>0</v>
      </c>
      <c r="BO386" s="3264">
        <f t="shared" si="229"/>
        <v>0</v>
      </c>
      <c r="BP386" s="3264">
        <f t="shared" si="230"/>
        <v>0</v>
      </c>
      <c r="BQ386" s="3264">
        <f t="shared" si="231"/>
        <v>0</v>
      </c>
      <c r="BR386" s="3264">
        <f t="shared" si="232"/>
        <v>0</v>
      </c>
      <c r="BS386" s="3264">
        <f t="shared" si="233"/>
        <v>0</v>
      </c>
      <c r="BT386" s="3317">
        <f t="shared" si="234"/>
        <v>0</v>
      </c>
    </row>
    <row r="387" spans="1:72">
      <c r="A387" s="3262"/>
      <c r="B387" s="3263"/>
      <c r="C387" s="3263"/>
      <c r="D387" s="3268"/>
      <c r="E387" s="3264">
        <f t="shared" si="235"/>
        <v>0</v>
      </c>
      <c r="F387" s="3265"/>
      <c r="G387" s="3266">
        <f t="shared" si="210"/>
        <v>0</v>
      </c>
      <c r="H387" s="3267">
        <f t="shared" si="211"/>
        <v>0</v>
      </c>
      <c r="I387" s="3275"/>
      <c r="J387" s="3275"/>
      <c r="K387" s="3275"/>
      <c r="L387" s="3275"/>
      <c r="M387" s="3275"/>
      <c r="N387" s="3275"/>
      <c r="O387" s="3275"/>
      <c r="P387" s="3275"/>
      <c r="Q387" s="3275"/>
      <c r="R387" s="3275"/>
      <c r="S387" s="3275"/>
      <c r="T387" s="3275"/>
      <c r="U387" s="3275"/>
      <c r="V387" s="3275"/>
      <c r="W387" s="3275"/>
      <c r="X387" s="3275"/>
      <c r="Y387" s="3275"/>
      <c r="Z387" s="3275"/>
      <c r="AA387" s="3275"/>
      <c r="AB387" s="3275"/>
      <c r="AC387" s="3264">
        <f t="shared" si="212"/>
        <v>0</v>
      </c>
      <c r="AD387" s="3285"/>
      <c r="AE387" s="3285"/>
      <c r="AF387" s="3285"/>
      <c r="AG387" s="3285"/>
      <c r="AH387" s="3285"/>
      <c r="AI387" s="3285"/>
      <c r="AJ387" s="3285"/>
      <c r="AK387" s="3285"/>
      <c r="AL387" s="3285"/>
      <c r="AM387" s="3285"/>
      <c r="AN387" s="3285"/>
      <c r="AO387" s="3285"/>
      <c r="AP387" s="3285"/>
      <c r="AQ387" s="3285"/>
      <c r="AR387" s="3285"/>
      <c r="AS387" s="3285"/>
      <c r="AT387" s="3295"/>
      <c r="AU387" s="3296"/>
      <c r="AV387" s="830">
        <f t="shared" si="236"/>
        <v>0</v>
      </c>
      <c r="AW387" s="830">
        <f t="shared" si="237"/>
        <v>0</v>
      </c>
      <c r="AX387" s="830">
        <f t="shared" si="238"/>
        <v>0</v>
      </c>
      <c r="AY387" s="3310">
        <f t="shared" si="213"/>
        <v>0</v>
      </c>
      <c r="AZ387" s="3264">
        <f t="shared" si="214"/>
        <v>0</v>
      </c>
      <c r="BA387" s="3264">
        <f t="shared" si="215"/>
        <v>0</v>
      </c>
      <c r="BB387" s="3264">
        <f t="shared" si="216"/>
        <v>0</v>
      </c>
      <c r="BC387" s="3264">
        <f t="shared" si="217"/>
        <v>0</v>
      </c>
      <c r="BD387" s="3264">
        <f t="shared" si="218"/>
        <v>0</v>
      </c>
      <c r="BE387" s="3264">
        <f t="shared" si="219"/>
        <v>0</v>
      </c>
      <c r="BF387" s="3264">
        <f t="shared" si="220"/>
        <v>0</v>
      </c>
      <c r="BG387" s="3264">
        <f t="shared" si="221"/>
        <v>0</v>
      </c>
      <c r="BH387" s="3264">
        <f t="shared" si="222"/>
        <v>0</v>
      </c>
      <c r="BI387" s="3264">
        <f t="shared" si="223"/>
        <v>0</v>
      </c>
      <c r="BJ387" s="3264">
        <f t="shared" si="224"/>
        <v>0</v>
      </c>
      <c r="BK387" s="3264">
        <f t="shared" si="225"/>
        <v>0</v>
      </c>
      <c r="BL387" s="3264">
        <f t="shared" si="226"/>
        <v>0</v>
      </c>
      <c r="BM387" s="3264">
        <f t="shared" si="227"/>
        <v>0</v>
      </c>
      <c r="BN387" s="3264">
        <f t="shared" si="228"/>
        <v>0</v>
      </c>
      <c r="BO387" s="3264">
        <f t="shared" si="229"/>
        <v>0</v>
      </c>
      <c r="BP387" s="3264">
        <f t="shared" si="230"/>
        <v>0</v>
      </c>
      <c r="BQ387" s="3264">
        <f t="shared" si="231"/>
        <v>0</v>
      </c>
      <c r="BR387" s="3264">
        <f t="shared" si="232"/>
        <v>0</v>
      </c>
      <c r="BS387" s="3264">
        <f t="shared" si="233"/>
        <v>0</v>
      </c>
      <c r="BT387" s="3317">
        <f t="shared" si="234"/>
        <v>0</v>
      </c>
    </row>
    <row r="388" spans="1:72">
      <c r="A388" s="3262"/>
      <c r="B388" s="3263"/>
      <c r="C388" s="3263"/>
      <c r="D388" s="3268"/>
      <c r="E388" s="3264">
        <f t="shared" si="235"/>
        <v>0</v>
      </c>
      <c r="F388" s="3265"/>
      <c r="G388" s="3266">
        <f t="shared" si="210"/>
        <v>0</v>
      </c>
      <c r="H388" s="3267">
        <f t="shared" si="211"/>
        <v>0</v>
      </c>
      <c r="I388" s="3275"/>
      <c r="J388" s="3275"/>
      <c r="K388" s="3275"/>
      <c r="L388" s="3275"/>
      <c r="M388" s="3275"/>
      <c r="N388" s="3275"/>
      <c r="O388" s="3275"/>
      <c r="P388" s="3275"/>
      <c r="Q388" s="3275"/>
      <c r="R388" s="3275"/>
      <c r="S388" s="3275"/>
      <c r="T388" s="3275"/>
      <c r="U388" s="3275"/>
      <c r="V388" s="3275"/>
      <c r="W388" s="3275"/>
      <c r="X388" s="3275"/>
      <c r="Y388" s="3275"/>
      <c r="Z388" s="3275"/>
      <c r="AA388" s="3275"/>
      <c r="AB388" s="3275"/>
      <c r="AC388" s="3264">
        <f t="shared" si="212"/>
        <v>0</v>
      </c>
      <c r="AD388" s="3285"/>
      <c r="AE388" s="3285"/>
      <c r="AF388" s="3285"/>
      <c r="AG388" s="3285"/>
      <c r="AH388" s="3285"/>
      <c r="AI388" s="3285"/>
      <c r="AJ388" s="3285"/>
      <c r="AK388" s="3285"/>
      <c r="AL388" s="3285"/>
      <c r="AM388" s="3285"/>
      <c r="AN388" s="3285"/>
      <c r="AO388" s="3285"/>
      <c r="AP388" s="3285"/>
      <c r="AQ388" s="3285"/>
      <c r="AR388" s="3285"/>
      <c r="AS388" s="3285"/>
      <c r="AT388" s="3295"/>
      <c r="AU388" s="3296"/>
      <c r="AV388" s="830">
        <f t="shared" si="236"/>
        <v>0</v>
      </c>
      <c r="AW388" s="830">
        <f t="shared" si="237"/>
        <v>0</v>
      </c>
      <c r="AX388" s="830">
        <f t="shared" si="238"/>
        <v>0</v>
      </c>
      <c r="AY388" s="3310">
        <f t="shared" si="213"/>
        <v>0</v>
      </c>
      <c r="AZ388" s="3264">
        <f t="shared" si="214"/>
        <v>0</v>
      </c>
      <c r="BA388" s="3264">
        <f t="shared" si="215"/>
        <v>0</v>
      </c>
      <c r="BB388" s="3264">
        <f t="shared" si="216"/>
        <v>0</v>
      </c>
      <c r="BC388" s="3264">
        <f t="shared" si="217"/>
        <v>0</v>
      </c>
      <c r="BD388" s="3264">
        <f t="shared" si="218"/>
        <v>0</v>
      </c>
      <c r="BE388" s="3264">
        <f t="shared" si="219"/>
        <v>0</v>
      </c>
      <c r="BF388" s="3264">
        <f t="shared" si="220"/>
        <v>0</v>
      </c>
      <c r="BG388" s="3264">
        <f t="shared" si="221"/>
        <v>0</v>
      </c>
      <c r="BH388" s="3264">
        <f t="shared" si="222"/>
        <v>0</v>
      </c>
      <c r="BI388" s="3264">
        <f t="shared" si="223"/>
        <v>0</v>
      </c>
      <c r="BJ388" s="3264">
        <f t="shared" si="224"/>
        <v>0</v>
      </c>
      <c r="BK388" s="3264">
        <f t="shared" si="225"/>
        <v>0</v>
      </c>
      <c r="BL388" s="3264">
        <f t="shared" si="226"/>
        <v>0</v>
      </c>
      <c r="BM388" s="3264">
        <f t="shared" si="227"/>
        <v>0</v>
      </c>
      <c r="BN388" s="3264">
        <f t="shared" si="228"/>
        <v>0</v>
      </c>
      <c r="BO388" s="3264">
        <f t="shared" si="229"/>
        <v>0</v>
      </c>
      <c r="BP388" s="3264">
        <f t="shared" si="230"/>
        <v>0</v>
      </c>
      <c r="BQ388" s="3264">
        <f t="shared" si="231"/>
        <v>0</v>
      </c>
      <c r="BR388" s="3264">
        <f t="shared" si="232"/>
        <v>0</v>
      </c>
      <c r="BS388" s="3264">
        <f t="shared" si="233"/>
        <v>0</v>
      </c>
      <c r="BT388" s="3317">
        <f t="shared" si="234"/>
        <v>0</v>
      </c>
    </row>
    <row r="389" spans="1:72">
      <c r="A389" s="3262"/>
      <c r="B389" s="3263"/>
      <c r="C389" s="3263"/>
      <c r="D389" s="3268"/>
      <c r="E389" s="3264">
        <f t="shared" si="235"/>
        <v>0</v>
      </c>
      <c r="F389" s="3265"/>
      <c r="G389" s="3266">
        <f t="shared" si="210"/>
        <v>0</v>
      </c>
      <c r="H389" s="3267">
        <f t="shared" si="211"/>
        <v>0</v>
      </c>
      <c r="I389" s="3275"/>
      <c r="J389" s="3275"/>
      <c r="K389" s="3275"/>
      <c r="L389" s="3275"/>
      <c r="M389" s="3275"/>
      <c r="N389" s="3275"/>
      <c r="O389" s="3275"/>
      <c r="P389" s="3275"/>
      <c r="Q389" s="3275"/>
      <c r="R389" s="3275"/>
      <c r="S389" s="3275"/>
      <c r="T389" s="3275"/>
      <c r="U389" s="3275"/>
      <c r="V389" s="3275"/>
      <c r="W389" s="3275"/>
      <c r="X389" s="3275"/>
      <c r="Y389" s="3275"/>
      <c r="Z389" s="3275"/>
      <c r="AA389" s="3275"/>
      <c r="AB389" s="3275"/>
      <c r="AC389" s="3264">
        <f t="shared" si="212"/>
        <v>0</v>
      </c>
      <c r="AD389" s="3285"/>
      <c r="AE389" s="3285"/>
      <c r="AF389" s="3285"/>
      <c r="AG389" s="3285"/>
      <c r="AH389" s="3285"/>
      <c r="AI389" s="3285"/>
      <c r="AJ389" s="3285"/>
      <c r="AK389" s="3285"/>
      <c r="AL389" s="3285"/>
      <c r="AM389" s="3285"/>
      <c r="AN389" s="3285"/>
      <c r="AO389" s="3285"/>
      <c r="AP389" s="3285"/>
      <c r="AQ389" s="3285"/>
      <c r="AR389" s="3285"/>
      <c r="AS389" s="3285"/>
      <c r="AT389" s="3295"/>
      <c r="AU389" s="3296"/>
      <c r="AV389" s="830">
        <f t="shared" si="236"/>
        <v>0</v>
      </c>
      <c r="AW389" s="830">
        <f t="shared" si="237"/>
        <v>0</v>
      </c>
      <c r="AX389" s="830">
        <f t="shared" si="238"/>
        <v>0</v>
      </c>
      <c r="AY389" s="3310">
        <f t="shared" si="213"/>
        <v>0</v>
      </c>
      <c r="AZ389" s="3264">
        <f t="shared" si="214"/>
        <v>0</v>
      </c>
      <c r="BA389" s="3264">
        <f t="shared" si="215"/>
        <v>0</v>
      </c>
      <c r="BB389" s="3264">
        <f t="shared" si="216"/>
        <v>0</v>
      </c>
      <c r="BC389" s="3264">
        <f t="shared" si="217"/>
        <v>0</v>
      </c>
      <c r="BD389" s="3264">
        <f t="shared" si="218"/>
        <v>0</v>
      </c>
      <c r="BE389" s="3264">
        <f t="shared" si="219"/>
        <v>0</v>
      </c>
      <c r="BF389" s="3264">
        <f t="shared" si="220"/>
        <v>0</v>
      </c>
      <c r="BG389" s="3264">
        <f t="shared" si="221"/>
        <v>0</v>
      </c>
      <c r="BH389" s="3264">
        <f t="shared" si="222"/>
        <v>0</v>
      </c>
      <c r="BI389" s="3264">
        <f t="shared" si="223"/>
        <v>0</v>
      </c>
      <c r="BJ389" s="3264">
        <f t="shared" si="224"/>
        <v>0</v>
      </c>
      <c r="BK389" s="3264">
        <f t="shared" si="225"/>
        <v>0</v>
      </c>
      <c r="BL389" s="3264">
        <f t="shared" si="226"/>
        <v>0</v>
      </c>
      <c r="BM389" s="3264">
        <f t="shared" si="227"/>
        <v>0</v>
      </c>
      <c r="BN389" s="3264">
        <f t="shared" si="228"/>
        <v>0</v>
      </c>
      <c r="BO389" s="3264">
        <f t="shared" si="229"/>
        <v>0</v>
      </c>
      <c r="BP389" s="3264">
        <f t="shared" si="230"/>
        <v>0</v>
      </c>
      <c r="BQ389" s="3264">
        <f t="shared" si="231"/>
        <v>0</v>
      </c>
      <c r="BR389" s="3264">
        <f t="shared" si="232"/>
        <v>0</v>
      </c>
      <c r="BS389" s="3264">
        <f t="shared" si="233"/>
        <v>0</v>
      </c>
      <c r="BT389" s="3317">
        <f t="shared" si="234"/>
        <v>0</v>
      </c>
    </row>
    <row r="390" spans="1:72">
      <c r="A390" s="3262"/>
      <c r="B390" s="3263"/>
      <c r="C390" s="3263"/>
      <c r="D390" s="3268"/>
      <c r="E390" s="3264">
        <f t="shared" si="235"/>
        <v>0</v>
      </c>
      <c r="F390" s="3265"/>
      <c r="G390" s="3266">
        <f t="shared" si="210"/>
        <v>0</v>
      </c>
      <c r="H390" s="3267">
        <f t="shared" si="211"/>
        <v>0</v>
      </c>
      <c r="I390" s="3275"/>
      <c r="J390" s="3275"/>
      <c r="K390" s="3275"/>
      <c r="L390" s="3275"/>
      <c r="M390" s="3275"/>
      <c r="N390" s="3275"/>
      <c r="O390" s="3275"/>
      <c r="P390" s="3275"/>
      <c r="Q390" s="3275"/>
      <c r="R390" s="3275"/>
      <c r="S390" s="3275"/>
      <c r="T390" s="3275"/>
      <c r="U390" s="3275"/>
      <c r="V390" s="3275"/>
      <c r="W390" s="3275"/>
      <c r="X390" s="3275"/>
      <c r="Y390" s="3275"/>
      <c r="Z390" s="3275"/>
      <c r="AA390" s="3275"/>
      <c r="AB390" s="3275"/>
      <c r="AC390" s="3264">
        <f t="shared" si="212"/>
        <v>0</v>
      </c>
      <c r="AD390" s="3285"/>
      <c r="AE390" s="3285"/>
      <c r="AF390" s="3285"/>
      <c r="AG390" s="3285"/>
      <c r="AH390" s="3285"/>
      <c r="AI390" s="3285"/>
      <c r="AJ390" s="3285"/>
      <c r="AK390" s="3285"/>
      <c r="AL390" s="3285"/>
      <c r="AM390" s="3285"/>
      <c r="AN390" s="3285"/>
      <c r="AO390" s="3285"/>
      <c r="AP390" s="3285"/>
      <c r="AQ390" s="3285"/>
      <c r="AR390" s="3285"/>
      <c r="AS390" s="3285"/>
      <c r="AT390" s="3295"/>
      <c r="AU390" s="3296"/>
      <c r="AV390" s="830">
        <f t="shared" si="236"/>
        <v>0</v>
      </c>
      <c r="AW390" s="830">
        <f t="shared" si="237"/>
        <v>0</v>
      </c>
      <c r="AX390" s="830">
        <f t="shared" si="238"/>
        <v>0</v>
      </c>
      <c r="AY390" s="3310">
        <f t="shared" si="213"/>
        <v>0</v>
      </c>
      <c r="AZ390" s="3264">
        <f t="shared" si="214"/>
        <v>0</v>
      </c>
      <c r="BA390" s="3264">
        <f t="shared" si="215"/>
        <v>0</v>
      </c>
      <c r="BB390" s="3264">
        <f t="shared" si="216"/>
        <v>0</v>
      </c>
      <c r="BC390" s="3264">
        <f t="shared" si="217"/>
        <v>0</v>
      </c>
      <c r="BD390" s="3264">
        <f t="shared" si="218"/>
        <v>0</v>
      </c>
      <c r="BE390" s="3264">
        <f t="shared" si="219"/>
        <v>0</v>
      </c>
      <c r="BF390" s="3264">
        <f t="shared" si="220"/>
        <v>0</v>
      </c>
      <c r="BG390" s="3264">
        <f t="shared" si="221"/>
        <v>0</v>
      </c>
      <c r="BH390" s="3264">
        <f t="shared" si="222"/>
        <v>0</v>
      </c>
      <c r="BI390" s="3264">
        <f t="shared" si="223"/>
        <v>0</v>
      </c>
      <c r="BJ390" s="3264">
        <f t="shared" si="224"/>
        <v>0</v>
      </c>
      <c r="BK390" s="3264">
        <f t="shared" si="225"/>
        <v>0</v>
      </c>
      <c r="BL390" s="3264">
        <f t="shared" si="226"/>
        <v>0</v>
      </c>
      <c r="BM390" s="3264">
        <f t="shared" si="227"/>
        <v>0</v>
      </c>
      <c r="BN390" s="3264">
        <f t="shared" si="228"/>
        <v>0</v>
      </c>
      <c r="BO390" s="3264">
        <f t="shared" si="229"/>
        <v>0</v>
      </c>
      <c r="BP390" s="3264">
        <f t="shared" si="230"/>
        <v>0</v>
      </c>
      <c r="BQ390" s="3264">
        <f t="shared" si="231"/>
        <v>0</v>
      </c>
      <c r="BR390" s="3264">
        <f t="shared" si="232"/>
        <v>0</v>
      </c>
      <c r="BS390" s="3264">
        <f t="shared" si="233"/>
        <v>0</v>
      </c>
      <c r="BT390" s="3317">
        <f t="shared" si="234"/>
        <v>0</v>
      </c>
    </row>
    <row r="391" spans="1:72">
      <c r="A391" s="3262"/>
      <c r="B391" s="3263"/>
      <c r="C391" s="3263"/>
      <c r="D391" s="3268"/>
      <c r="E391" s="3264">
        <f t="shared" si="235"/>
        <v>0</v>
      </c>
      <c r="F391" s="3265"/>
      <c r="G391" s="3266">
        <f t="shared" si="210"/>
        <v>0</v>
      </c>
      <c r="H391" s="3267">
        <f t="shared" si="211"/>
        <v>0</v>
      </c>
      <c r="I391" s="3275"/>
      <c r="J391" s="3275"/>
      <c r="K391" s="3275"/>
      <c r="L391" s="3275"/>
      <c r="M391" s="3275"/>
      <c r="N391" s="3275"/>
      <c r="O391" s="3275"/>
      <c r="P391" s="3275"/>
      <c r="Q391" s="3275"/>
      <c r="R391" s="3275"/>
      <c r="S391" s="3275"/>
      <c r="T391" s="3275"/>
      <c r="U391" s="3275"/>
      <c r="V391" s="3275"/>
      <c r="W391" s="3275"/>
      <c r="X391" s="3275"/>
      <c r="Y391" s="3275"/>
      <c r="Z391" s="3275"/>
      <c r="AA391" s="3275"/>
      <c r="AB391" s="3275"/>
      <c r="AC391" s="3264">
        <f t="shared" si="212"/>
        <v>0</v>
      </c>
      <c r="AD391" s="3285"/>
      <c r="AE391" s="3285"/>
      <c r="AF391" s="3285"/>
      <c r="AG391" s="3285"/>
      <c r="AH391" s="3285"/>
      <c r="AI391" s="3285"/>
      <c r="AJ391" s="3285"/>
      <c r="AK391" s="3285"/>
      <c r="AL391" s="3285"/>
      <c r="AM391" s="3285"/>
      <c r="AN391" s="3285"/>
      <c r="AO391" s="3285"/>
      <c r="AP391" s="3285"/>
      <c r="AQ391" s="3285"/>
      <c r="AR391" s="3285"/>
      <c r="AS391" s="3285"/>
      <c r="AT391" s="3295"/>
      <c r="AU391" s="3296"/>
      <c r="AV391" s="830">
        <f t="shared" si="236"/>
        <v>0</v>
      </c>
      <c r="AW391" s="830">
        <f t="shared" si="237"/>
        <v>0</v>
      </c>
      <c r="AX391" s="830">
        <f t="shared" si="238"/>
        <v>0</v>
      </c>
      <c r="AY391" s="3310">
        <f t="shared" si="213"/>
        <v>0</v>
      </c>
      <c r="AZ391" s="3264">
        <f t="shared" si="214"/>
        <v>0</v>
      </c>
      <c r="BA391" s="3264">
        <f t="shared" si="215"/>
        <v>0</v>
      </c>
      <c r="BB391" s="3264">
        <f t="shared" si="216"/>
        <v>0</v>
      </c>
      <c r="BC391" s="3264">
        <f t="shared" si="217"/>
        <v>0</v>
      </c>
      <c r="BD391" s="3264">
        <f t="shared" si="218"/>
        <v>0</v>
      </c>
      <c r="BE391" s="3264">
        <f t="shared" si="219"/>
        <v>0</v>
      </c>
      <c r="BF391" s="3264">
        <f t="shared" si="220"/>
        <v>0</v>
      </c>
      <c r="BG391" s="3264">
        <f t="shared" si="221"/>
        <v>0</v>
      </c>
      <c r="BH391" s="3264">
        <f t="shared" si="222"/>
        <v>0</v>
      </c>
      <c r="BI391" s="3264">
        <f t="shared" si="223"/>
        <v>0</v>
      </c>
      <c r="BJ391" s="3264">
        <f t="shared" si="224"/>
        <v>0</v>
      </c>
      <c r="BK391" s="3264">
        <f t="shared" si="225"/>
        <v>0</v>
      </c>
      <c r="BL391" s="3264">
        <f t="shared" si="226"/>
        <v>0</v>
      </c>
      <c r="BM391" s="3264">
        <f t="shared" si="227"/>
        <v>0</v>
      </c>
      <c r="BN391" s="3264">
        <f t="shared" si="228"/>
        <v>0</v>
      </c>
      <c r="BO391" s="3264">
        <f t="shared" si="229"/>
        <v>0</v>
      </c>
      <c r="BP391" s="3264">
        <f t="shared" si="230"/>
        <v>0</v>
      </c>
      <c r="BQ391" s="3264">
        <f t="shared" si="231"/>
        <v>0</v>
      </c>
      <c r="BR391" s="3264">
        <f t="shared" si="232"/>
        <v>0</v>
      </c>
      <c r="BS391" s="3264">
        <f t="shared" si="233"/>
        <v>0</v>
      </c>
      <c r="BT391" s="3317">
        <f t="shared" si="234"/>
        <v>0</v>
      </c>
    </row>
    <row r="392" spans="1:72">
      <c r="A392" s="3262"/>
      <c r="B392" s="3263"/>
      <c r="C392" s="3263"/>
      <c r="D392" s="3268"/>
      <c r="E392" s="3264">
        <f t="shared" si="235"/>
        <v>0</v>
      </c>
      <c r="F392" s="3265"/>
      <c r="G392" s="3266">
        <f t="shared" si="210"/>
        <v>0</v>
      </c>
      <c r="H392" s="3267">
        <f t="shared" si="211"/>
        <v>0</v>
      </c>
      <c r="I392" s="3275"/>
      <c r="J392" s="3275"/>
      <c r="K392" s="3275"/>
      <c r="L392" s="3275"/>
      <c r="M392" s="3275"/>
      <c r="N392" s="3275"/>
      <c r="O392" s="3275"/>
      <c r="P392" s="3275"/>
      <c r="Q392" s="3275"/>
      <c r="R392" s="3275"/>
      <c r="S392" s="3275"/>
      <c r="T392" s="3275"/>
      <c r="U392" s="3275"/>
      <c r="V392" s="3275"/>
      <c r="W392" s="3275"/>
      <c r="X392" s="3275"/>
      <c r="Y392" s="3275"/>
      <c r="Z392" s="3275"/>
      <c r="AA392" s="3275"/>
      <c r="AB392" s="3275"/>
      <c r="AC392" s="3264">
        <f t="shared" si="212"/>
        <v>0</v>
      </c>
      <c r="AD392" s="3285"/>
      <c r="AE392" s="3285"/>
      <c r="AF392" s="3285"/>
      <c r="AG392" s="3285"/>
      <c r="AH392" s="3285"/>
      <c r="AI392" s="3285"/>
      <c r="AJ392" s="3285"/>
      <c r="AK392" s="3285"/>
      <c r="AL392" s="3285"/>
      <c r="AM392" s="3285"/>
      <c r="AN392" s="3285"/>
      <c r="AO392" s="3285"/>
      <c r="AP392" s="3285"/>
      <c r="AQ392" s="3285"/>
      <c r="AR392" s="3285"/>
      <c r="AS392" s="3285"/>
      <c r="AT392" s="3295"/>
      <c r="AU392" s="3296"/>
      <c r="AV392" s="830">
        <f t="shared" si="236"/>
        <v>0</v>
      </c>
      <c r="AW392" s="830">
        <f t="shared" si="237"/>
        <v>0</v>
      </c>
      <c r="AX392" s="830">
        <f t="shared" si="238"/>
        <v>0</v>
      </c>
      <c r="AY392" s="3310">
        <f t="shared" si="213"/>
        <v>0</v>
      </c>
      <c r="AZ392" s="3264">
        <f t="shared" si="214"/>
        <v>0</v>
      </c>
      <c r="BA392" s="3264">
        <f t="shared" si="215"/>
        <v>0</v>
      </c>
      <c r="BB392" s="3264">
        <f t="shared" si="216"/>
        <v>0</v>
      </c>
      <c r="BC392" s="3264">
        <f t="shared" si="217"/>
        <v>0</v>
      </c>
      <c r="BD392" s="3264">
        <f t="shared" si="218"/>
        <v>0</v>
      </c>
      <c r="BE392" s="3264">
        <f t="shared" si="219"/>
        <v>0</v>
      </c>
      <c r="BF392" s="3264">
        <f t="shared" si="220"/>
        <v>0</v>
      </c>
      <c r="BG392" s="3264">
        <f t="shared" si="221"/>
        <v>0</v>
      </c>
      <c r="BH392" s="3264">
        <f t="shared" si="222"/>
        <v>0</v>
      </c>
      <c r="BI392" s="3264">
        <f t="shared" si="223"/>
        <v>0</v>
      </c>
      <c r="BJ392" s="3264">
        <f t="shared" si="224"/>
        <v>0</v>
      </c>
      <c r="BK392" s="3264">
        <f t="shared" si="225"/>
        <v>0</v>
      </c>
      <c r="BL392" s="3264">
        <f t="shared" si="226"/>
        <v>0</v>
      </c>
      <c r="BM392" s="3264">
        <f t="shared" si="227"/>
        <v>0</v>
      </c>
      <c r="BN392" s="3264">
        <f t="shared" si="228"/>
        <v>0</v>
      </c>
      <c r="BO392" s="3264">
        <f t="shared" si="229"/>
        <v>0</v>
      </c>
      <c r="BP392" s="3264">
        <f t="shared" si="230"/>
        <v>0</v>
      </c>
      <c r="BQ392" s="3264">
        <f t="shared" si="231"/>
        <v>0</v>
      </c>
      <c r="BR392" s="3264">
        <f t="shared" si="232"/>
        <v>0</v>
      </c>
      <c r="BS392" s="3264">
        <f t="shared" si="233"/>
        <v>0</v>
      </c>
      <c r="BT392" s="3317">
        <f t="shared" si="234"/>
        <v>0</v>
      </c>
    </row>
    <row r="393" spans="1:72">
      <c r="A393" s="3262"/>
      <c r="B393" s="3263"/>
      <c r="C393" s="3263"/>
      <c r="D393" s="3268"/>
      <c r="E393" s="3264">
        <f t="shared" si="235"/>
        <v>0</v>
      </c>
      <c r="F393" s="3265"/>
      <c r="G393" s="3266">
        <f t="shared" si="210"/>
        <v>0</v>
      </c>
      <c r="H393" s="3267">
        <f t="shared" si="211"/>
        <v>0</v>
      </c>
      <c r="I393" s="3275"/>
      <c r="J393" s="3275"/>
      <c r="K393" s="3275"/>
      <c r="L393" s="3275"/>
      <c r="M393" s="3275"/>
      <c r="N393" s="3275"/>
      <c r="O393" s="3275"/>
      <c r="P393" s="3275"/>
      <c r="Q393" s="3275"/>
      <c r="R393" s="3275"/>
      <c r="S393" s="3275"/>
      <c r="T393" s="3275"/>
      <c r="U393" s="3275"/>
      <c r="V393" s="3275"/>
      <c r="W393" s="3275"/>
      <c r="X393" s="3275"/>
      <c r="Y393" s="3275"/>
      <c r="Z393" s="3275"/>
      <c r="AA393" s="3275"/>
      <c r="AB393" s="3275"/>
      <c r="AC393" s="3264">
        <f t="shared" si="212"/>
        <v>0</v>
      </c>
      <c r="AD393" s="3285"/>
      <c r="AE393" s="3285"/>
      <c r="AF393" s="3285"/>
      <c r="AG393" s="3285"/>
      <c r="AH393" s="3285"/>
      <c r="AI393" s="3285"/>
      <c r="AJ393" s="3285"/>
      <c r="AK393" s="3285"/>
      <c r="AL393" s="3285"/>
      <c r="AM393" s="3285"/>
      <c r="AN393" s="3285"/>
      <c r="AO393" s="3285"/>
      <c r="AP393" s="3285"/>
      <c r="AQ393" s="3285"/>
      <c r="AR393" s="3285"/>
      <c r="AS393" s="3285"/>
      <c r="AT393" s="3295"/>
      <c r="AU393" s="3296"/>
      <c r="AV393" s="830">
        <f t="shared" si="236"/>
        <v>0</v>
      </c>
      <c r="AW393" s="830">
        <f t="shared" si="237"/>
        <v>0</v>
      </c>
      <c r="AX393" s="830">
        <f t="shared" si="238"/>
        <v>0</v>
      </c>
      <c r="AY393" s="3310">
        <f t="shared" si="213"/>
        <v>0</v>
      </c>
      <c r="AZ393" s="3264">
        <f t="shared" si="214"/>
        <v>0</v>
      </c>
      <c r="BA393" s="3264">
        <f t="shared" si="215"/>
        <v>0</v>
      </c>
      <c r="BB393" s="3264">
        <f t="shared" si="216"/>
        <v>0</v>
      </c>
      <c r="BC393" s="3264">
        <f t="shared" si="217"/>
        <v>0</v>
      </c>
      <c r="BD393" s="3264">
        <f t="shared" si="218"/>
        <v>0</v>
      </c>
      <c r="BE393" s="3264">
        <f t="shared" si="219"/>
        <v>0</v>
      </c>
      <c r="BF393" s="3264">
        <f t="shared" si="220"/>
        <v>0</v>
      </c>
      <c r="BG393" s="3264">
        <f t="shared" si="221"/>
        <v>0</v>
      </c>
      <c r="BH393" s="3264">
        <f t="shared" si="222"/>
        <v>0</v>
      </c>
      <c r="BI393" s="3264">
        <f t="shared" si="223"/>
        <v>0</v>
      </c>
      <c r="BJ393" s="3264">
        <f t="shared" si="224"/>
        <v>0</v>
      </c>
      <c r="BK393" s="3264">
        <f t="shared" si="225"/>
        <v>0</v>
      </c>
      <c r="BL393" s="3264">
        <f t="shared" si="226"/>
        <v>0</v>
      </c>
      <c r="BM393" s="3264">
        <f t="shared" si="227"/>
        <v>0</v>
      </c>
      <c r="BN393" s="3264">
        <f t="shared" si="228"/>
        <v>0</v>
      </c>
      <c r="BO393" s="3264">
        <f t="shared" si="229"/>
        <v>0</v>
      </c>
      <c r="BP393" s="3264">
        <f t="shared" si="230"/>
        <v>0</v>
      </c>
      <c r="BQ393" s="3264">
        <f t="shared" si="231"/>
        <v>0</v>
      </c>
      <c r="BR393" s="3264">
        <f t="shared" si="232"/>
        <v>0</v>
      </c>
      <c r="BS393" s="3264">
        <f t="shared" si="233"/>
        <v>0</v>
      </c>
      <c r="BT393" s="3317">
        <f t="shared" si="234"/>
        <v>0</v>
      </c>
    </row>
    <row r="394" spans="1:72">
      <c r="A394" s="3262"/>
      <c r="B394" s="3263"/>
      <c r="C394" s="3263"/>
      <c r="D394" s="3268"/>
      <c r="E394" s="3264">
        <f t="shared" si="235"/>
        <v>0</v>
      </c>
      <c r="F394" s="3265"/>
      <c r="G394" s="3266">
        <f t="shared" si="210"/>
        <v>0</v>
      </c>
      <c r="H394" s="3267">
        <f t="shared" si="211"/>
        <v>0</v>
      </c>
      <c r="I394" s="3275"/>
      <c r="J394" s="3275"/>
      <c r="K394" s="3275"/>
      <c r="L394" s="3275"/>
      <c r="M394" s="3275"/>
      <c r="N394" s="3275"/>
      <c r="O394" s="3275"/>
      <c r="P394" s="3275"/>
      <c r="Q394" s="3275"/>
      <c r="R394" s="3275"/>
      <c r="S394" s="3275"/>
      <c r="T394" s="3275"/>
      <c r="U394" s="3275"/>
      <c r="V394" s="3275"/>
      <c r="W394" s="3275"/>
      <c r="X394" s="3275"/>
      <c r="Y394" s="3275"/>
      <c r="Z394" s="3275"/>
      <c r="AA394" s="3275"/>
      <c r="AB394" s="3275"/>
      <c r="AC394" s="3264">
        <f t="shared" si="212"/>
        <v>0</v>
      </c>
      <c r="AD394" s="3285"/>
      <c r="AE394" s="3285"/>
      <c r="AF394" s="3285"/>
      <c r="AG394" s="3285"/>
      <c r="AH394" s="3285"/>
      <c r="AI394" s="3285"/>
      <c r="AJ394" s="3285"/>
      <c r="AK394" s="3285"/>
      <c r="AL394" s="3285"/>
      <c r="AM394" s="3285"/>
      <c r="AN394" s="3285"/>
      <c r="AO394" s="3285"/>
      <c r="AP394" s="3285"/>
      <c r="AQ394" s="3285"/>
      <c r="AR394" s="3285"/>
      <c r="AS394" s="3285"/>
      <c r="AT394" s="3295"/>
      <c r="AU394" s="3296"/>
      <c r="AV394" s="830">
        <f t="shared" si="236"/>
        <v>0</v>
      </c>
      <c r="AW394" s="830">
        <f t="shared" si="237"/>
        <v>0</v>
      </c>
      <c r="AX394" s="830">
        <f t="shared" si="238"/>
        <v>0</v>
      </c>
      <c r="AY394" s="3310">
        <f t="shared" si="213"/>
        <v>0</v>
      </c>
      <c r="AZ394" s="3264">
        <f t="shared" si="214"/>
        <v>0</v>
      </c>
      <c r="BA394" s="3264">
        <f t="shared" si="215"/>
        <v>0</v>
      </c>
      <c r="BB394" s="3264">
        <f t="shared" si="216"/>
        <v>0</v>
      </c>
      <c r="BC394" s="3264">
        <f t="shared" si="217"/>
        <v>0</v>
      </c>
      <c r="BD394" s="3264">
        <f t="shared" si="218"/>
        <v>0</v>
      </c>
      <c r="BE394" s="3264">
        <f t="shared" si="219"/>
        <v>0</v>
      </c>
      <c r="BF394" s="3264">
        <f t="shared" si="220"/>
        <v>0</v>
      </c>
      <c r="BG394" s="3264">
        <f t="shared" si="221"/>
        <v>0</v>
      </c>
      <c r="BH394" s="3264">
        <f t="shared" si="222"/>
        <v>0</v>
      </c>
      <c r="BI394" s="3264">
        <f t="shared" si="223"/>
        <v>0</v>
      </c>
      <c r="BJ394" s="3264">
        <f t="shared" si="224"/>
        <v>0</v>
      </c>
      <c r="BK394" s="3264">
        <f t="shared" si="225"/>
        <v>0</v>
      </c>
      <c r="BL394" s="3264">
        <f t="shared" si="226"/>
        <v>0</v>
      </c>
      <c r="BM394" s="3264">
        <f t="shared" si="227"/>
        <v>0</v>
      </c>
      <c r="BN394" s="3264">
        <f t="shared" si="228"/>
        <v>0</v>
      </c>
      <c r="BO394" s="3264">
        <f t="shared" si="229"/>
        <v>0</v>
      </c>
      <c r="BP394" s="3264">
        <f t="shared" si="230"/>
        <v>0</v>
      </c>
      <c r="BQ394" s="3264">
        <f t="shared" si="231"/>
        <v>0</v>
      </c>
      <c r="BR394" s="3264">
        <f t="shared" si="232"/>
        <v>0</v>
      </c>
      <c r="BS394" s="3264">
        <f t="shared" si="233"/>
        <v>0</v>
      </c>
      <c r="BT394" s="3317">
        <f t="shared" si="234"/>
        <v>0</v>
      </c>
    </row>
    <row r="395" spans="1:72">
      <c r="A395" s="3262"/>
      <c r="B395" s="3262"/>
      <c r="C395" s="3262"/>
      <c r="D395" s="3268"/>
      <c r="E395" s="3264">
        <f t="shared" si="235"/>
        <v>0</v>
      </c>
      <c r="F395" s="3318"/>
      <c r="G395" s="3266">
        <f t="shared" si="210"/>
        <v>0</v>
      </c>
      <c r="H395" s="3267">
        <f t="shared" si="211"/>
        <v>0</v>
      </c>
      <c r="I395" s="3319"/>
      <c r="J395" s="3319"/>
      <c r="K395" s="3275"/>
      <c r="L395" s="3275"/>
      <c r="M395" s="3275"/>
      <c r="N395" s="3275"/>
      <c r="O395" s="3275"/>
      <c r="P395" s="3275"/>
      <c r="Q395" s="3275"/>
      <c r="R395" s="3275"/>
      <c r="S395" s="3275"/>
      <c r="T395" s="3275"/>
      <c r="U395" s="3275"/>
      <c r="V395" s="3275"/>
      <c r="W395" s="3275"/>
      <c r="X395" s="3275"/>
      <c r="Y395" s="3275"/>
      <c r="Z395" s="3275"/>
      <c r="AA395" s="3275"/>
      <c r="AB395" s="3275"/>
      <c r="AC395" s="3264">
        <f t="shared" si="212"/>
        <v>0</v>
      </c>
      <c r="AD395" s="3285"/>
      <c r="AE395" s="3285"/>
      <c r="AF395" s="3285"/>
      <c r="AG395" s="3285"/>
      <c r="AH395" s="3285"/>
      <c r="AI395" s="3285"/>
      <c r="AJ395" s="3285"/>
      <c r="AK395" s="3285"/>
      <c r="AL395" s="3285"/>
      <c r="AM395" s="3285"/>
      <c r="AN395" s="3285"/>
      <c r="AO395" s="3285"/>
      <c r="AP395" s="3285"/>
      <c r="AQ395" s="3285"/>
      <c r="AR395" s="3285"/>
      <c r="AS395" s="3285"/>
      <c r="AT395" s="3285"/>
      <c r="AU395" s="3320"/>
      <c r="AV395" s="830">
        <f t="shared" si="236"/>
        <v>0</v>
      </c>
      <c r="AW395" s="830">
        <f t="shared" si="237"/>
        <v>0</v>
      </c>
      <c r="AX395" s="830">
        <f t="shared" si="238"/>
        <v>0</v>
      </c>
      <c r="AY395" s="3310">
        <f t="shared" si="213"/>
        <v>0</v>
      </c>
      <c r="AZ395" s="3264">
        <f t="shared" si="214"/>
        <v>0</v>
      </c>
      <c r="BA395" s="3264">
        <f t="shared" si="215"/>
        <v>0</v>
      </c>
      <c r="BB395" s="3264">
        <f t="shared" si="216"/>
        <v>0</v>
      </c>
      <c r="BC395" s="3264">
        <f t="shared" si="217"/>
        <v>0</v>
      </c>
      <c r="BD395" s="3264">
        <f t="shared" si="218"/>
        <v>0</v>
      </c>
      <c r="BE395" s="3264">
        <f t="shared" si="219"/>
        <v>0</v>
      </c>
      <c r="BF395" s="3264">
        <f t="shared" si="220"/>
        <v>0</v>
      </c>
      <c r="BG395" s="3264">
        <f t="shared" si="221"/>
        <v>0</v>
      </c>
      <c r="BH395" s="3264">
        <f t="shared" si="222"/>
        <v>0</v>
      </c>
      <c r="BI395" s="3264">
        <f t="shared" si="223"/>
        <v>0</v>
      </c>
      <c r="BJ395" s="3264">
        <f t="shared" si="224"/>
        <v>0</v>
      </c>
      <c r="BK395" s="3264">
        <f t="shared" si="225"/>
        <v>0</v>
      </c>
      <c r="BL395" s="3264">
        <f t="shared" si="226"/>
        <v>0</v>
      </c>
      <c r="BM395" s="3264">
        <f t="shared" si="227"/>
        <v>0</v>
      </c>
      <c r="BN395" s="3264">
        <f t="shared" si="228"/>
        <v>0</v>
      </c>
      <c r="BO395" s="3264">
        <f t="shared" si="229"/>
        <v>0</v>
      </c>
      <c r="BP395" s="3264">
        <f t="shared" si="230"/>
        <v>0</v>
      </c>
      <c r="BQ395" s="3264">
        <f t="shared" si="231"/>
        <v>0</v>
      </c>
      <c r="BR395" s="3264">
        <f t="shared" si="232"/>
        <v>0</v>
      </c>
      <c r="BS395" s="3264">
        <f t="shared" si="233"/>
        <v>0</v>
      </c>
      <c r="BT395" s="3317">
        <f t="shared" si="234"/>
        <v>0</v>
      </c>
    </row>
    <row r="396" spans="1:72">
      <c r="A396" s="3262"/>
      <c r="B396" s="3262"/>
      <c r="C396" s="3262"/>
      <c r="D396" s="3268"/>
      <c r="E396" s="3264">
        <f t="shared" si="235"/>
        <v>0</v>
      </c>
      <c r="F396" s="3318"/>
      <c r="G396" s="3266">
        <f t="shared" si="210"/>
        <v>0</v>
      </c>
      <c r="H396" s="3267">
        <f t="shared" si="211"/>
        <v>0</v>
      </c>
      <c r="I396" s="3275"/>
      <c r="J396" s="3275"/>
      <c r="K396" s="3275"/>
      <c r="L396" s="3275"/>
      <c r="M396" s="3275"/>
      <c r="N396" s="3275"/>
      <c r="O396" s="3275"/>
      <c r="P396" s="3275"/>
      <c r="Q396" s="3275"/>
      <c r="R396" s="3275"/>
      <c r="S396" s="3275"/>
      <c r="T396" s="3275"/>
      <c r="U396" s="3275"/>
      <c r="V396" s="3275"/>
      <c r="W396" s="3275"/>
      <c r="X396" s="3275"/>
      <c r="Y396" s="3275"/>
      <c r="Z396" s="3275"/>
      <c r="AA396" s="3275"/>
      <c r="AB396" s="3275"/>
      <c r="AC396" s="3264">
        <f t="shared" si="212"/>
        <v>0</v>
      </c>
      <c r="AD396" s="3285"/>
      <c r="AE396" s="3285"/>
      <c r="AF396" s="3285"/>
      <c r="AG396" s="3285"/>
      <c r="AH396" s="3285"/>
      <c r="AI396" s="3285"/>
      <c r="AJ396" s="3285"/>
      <c r="AK396" s="3285"/>
      <c r="AL396" s="3285"/>
      <c r="AM396" s="3285"/>
      <c r="AN396" s="3285"/>
      <c r="AO396" s="3285"/>
      <c r="AP396" s="3285"/>
      <c r="AQ396" s="3285"/>
      <c r="AR396" s="3285"/>
      <c r="AS396" s="3285"/>
      <c r="AT396" s="3285"/>
      <c r="AU396" s="3320"/>
      <c r="AV396" s="830">
        <f t="shared" si="236"/>
        <v>0</v>
      </c>
      <c r="AW396" s="830">
        <f t="shared" si="237"/>
        <v>0</v>
      </c>
      <c r="AX396" s="830">
        <f t="shared" si="238"/>
        <v>0</v>
      </c>
      <c r="AY396" s="3310">
        <f t="shared" si="213"/>
        <v>0</v>
      </c>
      <c r="AZ396" s="3264">
        <f t="shared" si="214"/>
        <v>0</v>
      </c>
      <c r="BA396" s="3264">
        <f t="shared" si="215"/>
        <v>0</v>
      </c>
      <c r="BB396" s="3264">
        <f t="shared" si="216"/>
        <v>0</v>
      </c>
      <c r="BC396" s="3264">
        <f t="shared" si="217"/>
        <v>0</v>
      </c>
      <c r="BD396" s="3264">
        <f t="shared" si="218"/>
        <v>0</v>
      </c>
      <c r="BE396" s="3264">
        <f t="shared" si="219"/>
        <v>0</v>
      </c>
      <c r="BF396" s="3264">
        <f t="shared" si="220"/>
        <v>0</v>
      </c>
      <c r="BG396" s="3264">
        <f t="shared" si="221"/>
        <v>0</v>
      </c>
      <c r="BH396" s="3264">
        <f t="shared" si="222"/>
        <v>0</v>
      </c>
      <c r="BI396" s="3264">
        <f t="shared" si="223"/>
        <v>0</v>
      </c>
      <c r="BJ396" s="3264">
        <f t="shared" si="224"/>
        <v>0</v>
      </c>
      <c r="BK396" s="3264">
        <f t="shared" si="225"/>
        <v>0</v>
      </c>
      <c r="BL396" s="3264">
        <f t="shared" si="226"/>
        <v>0</v>
      </c>
      <c r="BM396" s="3264">
        <f t="shared" si="227"/>
        <v>0</v>
      </c>
      <c r="BN396" s="3264">
        <f t="shared" si="228"/>
        <v>0</v>
      </c>
      <c r="BO396" s="3264">
        <f t="shared" si="229"/>
        <v>0</v>
      </c>
      <c r="BP396" s="3264">
        <f t="shared" si="230"/>
        <v>0</v>
      </c>
      <c r="BQ396" s="3264">
        <f t="shared" si="231"/>
        <v>0</v>
      </c>
      <c r="BR396" s="3264">
        <f t="shared" si="232"/>
        <v>0</v>
      </c>
      <c r="BS396" s="3264">
        <f t="shared" si="233"/>
        <v>0</v>
      </c>
      <c r="BT396" s="3317">
        <f t="shared" si="234"/>
        <v>0</v>
      </c>
    </row>
    <row r="397" spans="1:72">
      <c r="A397" s="3262"/>
      <c r="B397" s="3262"/>
      <c r="C397" s="3262"/>
      <c r="D397" s="3268"/>
      <c r="E397" s="3264">
        <f t="shared" si="235"/>
        <v>0</v>
      </c>
      <c r="F397" s="3318"/>
      <c r="G397" s="3266">
        <f t="shared" si="210"/>
        <v>0</v>
      </c>
      <c r="H397" s="3267">
        <f t="shared" si="211"/>
        <v>0</v>
      </c>
      <c r="I397" s="3275"/>
      <c r="J397" s="3275"/>
      <c r="K397" s="3275"/>
      <c r="L397" s="3275"/>
      <c r="M397" s="3275"/>
      <c r="N397" s="3275"/>
      <c r="O397" s="3275"/>
      <c r="P397" s="3275"/>
      <c r="Q397" s="3275"/>
      <c r="R397" s="3275"/>
      <c r="S397" s="3275"/>
      <c r="T397" s="3275"/>
      <c r="U397" s="3275"/>
      <c r="V397" s="3275"/>
      <c r="W397" s="3275"/>
      <c r="X397" s="3275"/>
      <c r="Y397" s="3275"/>
      <c r="Z397" s="3275"/>
      <c r="AA397" s="3275"/>
      <c r="AB397" s="3275"/>
      <c r="AC397" s="3264">
        <f t="shared" si="212"/>
        <v>0</v>
      </c>
      <c r="AD397" s="3285"/>
      <c r="AE397" s="3285"/>
      <c r="AF397" s="3285"/>
      <c r="AG397" s="3285"/>
      <c r="AH397" s="3285"/>
      <c r="AI397" s="3285"/>
      <c r="AJ397" s="3285"/>
      <c r="AK397" s="3285"/>
      <c r="AL397" s="3285"/>
      <c r="AM397" s="3285"/>
      <c r="AN397" s="3285"/>
      <c r="AO397" s="3285"/>
      <c r="AP397" s="3285"/>
      <c r="AQ397" s="3285"/>
      <c r="AR397" s="3285"/>
      <c r="AS397" s="3285"/>
      <c r="AT397" s="3285"/>
      <c r="AU397" s="3320"/>
      <c r="AV397" s="830">
        <f t="shared" si="236"/>
        <v>0</v>
      </c>
      <c r="AW397" s="830">
        <f t="shared" si="237"/>
        <v>0</v>
      </c>
      <c r="AX397" s="830">
        <f t="shared" si="238"/>
        <v>0</v>
      </c>
      <c r="AY397" s="3310">
        <f t="shared" si="213"/>
        <v>0</v>
      </c>
      <c r="AZ397" s="3264">
        <f t="shared" si="214"/>
        <v>0</v>
      </c>
      <c r="BA397" s="3264">
        <f t="shared" si="215"/>
        <v>0</v>
      </c>
      <c r="BB397" s="3264">
        <f t="shared" si="216"/>
        <v>0</v>
      </c>
      <c r="BC397" s="3264">
        <f t="shared" si="217"/>
        <v>0</v>
      </c>
      <c r="BD397" s="3264">
        <f t="shared" si="218"/>
        <v>0</v>
      </c>
      <c r="BE397" s="3264">
        <f t="shared" si="219"/>
        <v>0</v>
      </c>
      <c r="BF397" s="3264">
        <f t="shared" si="220"/>
        <v>0</v>
      </c>
      <c r="BG397" s="3264">
        <f t="shared" si="221"/>
        <v>0</v>
      </c>
      <c r="BH397" s="3264">
        <f t="shared" si="222"/>
        <v>0</v>
      </c>
      <c r="BI397" s="3264">
        <f t="shared" si="223"/>
        <v>0</v>
      </c>
      <c r="BJ397" s="3264">
        <f t="shared" si="224"/>
        <v>0</v>
      </c>
      <c r="BK397" s="3264">
        <f t="shared" si="225"/>
        <v>0</v>
      </c>
      <c r="BL397" s="3264">
        <f t="shared" si="226"/>
        <v>0</v>
      </c>
      <c r="BM397" s="3264">
        <f t="shared" si="227"/>
        <v>0</v>
      </c>
      <c r="BN397" s="3264">
        <f t="shared" si="228"/>
        <v>0</v>
      </c>
      <c r="BO397" s="3264">
        <f t="shared" si="229"/>
        <v>0</v>
      </c>
      <c r="BP397" s="3264">
        <f t="shared" si="230"/>
        <v>0</v>
      </c>
      <c r="BQ397" s="3264">
        <f t="shared" si="231"/>
        <v>0</v>
      </c>
      <c r="BR397" s="3264">
        <f t="shared" si="232"/>
        <v>0</v>
      </c>
      <c r="BS397" s="3264">
        <f t="shared" si="233"/>
        <v>0</v>
      </c>
      <c r="BT397" s="3317">
        <f t="shared" si="234"/>
        <v>0</v>
      </c>
    </row>
    <row r="398" spans="1:72">
      <c r="A398" s="3262"/>
      <c r="B398" s="3263"/>
      <c r="C398" s="3263"/>
      <c r="D398" s="3268"/>
      <c r="E398" s="3264">
        <f t="shared" ref="E398:E492" si="239">IF($C$3="是",ROUND($A$3*G398/$B$3,2),ROUND($A$3*(G398-AT398)/$B$3,2))</f>
        <v>0</v>
      </c>
      <c r="F398" s="3265"/>
      <c r="G398" s="3266">
        <f t="shared" ref="G398:G489" si="240">H398+AC398+AT398</f>
        <v>0</v>
      </c>
      <c r="H398" s="3267">
        <f t="shared" ref="H398:H489" si="241">SUMIF(I$12:AB$12,"总值",I398:AB398)</f>
        <v>0</v>
      </c>
      <c r="I398" s="3275"/>
      <c r="J398" s="3275"/>
      <c r="K398" s="3275"/>
      <c r="L398" s="3275"/>
      <c r="M398" s="3275"/>
      <c r="N398" s="3275"/>
      <c r="O398" s="3275"/>
      <c r="P398" s="3275"/>
      <c r="Q398" s="3275"/>
      <c r="R398" s="3275"/>
      <c r="S398" s="3275"/>
      <c r="T398" s="3275"/>
      <c r="U398" s="3275"/>
      <c r="V398" s="3275"/>
      <c r="W398" s="3275"/>
      <c r="X398" s="3275"/>
      <c r="Y398" s="3275"/>
      <c r="Z398" s="3275"/>
      <c r="AA398" s="3275"/>
      <c r="AB398" s="3275"/>
      <c r="AC398" s="3264">
        <f t="shared" ref="AC398:AC489" si="242">SUMIF(AD$12:AS$12,"总值",AD398:AS398)</f>
        <v>0</v>
      </c>
      <c r="AD398" s="3285"/>
      <c r="AE398" s="3285"/>
      <c r="AF398" s="3285"/>
      <c r="AG398" s="3285"/>
      <c r="AH398" s="3285"/>
      <c r="AI398" s="3285"/>
      <c r="AJ398" s="3285"/>
      <c r="AK398" s="3285"/>
      <c r="AL398" s="3285"/>
      <c r="AM398" s="3285"/>
      <c r="AN398" s="3285"/>
      <c r="AO398" s="3285"/>
      <c r="AP398" s="3285"/>
      <c r="AQ398" s="3285"/>
      <c r="AR398" s="3285"/>
      <c r="AS398" s="3285"/>
      <c r="AT398" s="3295"/>
      <c r="AU398" s="3296"/>
      <c r="AV398" s="830">
        <f t="shared" ref="AV398:AV492" si="243">A398</f>
        <v>0</v>
      </c>
      <c r="AW398" s="830">
        <f t="shared" ref="AW398:AW492" si="244">B398</f>
        <v>0</v>
      </c>
      <c r="AX398" s="830">
        <f t="shared" ref="AX398:AX492" si="245">C398</f>
        <v>0</v>
      </c>
      <c r="AY398" s="3310">
        <f t="shared" ref="AY398:AY489" si="246">ROUND($AY$6*AZ398/$AZ$5,2)</f>
        <v>0</v>
      </c>
      <c r="AZ398" s="3264">
        <f t="shared" ref="AZ398:AZ489" si="247">BA398+BL398</f>
        <v>0</v>
      </c>
      <c r="BA398" s="3264">
        <f t="shared" ref="BA398:BA489" si="248">SUM(BB398:BK398)</f>
        <v>0</v>
      </c>
      <c r="BB398" s="3264">
        <f t="shared" ref="BB398:BB489" si="249">IF($D398="是",I398-J398,0)</f>
        <v>0</v>
      </c>
      <c r="BC398" s="3264">
        <f t="shared" ref="BC398:BC489" si="250">IF($D398="是",K398-L398,0)</f>
        <v>0</v>
      </c>
      <c r="BD398" s="3264">
        <f t="shared" ref="BD398:BD489" si="251">IF($D398="是",M398-N398,0)</f>
        <v>0</v>
      </c>
      <c r="BE398" s="3264">
        <f t="shared" ref="BE398:BE489" si="252">IF($D398="是",O398-P398,0)</f>
        <v>0</v>
      </c>
      <c r="BF398" s="3264">
        <f t="shared" ref="BF398:BF489" si="253">IF($D398="是",Q398-R398,0)</f>
        <v>0</v>
      </c>
      <c r="BG398" s="3264">
        <f t="shared" ref="BG398:BG489" si="254">IF($D398="是",S398-T398,0)</f>
        <v>0</v>
      </c>
      <c r="BH398" s="3264">
        <f t="shared" ref="BH398:BH489" si="255">IF($D398="是",U398-V398,0)</f>
        <v>0</v>
      </c>
      <c r="BI398" s="3264">
        <f t="shared" ref="BI398:BI489" si="256">IF($D398="是",W398-X398,0)</f>
        <v>0</v>
      </c>
      <c r="BJ398" s="3264">
        <f t="shared" ref="BJ398:BJ489" si="257">IF($D398="是",Y398-Z398,0)</f>
        <v>0</v>
      </c>
      <c r="BK398" s="3264">
        <f t="shared" ref="BK398:BK489" si="258">IF($D398="是",AA398-AB398,0)</f>
        <v>0</v>
      </c>
      <c r="BL398" s="3264">
        <f t="shared" ref="BL398:BL489" si="259">SUM(BM398:BT398)</f>
        <v>0</v>
      </c>
      <c r="BM398" s="3264">
        <f t="shared" ref="BM398:BM489" si="260">IF($D398="是",AD398-AE398,0)</f>
        <v>0</v>
      </c>
      <c r="BN398" s="3264">
        <f t="shared" ref="BN398:BN489" si="261">IF($D398="是",AF398-AG398,0)</f>
        <v>0</v>
      </c>
      <c r="BO398" s="3264">
        <f t="shared" ref="BO398:BO489" si="262">IF($D398="是",AH398-AI398,0)</f>
        <v>0</v>
      </c>
      <c r="BP398" s="3264">
        <f t="shared" ref="BP398:BP489" si="263">IF($D398="是",AJ398-AK398,0)</f>
        <v>0</v>
      </c>
      <c r="BQ398" s="3264">
        <f t="shared" ref="BQ398:BQ489" si="264">IF($D398="是",AL398-AM398,0)</f>
        <v>0</v>
      </c>
      <c r="BR398" s="3264">
        <f t="shared" ref="BR398:BR489" si="265">IF($D398="是",AN398-AO398,0)</f>
        <v>0</v>
      </c>
      <c r="BS398" s="3264">
        <f t="shared" ref="BS398:BS489" si="266">IF($D398="是",AP398-AQ398,0)</f>
        <v>0</v>
      </c>
      <c r="BT398" s="3317">
        <f t="shared" ref="BT398:BT489" si="267">IF($D398="是",AR398-AS398,0)</f>
        <v>0</v>
      </c>
    </row>
    <row r="399" spans="1:72">
      <c r="A399" s="3262"/>
      <c r="B399" s="3263"/>
      <c r="C399" s="3263"/>
      <c r="D399" s="3268"/>
      <c r="E399" s="3264">
        <f t="shared" si="239"/>
        <v>0</v>
      </c>
      <c r="F399" s="3265"/>
      <c r="G399" s="3266">
        <f t="shared" si="240"/>
        <v>0</v>
      </c>
      <c r="H399" s="3267">
        <f t="shared" si="241"/>
        <v>0</v>
      </c>
      <c r="I399" s="3275"/>
      <c r="J399" s="3275"/>
      <c r="K399" s="3275"/>
      <c r="L399" s="3275"/>
      <c r="M399" s="3275"/>
      <c r="N399" s="3275"/>
      <c r="O399" s="3275"/>
      <c r="P399" s="3275"/>
      <c r="Q399" s="3275"/>
      <c r="R399" s="3275"/>
      <c r="S399" s="3275"/>
      <c r="T399" s="3275"/>
      <c r="U399" s="3275"/>
      <c r="V399" s="3275"/>
      <c r="W399" s="3275"/>
      <c r="X399" s="3275"/>
      <c r="Y399" s="3275"/>
      <c r="Z399" s="3275"/>
      <c r="AA399" s="3275"/>
      <c r="AB399" s="3275"/>
      <c r="AC399" s="3264">
        <f t="shared" si="242"/>
        <v>0</v>
      </c>
      <c r="AD399" s="3285"/>
      <c r="AE399" s="3285"/>
      <c r="AF399" s="3285"/>
      <c r="AG399" s="3285"/>
      <c r="AH399" s="3285"/>
      <c r="AI399" s="3285"/>
      <c r="AJ399" s="3285"/>
      <c r="AK399" s="3285"/>
      <c r="AL399" s="3285"/>
      <c r="AM399" s="3285"/>
      <c r="AN399" s="3285"/>
      <c r="AO399" s="3285"/>
      <c r="AP399" s="3285"/>
      <c r="AQ399" s="3285"/>
      <c r="AR399" s="3285"/>
      <c r="AS399" s="3285"/>
      <c r="AT399" s="3295"/>
      <c r="AU399" s="3296"/>
      <c r="AV399" s="830">
        <f t="shared" si="243"/>
        <v>0</v>
      </c>
      <c r="AW399" s="830">
        <f t="shared" si="244"/>
        <v>0</v>
      </c>
      <c r="AX399" s="830">
        <f t="shared" si="245"/>
        <v>0</v>
      </c>
      <c r="AY399" s="3310">
        <f t="shared" si="246"/>
        <v>0</v>
      </c>
      <c r="AZ399" s="3264">
        <f t="shared" si="247"/>
        <v>0</v>
      </c>
      <c r="BA399" s="3264">
        <f t="shared" si="248"/>
        <v>0</v>
      </c>
      <c r="BB399" s="3264">
        <f t="shared" si="249"/>
        <v>0</v>
      </c>
      <c r="BC399" s="3264">
        <f t="shared" si="250"/>
        <v>0</v>
      </c>
      <c r="BD399" s="3264">
        <f t="shared" si="251"/>
        <v>0</v>
      </c>
      <c r="BE399" s="3264">
        <f t="shared" si="252"/>
        <v>0</v>
      </c>
      <c r="BF399" s="3264">
        <f t="shared" si="253"/>
        <v>0</v>
      </c>
      <c r="BG399" s="3264">
        <f t="shared" si="254"/>
        <v>0</v>
      </c>
      <c r="BH399" s="3264">
        <f t="shared" si="255"/>
        <v>0</v>
      </c>
      <c r="BI399" s="3264">
        <f t="shared" si="256"/>
        <v>0</v>
      </c>
      <c r="BJ399" s="3264">
        <f t="shared" si="257"/>
        <v>0</v>
      </c>
      <c r="BK399" s="3264">
        <f t="shared" si="258"/>
        <v>0</v>
      </c>
      <c r="BL399" s="3264">
        <f t="shared" si="259"/>
        <v>0</v>
      </c>
      <c r="BM399" s="3264">
        <f t="shared" si="260"/>
        <v>0</v>
      </c>
      <c r="BN399" s="3264">
        <f t="shared" si="261"/>
        <v>0</v>
      </c>
      <c r="BO399" s="3264">
        <f t="shared" si="262"/>
        <v>0</v>
      </c>
      <c r="BP399" s="3264">
        <f t="shared" si="263"/>
        <v>0</v>
      </c>
      <c r="BQ399" s="3264">
        <f t="shared" si="264"/>
        <v>0</v>
      </c>
      <c r="BR399" s="3264">
        <f t="shared" si="265"/>
        <v>0</v>
      </c>
      <c r="BS399" s="3264">
        <f t="shared" si="266"/>
        <v>0</v>
      </c>
      <c r="BT399" s="3317">
        <f t="shared" si="267"/>
        <v>0</v>
      </c>
    </row>
    <row r="400" spans="1:72">
      <c r="A400" s="3262"/>
      <c r="B400" s="3263"/>
      <c r="C400" s="3263"/>
      <c r="D400" s="3268"/>
      <c r="E400" s="3264">
        <f t="shared" si="239"/>
        <v>0</v>
      </c>
      <c r="F400" s="3265"/>
      <c r="G400" s="3266">
        <f t="shared" si="240"/>
        <v>0</v>
      </c>
      <c r="H400" s="3267">
        <f t="shared" si="241"/>
        <v>0</v>
      </c>
      <c r="I400" s="3275"/>
      <c r="J400" s="3275"/>
      <c r="K400" s="3275"/>
      <c r="L400" s="3275"/>
      <c r="M400" s="3275"/>
      <c r="N400" s="3275"/>
      <c r="O400" s="3275"/>
      <c r="P400" s="3275"/>
      <c r="Q400" s="3275"/>
      <c r="R400" s="3275"/>
      <c r="S400" s="3275"/>
      <c r="T400" s="3275"/>
      <c r="U400" s="3275"/>
      <c r="V400" s="3275"/>
      <c r="W400" s="3275"/>
      <c r="X400" s="3275"/>
      <c r="Y400" s="3275"/>
      <c r="Z400" s="3275"/>
      <c r="AA400" s="3275"/>
      <c r="AB400" s="3275"/>
      <c r="AC400" s="3264">
        <f t="shared" si="242"/>
        <v>0</v>
      </c>
      <c r="AD400" s="3285"/>
      <c r="AE400" s="3285"/>
      <c r="AF400" s="3285"/>
      <c r="AG400" s="3285"/>
      <c r="AH400" s="3285"/>
      <c r="AI400" s="3285"/>
      <c r="AJ400" s="3285"/>
      <c r="AK400" s="3285"/>
      <c r="AL400" s="3285"/>
      <c r="AM400" s="3285"/>
      <c r="AN400" s="3285"/>
      <c r="AO400" s="3285"/>
      <c r="AP400" s="3285"/>
      <c r="AQ400" s="3285"/>
      <c r="AR400" s="3285"/>
      <c r="AS400" s="3285"/>
      <c r="AT400" s="3295"/>
      <c r="AU400" s="3296"/>
      <c r="AV400" s="830">
        <f t="shared" si="243"/>
        <v>0</v>
      </c>
      <c r="AW400" s="830">
        <f t="shared" si="244"/>
        <v>0</v>
      </c>
      <c r="AX400" s="830">
        <f t="shared" si="245"/>
        <v>0</v>
      </c>
      <c r="AY400" s="3310">
        <f t="shared" si="246"/>
        <v>0</v>
      </c>
      <c r="AZ400" s="3264">
        <f t="shared" si="247"/>
        <v>0</v>
      </c>
      <c r="BA400" s="3264">
        <f t="shared" si="248"/>
        <v>0</v>
      </c>
      <c r="BB400" s="3264">
        <f t="shared" si="249"/>
        <v>0</v>
      </c>
      <c r="BC400" s="3264">
        <f t="shared" si="250"/>
        <v>0</v>
      </c>
      <c r="BD400" s="3264">
        <f t="shared" si="251"/>
        <v>0</v>
      </c>
      <c r="BE400" s="3264">
        <f t="shared" si="252"/>
        <v>0</v>
      </c>
      <c r="BF400" s="3264">
        <f t="shared" si="253"/>
        <v>0</v>
      </c>
      <c r="BG400" s="3264">
        <f t="shared" si="254"/>
        <v>0</v>
      </c>
      <c r="BH400" s="3264">
        <f t="shared" si="255"/>
        <v>0</v>
      </c>
      <c r="BI400" s="3264">
        <f t="shared" si="256"/>
        <v>0</v>
      </c>
      <c r="BJ400" s="3264">
        <f t="shared" si="257"/>
        <v>0</v>
      </c>
      <c r="BK400" s="3264">
        <f t="shared" si="258"/>
        <v>0</v>
      </c>
      <c r="BL400" s="3264">
        <f t="shared" si="259"/>
        <v>0</v>
      </c>
      <c r="BM400" s="3264">
        <f t="shared" si="260"/>
        <v>0</v>
      </c>
      <c r="BN400" s="3264">
        <f t="shared" si="261"/>
        <v>0</v>
      </c>
      <c r="BO400" s="3264">
        <f t="shared" si="262"/>
        <v>0</v>
      </c>
      <c r="BP400" s="3264">
        <f t="shared" si="263"/>
        <v>0</v>
      </c>
      <c r="BQ400" s="3264">
        <f t="shared" si="264"/>
        <v>0</v>
      </c>
      <c r="BR400" s="3264">
        <f t="shared" si="265"/>
        <v>0</v>
      </c>
      <c r="BS400" s="3264">
        <f t="shared" si="266"/>
        <v>0</v>
      </c>
      <c r="BT400" s="3317">
        <f t="shared" si="267"/>
        <v>0</v>
      </c>
    </row>
    <row r="401" spans="1:72">
      <c r="A401" s="3262"/>
      <c r="B401" s="3263"/>
      <c r="C401" s="3263"/>
      <c r="D401" s="3268"/>
      <c r="E401" s="3264">
        <f t="shared" si="239"/>
        <v>0</v>
      </c>
      <c r="F401" s="3265"/>
      <c r="G401" s="3266">
        <f t="shared" si="240"/>
        <v>0</v>
      </c>
      <c r="H401" s="3267">
        <f t="shared" si="241"/>
        <v>0</v>
      </c>
      <c r="I401" s="3275"/>
      <c r="J401" s="3275"/>
      <c r="K401" s="3275"/>
      <c r="L401" s="3275"/>
      <c r="M401" s="3275"/>
      <c r="N401" s="3275"/>
      <c r="O401" s="3275"/>
      <c r="P401" s="3275"/>
      <c r="Q401" s="3275"/>
      <c r="R401" s="3275"/>
      <c r="S401" s="3275"/>
      <c r="T401" s="3275"/>
      <c r="U401" s="3275"/>
      <c r="V401" s="3275"/>
      <c r="W401" s="3275"/>
      <c r="X401" s="3275"/>
      <c r="Y401" s="3275"/>
      <c r="Z401" s="3275"/>
      <c r="AA401" s="3275"/>
      <c r="AB401" s="3275"/>
      <c r="AC401" s="3264">
        <f t="shared" si="242"/>
        <v>0</v>
      </c>
      <c r="AD401" s="3285"/>
      <c r="AE401" s="3285"/>
      <c r="AF401" s="3285"/>
      <c r="AG401" s="3285"/>
      <c r="AH401" s="3285"/>
      <c r="AI401" s="3285"/>
      <c r="AJ401" s="3285"/>
      <c r="AK401" s="3285"/>
      <c r="AL401" s="3285"/>
      <c r="AM401" s="3285"/>
      <c r="AN401" s="3285"/>
      <c r="AO401" s="3285"/>
      <c r="AP401" s="3285"/>
      <c r="AQ401" s="3285"/>
      <c r="AR401" s="3285"/>
      <c r="AS401" s="3285"/>
      <c r="AT401" s="3295"/>
      <c r="AU401" s="3296"/>
      <c r="AV401" s="830">
        <f t="shared" si="243"/>
        <v>0</v>
      </c>
      <c r="AW401" s="830">
        <f t="shared" si="244"/>
        <v>0</v>
      </c>
      <c r="AX401" s="830">
        <f t="shared" si="245"/>
        <v>0</v>
      </c>
      <c r="AY401" s="3310">
        <f t="shared" si="246"/>
        <v>0</v>
      </c>
      <c r="AZ401" s="3264">
        <f t="shared" si="247"/>
        <v>0</v>
      </c>
      <c r="BA401" s="3264">
        <f t="shared" si="248"/>
        <v>0</v>
      </c>
      <c r="BB401" s="3264">
        <f t="shared" si="249"/>
        <v>0</v>
      </c>
      <c r="BC401" s="3264">
        <f t="shared" si="250"/>
        <v>0</v>
      </c>
      <c r="BD401" s="3264">
        <f t="shared" si="251"/>
        <v>0</v>
      </c>
      <c r="BE401" s="3264">
        <f t="shared" si="252"/>
        <v>0</v>
      </c>
      <c r="BF401" s="3264">
        <f t="shared" si="253"/>
        <v>0</v>
      </c>
      <c r="BG401" s="3264">
        <f t="shared" si="254"/>
        <v>0</v>
      </c>
      <c r="BH401" s="3264">
        <f t="shared" si="255"/>
        <v>0</v>
      </c>
      <c r="BI401" s="3264">
        <f t="shared" si="256"/>
        <v>0</v>
      </c>
      <c r="BJ401" s="3264">
        <f t="shared" si="257"/>
        <v>0</v>
      </c>
      <c r="BK401" s="3264">
        <f t="shared" si="258"/>
        <v>0</v>
      </c>
      <c r="BL401" s="3264">
        <f t="shared" si="259"/>
        <v>0</v>
      </c>
      <c r="BM401" s="3264">
        <f t="shared" si="260"/>
        <v>0</v>
      </c>
      <c r="BN401" s="3264">
        <f t="shared" si="261"/>
        <v>0</v>
      </c>
      <c r="BO401" s="3264">
        <f t="shared" si="262"/>
        <v>0</v>
      </c>
      <c r="BP401" s="3264">
        <f t="shared" si="263"/>
        <v>0</v>
      </c>
      <c r="BQ401" s="3264">
        <f t="shared" si="264"/>
        <v>0</v>
      </c>
      <c r="BR401" s="3264">
        <f t="shared" si="265"/>
        <v>0</v>
      </c>
      <c r="BS401" s="3264">
        <f t="shared" si="266"/>
        <v>0</v>
      </c>
      <c r="BT401" s="3317">
        <f t="shared" si="267"/>
        <v>0</v>
      </c>
    </row>
    <row r="402" spans="1:72">
      <c r="A402" s="3262"/>
      <c r="B402" s="3263"/>
      <c r="C402" s="3263"/>
      <c r="D402" s="3268"/>
      <c r="E402" s="3264">
        <f t="shared" si="239"/>
        <v>0</v>
      </c>
      <c r="F402" s="3265"/>
      <c r="G402" s="3266">
        <f t="shared" si="240"/>
        <v>0</v>
      </c>
      <c r="H402" s="3267">
        <f t="shared" si="241"/>
        <v>0</v>
      </c>
      <c r="I402" s="3275"/>
      <c r="J402" s="3275"/>
      <c r="K402" s="3275"/>
      <c r="L402" s="3275"/>
      <c r="M402" s="3275"/>
      <c r="N402" s="3275"/>
      <c r="O402" s="3275"/>
      <c r="P402" s="3275"/>
      <c r="Q402" s="3275"/>
      <c r="R402" s="3275"/>
      <c r="S402" s="3275"/>
      <c r="T402" s="3275"/>
      <c r="U402" s="3275"/>
      <c r="V402" s="3275"/>
      <c r="W402" s="3275"/>
      <c r="X402" s="3275"/>
      <c r="Y402" s="3275"/>
      <c r="Z402" s="3275"/>
      <c r="AA402" s="3275"/>
      <c r="AB402" s="3275"/>
      <c r="AC402" s="3264">
        <f t="shared" si="242"/>
        <v>0</v>
      </c>
      <c r="AD402" s="3285"/>
      <c r="AE402" s="3285"/>
      <c r="AF402" s="3285"/>
      <c r="AG402" s="3285"/>
      <c r="AH402" s="3285"/>
      <c r="AI402" s="3285"/>
      <c r="AJ402" s="3285"/>
      <c r="AK402" s="3285"/>
      <c r="AL402" s="3285"/>
      <c r="AM402" s="3285"/>
      <c r="AN402" s="3285"/>
      <c r="AO402" s="3285"/>
      <c r="AP402" s="3285"/>
      <c r="AQ402" s="3285"/>
      <c r="AR402" s="3285"/>
      <c r="AS402" s="3285"/>
      <c r="AT402" s="3295"/>
      <c r="AU402" s="3296"/>
      <c r="AV402" s="830">
        <f t="shared" si="243"/>
        <v>0</v>
      </c>
      <c r="AW402" s="830">
        <f t="shared" si="244"/>
        <v>0</v>
      </c>
      <c r="AX402" s="830">
        <f t="shared" si="245"/>
        <v>0</v>
      </c>
      <c r="AY402" s="3310">
        <f t="shared" si="246"/>
        <v>0</v>
      </c>
      <c r="AZ402" s="3264">
        <f t="shared" si="247"/>
        <v>0</v>
      </c>
      <c r="BA402" s="3264">
        <f t="shared" si="248"/>
        <v>0</v>
      </c>
      <c r="BB402" s="3264">
        <f t="shared" si="249"/>
        <v>0</v>
      </c>
      <c r="BC402" s="3264">
        <f t="shared" si="250"/>
        <v>0</v>
      </c>
      <c r="BD402" s="3264">
        <f t="shared" si="251"/>
        <v>0</v>
      </c>
      <c r="BE402" s="3264">
        <f t="shared" si="252"/>
        <v>0</v>
      </c>
      <c r="BF402" s="3264">
        <f t="shared" si="253"/>
        <v>0</v>
      </c>
      <c r="BG402" s="3264">
        <f t="shared" si="254"/>
        <v>0</v>
      </c>
      <c r="BH402" s="3264">
        <f t="shared" si="255"/>
        <v>0</v>
      </c>
      <c r="BI402" s="3264">
        <f t="shared" si="256"/>
        <v>0</v>
      </c>
      <c r="BJ402" s="3264">
        <f t="shared" si="257"/>
        <v>0</v>
      </c>
      <c r="BK402" s="3264">
        <f t="shared" si="258"/>
        <v>0</v>
      </c>
      <c r="BL402" s="3264">
        <f t="shared" si="259"/>
        <v>0</v>
      </c>
      <c r="BM402" s="3264">
        <f t="shared" si="260"/>
        <v>0</v>
      </c>
      <c r="BN402" s="3264">
        <f t="shared" si="261"/>
        <v>0</v>
      </c>
      <c r="BO402" s="3264">
        <f t="shared" si="262"/>
        <v>0</v>
      </c>
      <c r="BP402" s="3264">
        <f t="shared" si="263"/>
        <v>0</v>
      </c>
      <c r="BQ402" s="3264">
        <f t="shared" si="264"/>
        <v>0</v>
      </c>
      <c r="BR402" s="3264">
        <f t="shared" si="265"/>
        <v>0</v>
      </c>
      <c r="BS402" s="3264">
        <f t="shared" si="266"/>
        <v>0</v>
      </c>
      <c r="BT402" s="3317">
        <f t="shared" si="267"/>
        <v>0</v>
      </c>
    </row>
    <row r="403" spans="1:72">
      <c r="A403" s="3262"/>
      <c r="B403" s="3263"/>
      <c r="C403" s="3263"/>
      <c r="D403" s="3268"/>
      <c r="E403" s="3264">
        <f t="shared" si="239"/>
        <v>0</v>
      </c>
      <c r="F403" s="3265"/>
      <c r="G403" s="3266">
        <f t="shared" si="240"/>
        <v>0</v>
      </c>
      <c r="H403" s="3267">
        <f t="shared" si="241"/>
        <v>0</v>
      </c>
      <c r="I403" s="3275"/>
      <c r="J403" s="3275"/>
      <c r="K403" s="3275"/>
      <c r="L403" s="3275"/>
      <c r="M403" s="3275"/>
      <c r="N403" s="3275"/>
      <c r="O403" s="3275"/>
      <c r="P403" s="3275"/>
      <c r="Q403" s="3275"/>
      <c r="R403" s="3275"/>
      <c r="S403" s="3275"/>
      <c r="T403" s="3275"/>
      <c r="U403" s="3275"/>
      <c r="V403" s="3275"/>
      <c r="W403" s="3275"/>
      <c r="X403" s="3275"/>
      <c r="Y403" s="3275"/>
      <c r="Z403" s="3275"/>
      <c r="AA403" s="3275"/>
      <c r="AB403" s="3275"/>
      <c r="AC403" s="3264">
        <f t="shared" si="242"/>
        <v>0</v>
      </c>
      <c r="AD403" s="3285"/>
      <c r="AE403" s="3285"/>
      <c r="AF403" s="3285"/>
      <c r="AG403" s="3285"/>
      <c r="AH403" s="3285"/>
      <c r="AI403" s="3285"/>
      <c r="AJ403" s="3285"/>
      <c r="AK403" s="3285"/>
      <c r="AL403" s="3285"/>
      <c r="AM403" s="3285"/>
      <c r="AN403" s="3285"/>
      <c r="AO403" s="3285"/>
      <c r="AP403" s="3285"/>
      <c r="AQ403" s="3285"/>
      <c r="AR403" s="3285"/>
      <c r="AS403" s="3285"/>
      <c r="AT403" s="3295"/>
      <c r="AU403" s="3296"/>
      <c r="AV403" s="830">
        <f t="shared" si="243"/>
        <v>0</v>
      </c>
      <c r="AW403" s="830">
        <f t="shared" si="244"/>
        <v>0</v>
      </c>
      <c r="AX403" s="830">
        <f t="shared" si="245"/>
        <v>0</v>
      </c>
      <c r="AY403" s="3310">
        <f t="shared" si="246"/>
        <v>0</v>
      </c>
      <c r="AZ403" s="3264">
        <f t="shared" si="247"/>
        <v>0</v>
      </c>
      <c r="BA403" s="3264">
        <f t="shared" si="248"/>
        <v>0</v>
      </c>
      <c r="BB403" s="3264">
        <f t="shared" si="249"/>
        <v>0</v>
      </c>
      <c r="BC403" s="3264">
        <f t="shared" si="250"/>
        <v>0</v>
      </c>
      <c r="BD403" s="3264">
        <f t="shared" si="251"/>
        <v>0</v>
      </c>
      <c r="BE403" s="3264">
        <f t="shared" si="252"/>
        <v>0</v>
      </c>
      <c r="BF403" s="3264">
        <f t="shared" si="253"/>
        <v>0</v>
      </c>
      <c r="BG403" s="3264">
        <f t="shared" si="254"/>
        <v>0</v>
      </c>
      <c r="BH403" s="3264">
        <f t="shared" si="255"/>
        <v>0</v>
      </c>
      <c r="BI403" s="3264">
        <f t="shared" si="256"/>
        <v>0</v>
      </c>
      <c r="BJ403" s="3264">
        <f t="shared" si="257"/>
        <v>0</v>
      </c>
      <c r="BK403" s="3264">
        <f t="shared" si="258"/>
        <v>0</v>
      </c>
      <c r="BL403" s="3264">
        <f t="shared" si="259"/>
        <v>0</v>
      </c>
      <c r="BM403" s="3264">
        <f t="shared" si="260"/>
        <v>0</v>
      </c>
      <c r="BN403" s="3264">
        <f t="shared" si="261"/>
        <v>0</v>
      </c>
      <c r="BO403" s="3264">
        <f t="shared" si="262"/>
        <v>0</v>
      </c>
      <c r="BP403" s="3264">
        <f t="shared" si="263"/>
        <v>0</v>
      </c>
      <c r="BQ403" s="3264">
        <f t="shared" si="264"/>
        <v>0</v>
      </c>
      <c r="BR403" s="3264">
        <f t="shared" si="265"/>
        <v>0</v>
      </c>
      <c r="BS403" s="3264">
        <f t="shared" si="266"/>
        <v>0</v>
      </c>
      <c r="BT403" s="3317">
        <f t="shared" si="267"/>
        <v>0</v>
      </c>
    </row>
    <row r="404" spans="1:72">
      <c r="A404" s="3262"/>
      <c r="B404" s="3263"/>
      <c r="C404" s="3263"/>
      <c r="D404" s="3268"/>
      <c r="E404" s="3264">
        <f t="shared" si="239"/>
        <v>0</v>
      </c>
      <c r="F404" s="3265"/>
      <c r="G404" s="3266">
        <f t="shared" si="240"/>
        <v>0</v>
      </c>
      <c r="H404" s="3267">
        <f t="shared" si="241"/>
        <v>0</v>
      </c>
      <c r="I404" s="3275"/>
      <c r="J404" s="3275"/>
      <c r="K404" s="3275"/>
      <c r="L404" s="3275"/>
      <c r="M404" s="3275"/>
      <c r="N404" s="3275"/>
      <c r="O404" s="3275"/>
      <c r="P404" s="3275"/>
      <c r="Q404" s="3275"/>
      <c r="R404" s="3275"/>
      <c r="S404" s="3275"/>
      <c r="T404" s="3275"/>
      <c r="U404" s="3275"/>
      <c r="V404" s="3275"/>
      <c r="W404" s="3275"/>
      <c r="X404" s="3275"/>
      <c r="Y404" s="3275"/>
      <c r="Z404" s="3275"/>
      <c r="AA404" s="3275"/>
      <c r="AB404" s="3275"/>
      <c r="AC404" s="3264">
        <f t="shared" si="242"/>
        <v>0</v>
      </c>
      <c r="AD404" s="3285"/>
      <c r="AE404" s="3285"/>
      <c r="AF404" s="3285"/>
      <c r="AG404" s="3285"/>
      <c r="AH404" s="3285"/>
      <c r="AI404" s="3285"/>
      <c r="AJ404" s="3285"/>
      <c r="AK404" s="3285"/>
      <c r="AL404" s="3285"/>
      <c r="AM404" s="3285"/>
      <c r="AN404" s="3285"/>
      <c r="AO404" s="3285"/>
      <c r="AP404" s="3285"/>
      <c r="AQ404" s="3285"/>
      <c r="AR404" s="3285"/>
      <c r="AS404" s="3285"/>
      <c r="AT404" s="3295"/>
      <c r="AU404" s="3296"/>
      <c r="AV404" s="830">
        <f t="shared" si="243"/>
        <v>0</v>
      </c>
      <c r="AW404" s="830">
        <f t="shared" si="244"/>
        <v>0</v>
      </c>
      <c r="AX404" s="830">
        <f t="shared" si="245"/>
        <v>0</v>
      </c>
      <c r="AY404" s="3310">
        <f t="shared" si="246"/>
        <v>0</v>
      </c>
      <c r="AZ404" s="3264">
        <f t="shared" si="247"/>
        <v>0</v>
      </c>
      <c r="BA404" s="3264">
        <f t="shared" si="248"/>
        <v>0</v>
      </c>
      <c r="BB404" s="3264">
        <f t="shared" si="249"/>
        <v>0</v>
      </c>
      <c r="BC404" s="3264">
        <f t="shared" si="250"/>
        <v>0</v>
      </c>
      <c r="BD404" s="3264">
        <f t="shared" si="251"/>
        <v>0</v>
      </c>
      <c r="BE404" s="3264">
        <f t="shared" si="252"/>
        <v>0</v>
      </c>
      <c r="BF404" s="3264">
        <f t="shared" si="253"/>
        <v>0</v>
      </c>
      <c r="BG404" s="3264">
        <f t="shared" si="254"/>
        <v>0</v>
      </c>
      <c r="BH404" s="3264">
        <f t="shared" si="255"/>
        <v>0</v>
      </c>
      <c r="BI404" s="3264">
        <f t="shared" si="256"/>
        <v>0</v>
      </c>
      <c r="BJ404" s="3264">
        <f t="shared" si="257"/>
        <v>0</v>
      </c>
      <c r="BK404" s="3264">
        <f t="shared" si="258"/>
        <v>0</v>
      </c>
      <c r="BL404" s="3264">
        <f t="shared" si="259"/>
        <v>0</v>
      </c>
      <c r="BM404" s="3264">
        <f t="shared" si="260"/>
        <v>0</v>
      </c>
      <c r="BN404" s="3264">
        <f t="shared" si="261"/>
        <v>0</v>
      </c>
      <c r="BO404" s="3264">
        <f t="shared" si="262"/>
        <v>0</v>
      </c>
      <c r="BP404" s="3264">
        <f t="shared" si="263"/>
        <v>0</v>
      </c>
      <c r="BQ404" s="3264">
        <f t="shared" si="264"/>
        <v>0</v>
      </c>
      <c r="BR404" s="3264">
        <f t="shared" si="265"/>
        <v>0</v>
      </c>
      <c r="BS404" s="3264">
        <f t="shared" si="266"/>
        <v>0</v>
      </c>
      <c r="BT404" s="3317">
        <f t="shared" si="267"/>
        <v>0</v>
      </c>
    </row>
    <row r="405" spans="1:72">
      <c r="A405" s="3262"/>
      <c r="B405" s="3263"/>
      <c r="C405" s="3263"/>
      <c r="D405" s="3268"/>
      <c r="E405" s="3264">
        <f t="shared" si="239"/>
        <v>0</v>
      </c>
      <c r="F405" s="3265"/>
      <c r="G405" s="3266">
        <f t="shared" si="240"/>
        <v>0</v>
      </c>
      <c r="H405" s="3267">
        <f t="shared" si="241"/>
        <v>0</v>
      </c>
      <c r="I405" s="3275"/>
      <c r="J405" s="3275"/>
      <c r="K405" s="3275"/>
      <c r="L405" s="3275"/>
      <c r="M405" s="3275"/>
      <c r="N405" s="3275"/>
      <c r="O405" s="3275"/>
      <c r="P405" s="3275"/>
      <c r="Q405" s="3275"/>
      <c r="R405" s="3275"/>
      <c r="S405" s="3275"/>
      <c r="T405" s="3275"/>
      <c r="U405" s="3275"/>
      <c r="V405" s="3275"/>
      <c r="W405" s="3275"/>
      <c r="X405" s="3275"/>
      <c r="Y405" s="3275"/>
      <c r="Z405" s="3275"/>
      <c r="AA405" s="3275"/>
      <c r="AB405" s="3275"/>
      <c r="AC405" s="3264">
        <f t="shared" si="242"/>
        <v>0</v>
      </c>
      <c r="AD405" s="3285"/>
      <c r="AE405" s="3285"/>
      <c r="AF405" s="3285"/>
      <c r="AG405" s="3285"/>
      <c r="AH405" s="3285"/>
      <c r="AI405" s="3285"/>
      <c r="AJ405" s="3285"/>
      <c r="AK405" s="3285"/>
      <c r="AL405" s="3285"/>
      <c r="AM405" s="3285"/>
      <c r="AN405" s="3285"/>
      <c r="AO405" s="3285"/>
      <c r="AP405" s="3285"/>
      <c r="AQ405" s="3285"/>
      <c r="AR405" s="3285"/>
      <c r="AS405" s="3285"/>
      <c r="AT405" s="3295"/>
      <c r="AU405" s="3296"/>
      <c r="AV405" s="830">
        <f t="shared" si="243"/>
        <v>0</v>
      </c>
      <c r="AW405" s="830">
        <f t="shared" si="244"/>
        <v>0</v>
      </c>
      <c r="AX405" s="830">
        <f t="shared" si="245"/>
        <v>0</v>
      </c>
      <c r="AY405" s="3310">
        <f t="shared" si="246"/>
        <v>0</v>
      </c>
      <c r="AZ405" s="3264">
        <f t="shared" si="247"/>
        <v>0</v>
      </c>
      <c r="BA405" s="3264">
        <f t="shared" si="248"/>
        <v>0</v>
      </c>
      <c r="BB405" s="3264">
        <f t="shared" si="249"/>
        <v>0</v>
      </c>
      <c r="BC405" s="3264">
        <f t="shared" si="250"/>
        <v>0</v>
      </c>
      <c r="BD405" s="3264">
        <f t="shared" si="251"/>
        <v>0</v>
      </c>
      <c r="BE405" s="3264">
        <f t="shared" si="252"/>
        <v>0</v>
      </c>
      <c r="BF405" s="3264">
        <f t="shared" si="253"/>
        <v>0</v>
      </c>
      <c r="BG405" s="3264">
        <f t="shared" si="254"/>
        <v>0</v>
      </c>
      <c r="BH405" s="3264">
        <f t="shared" si="255"/>
        <v>0</v>
      </c>
      <c r="BI405" s="3264">
        <f t="shared" si="256"/>
        <v>0</v>
      </c>
      <c r="BJ405" s="3264">
        <f t="shared" si="257"/>
        <v>0</v>
      </c>
      <c r="BK405" s="3264">
        <f t="shared" si="258"/>
        <v>0</v>
      </c>
      <c r="BL405" s="3264">
        <f t="shared" si="259"/>
        <v>0</v>
      </c>
      <c r="BM405" s="3264">
        <f t="shared" si="260"/>
        <v>0</v>
      </c>
      <c r="BN405" s="3264">
        <f t="shared" si="261"/>
        <v>0</v>
      </c>
      <c r="BO405" s="3264">
        <f t="shared" si="262"/>
        <v>0</v>
      </c>
      <c r="BP405" s="3264">
        <f t="shared" si="263"/>
        <v>0</v>
      </c>
      <c r="BQ405" s="3264">
        <f t="shared" si="264"/>
        <v>0</v>
      </c>
      <c r="BR405" s="3264">
        <f t="shared" si="265"/>
        <v>0</v>
      </c>
      <c r="BS405" s="3264">
        <f t="shared" si="266"/>
        <v>0</v>
      </c>
      <c r="BT405" s="3317">
        <f t="shared" si="267"/>
        <v>0</v>
      </c>
    </row>
    <row r="406" spans="1:72">
      <c r="A406" s="3262"/>
      <c r="B406" s="3263"/>
      <c r="C406" s="3263"/>
      <c r="D406" s="3268"/>
      <c r="E406" s="3264">
        <f t="shared" si="239"/>
        <v>0</v>
      </c>
      <c r="F406" s="3265"/>
      <c r="G406" s="3266">
        <f t="shared" si="240"/>
        <v>0</v>
      </c>
      <c r="H406" s="3267">
        <f t="shared" si="241"/>
        <v>0</v>
      </c>
      <c r="I406" s="3275"/>
      <c r="J406" s="3275"/>
      <c r="K406" s="3275"/>
      <c r="L406" s="3275"/>
      <c r="M406" s="3275"/>
      <c r="N406" s="3275"/>
      <c r="O406" s="3275"/>
      <c r="P406" s="3275"/>
      <c r="Q406" s="3275"/>
      <c r="R406" s="3275"/>
      <c r="S406" s="3275"/>
      <c r="T406" s="3275"/>
      <c r="U406" s="3275"/>
      <c r="V406" s="3275"/>
      <c r="W406" s="3275"/>
      <c r="X406" s="3275"/>
      <c r="Y406" s="3275"/>
      <c r="Z406" s="3275"/>
      <c r="AA406" s="3275"/>
      <c r="AB406" s="3275"/>
      <c r="AC406" s="3264">
        <f t="shared" si="242"/>
        <v>0</v>
      </c>
      <c r="AD406" s="3285"/>
      <c r="AE406" s="3285"/>
      <c r="AF406" s="3285"/>
      <c r="AG406" s="3285"/>
      <c r="AH406" s="3285"/>
      <c r="AI406" s="3285"/>
      <c r="AJ406" s="3285"/>
      <c r="AK406" s="3285"/>
      <c r="AL406" s="3285"/>
      <c r="AM406" s="3285"/>
      <c r="AN406" s="3285"/>
      <c r="AO406" s="3285"/>
      <c r="AP406" s="3285"/>
      <c r="AQ406" s="3285"/>
      <c r="AR406" s="3285"/>
      <c r="AS406" s="3285"/>
      <c r="AT406" s="3295"/>
      <c r="AU406" s="3296"/>
      <c r="AV406" s="830">
        <f t="shared" si="243"/>
        <v>0</v>
      </c>
      <c r="AW406" s="830">
        <f t="shared" si="244"/>
        <v>0</v>
      </c>
      <c r="AX406" s="830">
        <f t="shared" si="245"/>
        <v>0</v>
      </c>
      <c r="AY406" s="3310">
        <f t="shared" si="246"/>
        <v>0</v>
      </c>
      <c r="AZ406" s="3264">
        <f t="shared" si="247"/>
        <v>0</v>
      </c>
      <c r="BA406" s="3264">
        <f t="shared" si="248"/>
        <v>0</v>
      </c>
      <c r="BB406" s="3264">
        <f t="shared" si="249"/>
        <v>0</v>
      </c>
      <c r="BC406" s="3264">
        <f t="shared" si="250"/>
        <v>0</v>
      </c>
      <c r="BD406" s="3264">
        <f t="shared" si="251"/>
        <v>0</v>
      </c>
      <c r="BE406" s="3264">
        <f t="shared" si="252"/>
        <v>0</v>
      </c>
      <c r="BF406" s="3264">
        <f t="shared" si="253"/>
        <v>0</v>
      </c>
      <c r="BG406" s="3264">
        <f t="shared" si="254"/>
        <v>0</v>
      </c>
      <c r="BH406" s="3264">
        <f t="shared" si="255"/>
        <v>0</v>
      </c>
      <c r="BI406" s="3264">
        <f t="shared" si="256"/>
        <v>0</v>
      </c>
      <c r="BJ406" s="3264">
        <f t="shared" si="257"/>
        <v>0</v>
      </c>
      <c r="BK406" s="3264">
        <f t="shared" si="258"/>
        <v>0</v>
      </c>
      <c r="BL406" s="3264">
        <f t="shared" si="259"/>
        <v>0</v>
      </c>
      <c r="BM406" s="3264">
        <f t="shared" si="260"/>
        <v>0</v>
      </c>
      <c r="BN406" s="3264">
        <f t="shared" si="261"/>
        <v>0</v>
      </c>
      <c r="BO406" s="3264">
        <f t="shared" si="262"/>
        <v>0</v>
      </c>
      <c r="BP406" s="3264">
        <f t="shared" si="263"/>
        <v>0</v>
      </c>
      <c r="BQ406" s="3264">
        <f t="shared" si="264"/>
        <v>0</v>
      </c>
      <c r="BR406" s="3264">
        <f t="shared" si="265"/>
        <v>0</v>
      </c>
      <c r="BS406" s="3264">
        <f t="shared" si="266"/>
        <v>0</v>
      </c>
      <c r="BT406" s="3317">
        <f t="shared" si="267"/>
        <v>0</v>
      </c>
    </row>
    <row r="407" spans="1:72">
      <c r="A407" s="3262"/>
      <c r="B407" s="3263"/>
      <c r="C407" s="3263"/>
      <c r="D407" s="3268"/>
      <c r="E407" s="3264">
        <f t="shared" si="239"/>
        <v>0</v>
      </c>
      <c r="F407" s="3265"/>
      <c r="G407" s="3266">
        <f t="shared" si="240"/>
        <v>0</v>
      </c>
      <c r="H407" s="3267">
        <f t="shared" si="241"/>
        <v>0</v>
      </c>
      <c r="I407" s="3275"/>
      <c r="J407" s="3275"/>
      <c r="K407" s="3275"/>
      <c r="L407" s="3275"/>
      <c r="M407" s="3275"/>
      <c r="N407" s="3275"/>
      <c r="O407" s="3275"/>
      <c r="P407" s="3275"/>
      <c r="Q407" s="3275"/>
      <c r="R407" s="3275"/>
      <c r="S407" s="3275"/>
      <c r="T407" s="3275"/>
      <c r="U407" s="3275"/>
      <c r="V407" s="3275"/>
      <c r="W407" s="3275"/>
      <c r="X407" s="3275"/>
      <c r="Y407" s="3275"/>
      <c r="Z407" s="3275"/>
      <c r="AA407" s="3275"/>
      <c r="AB407" s="3275"/>
      <c r="AC407" s="3264">
        <f t="shared" si="242"/>
        <v>0</v>
      </c>
      <c r="AD407" s="3285"/>
      <c r="AE407" s="3285"/>
      <c r="AF407" s="3285"/>
      <c r="AG407" s="3285"/>
      <c r="AH407" s="3285"/>
      <c r="AI407" s="3285"/>
      <c r="AJ407" s="3285"/>
      <c r="AK407" s="3285"/>
      <c r="AL407" s="3285"/>
      <c r="AM407" s="3285"/>
      <c r="AN407" s="3285"/>
      <c r="AO407" s="3285"/>
      <c r="AP407" s="3285"/>
      <c r="AQ407" s="3285"/>
      <c r="AR407" s="3285"/>
      <c r="AS407" s="3285"/>
      <c r="AT407" s="3295"/>
      <c r="AU407" s="3296"/>
      <c r="AV407" s="830">
        <f t="shared" si="243"/>
        <v>0</v>
      </c>
      <c r="AW407" s="830">
        <f t="shared" si="244"/>
        <v>0</v>
      </c>
      <c r="AX407" s="830">
        <f t="shared" si="245"/>
        <v>0</v>
      </c>
      <c r="AY407" s="3310">
        <f t="shared" si="246"/>
        <v>0</v>
      </c>
      <c r="AZ407" s="3264">
        <f t="shared" si="247"/>
        <v>0</v>
      </c>
      <c r="BA407" s="3264">
        <f t="shared" si="248"/>
        <v>0</v>
      </c>
      <c r="BB407" s="3264">
        <f t="shared" si="249"/>
        <v>0</v>
      </c>
      <c r="BC407" s="3264">
        <f t="shared" si="250"/>
        <v>0</v>
      </c>
      <c r="BD407" s="3264">
        <f t="shared" si="251"/>
        <v>0</v>
      </c>
      <c r="BE407" s="3264">
        <f t="shared" si="252"/>
        <v>0</v>
      </c>
      <c r="BF407" s="3264">
        <f t="shared" si="253"/>
        <v>0</v>
      </c>
      <c r="BG407" s="3264">
        <f t="shared" si="254"/>
        <v>0</v>
      </c>
      <c r="BH407" s="3264">
        <f t="shared" si="255"/>
        <v>0</v>
      </c>
      <c r="BI407" s="3264">
        <f t="shared" si="256"/>
        <v>0</v>
      </c>
      <c r="BJ407" s="3264">
        <f t="shared" si="257"/>
        <v>0</v>
      </c>
      <c r="BK407" s="3264">
        <f t="shared" si="258"/>
        <v>0</v>
      </c>
      <c r="BL407" s="3264">
        <f t="shared" si="259"/>
        <v>0</v>
      </c>
      <c r="BM407" s="3264">
        <f t="shared" si="260"/>
        <v>0</v>
      </c>
      <c r="BN407" s="3264">
        <f t="shared" si="261"/>
        <v>0</v>
      </c>
      <c r="BO407" s="3264">
        <f t="shared" si="262"/>
        <v>0</v>
      </c>
      <c r="BP407" s="3264">
        <f t="shared" si="263"/>
        <v>0</v>
      </c>
      <c r="BQ407" s="3264">
        <f t="shared" si="264"/>
        <v>0</v>
      </c>
      <c r="BR407" s="3264">
        <f t="shared" si="265"/>
        <v>0</v>
      </c>
      <c r="BS407" s="3264">
        <f t="shared" si="266"/>
        <v>0</v>
      </c>
      <c r="BT407" s="3317">
        <f t="shared" si="267"/>
        <v>0</v>
      </c>
    </row>
    <row r="408" spans="1:72">
      <c r="A408" s="3262"/>
      <c r="B408" s="3263"/>
      <c r="C408" s="3263"/>
      <c r="D408" s="3268"/>
      <c r="E408" s="3264">
        <f t="shared" si="239"/>
        <v>0</v>
      </c>
      <c r="F408" s="3265"/>
      <c r="G408" s="3266">
        <f t="shared" si="240"/>
        <v>0</v>
      </c>
      <c r="H408" s="3267">
        <f t="shared" si="241"/>
        <v>0</v>
      </c>
      <c r="I408" s="3275"/>
      <c r="J408" s="3275"/>
      <c r="K408" s="3275"/>
      <c r="L408" s="3275"/>
      <c r="M408" s="3275"/>
      <c r="N408" s="3275"/>
      <c r="O408" s="3275"/>
      <c r="P408" s="3275"/>
      <c r="Q408" s="3275"/>
      <c r="R408" s="3275"/>
      <c r="S408" s="3275"/>
      <c r="T408" s="3275"/>
      <c r="U408" s="3275"/>
      <c r="V408" s="3275"/>
      <c r="W408" s="3275"/>
      <c r="X408" s="3275"/>
      <c r="Y408" s="3275"/>
      <c r="Z408" s="3275"/>
      <c r="AA408" s="3275"/>
      <c r="AB408" s="3275"/>
      <c r="AC408" s="3264">
        <f t="shared" si="242"/>
        <v>0</v>
      </c>
      <c r="AD408" s="3285"/>
      <c r="AE408" s="3285"/>
      <c r="AF408" s="3285"/>
      <c r="AG408" s="3285"/>
      <c r="AH408" s="3285"/>
      <c r="AI408" s="3285"/>
      <c r="AJ408" s="3285"/>
      <c r="AK408" s="3285"/>
      <c r="AL408" s="3285"/>
      <c r="AM408" s="3285"/>
      <c r="AN408" s="3285"/>
      <c r="AO408" s="3285"/>
      <c r="AP408" s="3285"/>
      <c r="AQ408" s="3285"/>
      <c r="AR408" s="3285"/>
      <c r="AS408" s="3285"/>
      <c r="AT408" s="3295"/>
      <c r="AU408" s="3296"/>
      <c r="AV408" s="830">
        <f t="shared" si="243"/>
        <v>0</v>
      </c>
      <c r="AW408" s="830">
        <f t="shared" si="244"/>
        <v>0</v>
      </c>
      <c r="AX408" s="830">
        <f t="shared" si="245"/>
        <v>0</v>
      </c>
      <c r="AY408" s="3310">
        <f t="shared" si="246"/>
        <v>0</v>
      </c>
      <c r="AZ408" s="3264">
        <f t="shared" si="247"/>
        <v>0</v>
      </c>
      <c r="BA408" s="3264">
        <f t="shared" si="248"/>
        <v>0</v>
      </c>
      <c r="BB408" s="3264">
        <f t="shared" si="249"/>
        <v>0</v>
      </c>
      <c r="BC408" s="3264">
        <f t="shared" si="250"/>
        <v>0</v>
      </c>
      <c r="BD408" s="3264">
        <f t="shared" si="251"/>
        <v>0</v>
      </c>
      <c r="BE408" s="3264">
        <f t="shared" si="252"/>
        <v>0</v>
      </c>
      <c r="BF408" s="3264">
        <f t="shared" si="253"/>
        <v>0</v>
      </c>
      <c r="BG408" s="3264">
        <f t="shared" si="254"/>
        <v>0</v>
      </c>
      <c r="BH408" s="3264">
        <f t="shared" si="255"/>
        <v>0</v>
      </c>
      <c r="BI408" s="3264">
        <f t="shared" si="256"/>
        <v>0</v>
      </c>
      <c r="BJ408" s="3264">
        <f t="shared" si="257"/>
        <v>0</v>
      </c>
      <c r="BK408" s="3264">
        <f t="shared" si="258"/>
        <v>0</v>
      </c>
      <c r="BL408" s="3264">
        <f t="shared" si="259"/>
        <v>0</v>
      </c>
      <c r="BM408" s="3264">
        <f t="shared" si="260"/>
        <v>0</v>
      </c>
      <c r="BN408" s="3264">
        <f t="shared" si="261"/>
        <v>0</v>
      </c>
      <c r="BO408" s="3264">
        <f t="shared" si="262"/>
        <v>0</v>
      </c>
      <c r="BP408" s="3264">
        <f t="shared" si="263"/>
        <v>0</v>
      </c>
      <c r="BQ408" s="3264">
        <f t="shared" si="264"/>
        <v>0</v>
      </c>
      <c r="BR408" s="3264">
        <f t="shared" si="265"/>
        <v>0</v>
      </c>
      <c r="BS408" s="3264">
        <f t="shared" si="266"/>
        <v>0</v>
      </c>
      <c r="BT408" s="3317">
        <f t="shared" si="267"/>
        <v>0</v>
      </c>
    </row>
    <row r="409" spans="1:72">
      <c r="A409" s="3262"/>
      <c r="B409" s="3263"/>
      <c r="C409" s="3263"/>
      <c r="D409" s="3268"/>
      <c r="E409" s="3264">
        <f t="shared" si="239"/>
        <v>0</v>
      </c>
      <c r="F409" s="3265"/>
      <c r="G409" s="3266">
        <f t="shared" si="240"/>
        <v>0</v>
      </c>
      <c r="H409" s="3267">
        <f t="shared" si="241"/>
        <v>0</v>
      </c>
      <c r="I409" s="3275"/>
      <c r="J409" s="3275"/>
      <c r="K409" s="3275"/>
      <c r="L409" s="3275"/>
      <c r="M409" s="3275"/>
      <c r="N409" s="3275"/>
      <c r="O409" s="3275"/>
      <c r="P409" s="3275"/>
      <c r="Q409" s="3275"/>
      <c r="R409" s="3275"/>
      <c r="S409" s="3275"/>
      <c r="T409" s="3275"/>
      <c r="U409" s="3275"/>
      <c r="V409" s="3275"/>
      <c r="W409" s="3275"/>
      <c r="X409" s="3275"/>
      <c r="Y409" s="3275"/>
      <c r="Z409" s="3275"/>
      <c r="AA409" s="3275"/>
      <c r="AB409" s="3275"/>
      <c r="AC409" s="3264">
        <f t="shared" si="242"/>
        <v>0</v>
      </c>
      <c r="AD409" s="3285"/>
      <c r="AE409" s="3285"/>
      <c r="AF409" s="3285"/>
      <c r="AG409" s="3285"/>
      <c r="AH409" s="3285"/>
      <c r="AI409" s="3285"/>
      <c r="AJ409" s="3285"/>
      <c r="AK409" s="3285"/>
      <c r="AL409" s="3285"/>
      <c r="AM409" s="3285"/>
      <c r="AN409" s="3285"/>
      <c r="AO409" s="3285"/>
      <c r="AP409" s="3285"/>
      <c r="AQ409" s="3285"/>
      <c r="AR409" s="3285"/>
      <c r="AS409" s="3285"/>
      <c r="AT409" s="3295"/>
      <c r="AU409" s="3296"/>
      <c r="AV409" s="830">
        <f t="shared" si="243"/>
        <v>0</v>
      </c>
      <c r="AW409" s="830">
        <f t="shared" si="244"/>
        <v>0</v>
      </c>
      <c r="AX409" s="830">
        <f t="shared" si="245"/>
        <v>0</v>
      </c>
      <c r="AY409" s="3310">
        <f t="shared" si="246"/>
        <v>0</v>
      </c>
      <c r="AZ409" s="3264">
        <f t="shared" si="247"/>
        <v>0</v>
      </c>
      <c r="BA409" s="3264">
        <f t="shared" si="248"/>
        <v>0</v>
      </c>
      <c r="BB409" s="3264">
        <f t="shared" si="249"/>
        <v>0</v>
      </c>
      <c r="BC409" s="3264">
        <f t="shared" si="250"/>
        <v>0</v>
      </c>
      <c r="BD409" s="3264">
        <f t="shared" si="251"/>
        <v>0</v>
      </c>
      <c r="BE409" s="3264">
        <f t="shared" si="252"/>
        <v>0</v>
      </c>
      <c r="BF409" s="3264">
        <f t="shared" si="253"/>
        <v>0</v>
      </c>
      <c r="BG409" s="3264">
        <f t="shared" si="254"/>
        <v>0</v>
      </c>
      <c r="BH409" s="3264">
        <f t="shared" si="255"/>
        <v>0</v>
      </c>
      <c r="BI409" s="3264">
        <f t="shared" si="256"/>
        <v>0</v>
      </c>
      <c r="BJ409" s="3264">
        <f t="shared" si="257"/>
        <v>0</v>
      </c>
      <c r="BK409" s="3264">
        <f t="shared" si="258"/>
        <v>0</v>
      </c>
      <c r="BL409" s="3264">
        <f t="shared" si="259"/>
        <v>0</v>
      </c>
      <c r="BM409" s="3264">
        <f t="shared" si="260"/>
        <v>0</v>
      </c>
      <c r="BN409" s="3264">
        <f t="shared" si="261"/>
        <v>0</v>
      </c>
      <c r="BO409" s="3264">
        <f t="shared" si="262"/>
        <v>0</v>
      </c>
      <c r="BP409" s="3264">
        <f t="shared" si="263"/>
        <v>0</v>
      </c>
      <c r="BQ409" s="3264">
        <f t="shared" si="264"/>
        <v>0</v>
      </c>
      <c r="BR409" s="3264">
        <f t="shared" si="265"/>
        <v>0</v>
      </c>
      <c r="BS409" s="3264">
        <f t="shared" si="266"/>
        <v>0</v>
      </c>
      <c r="BT409" s="3317">
        <f t="shared" si="267"/>
        <v>0</v>
      </c>
    </row>
    <row r="410" spans="1:72">
      <c r="A410" s="3262"/>
      <c r="B410" s="3263"/>
      <c r="C410" s="3263"/>
      <c r="D410" s="3268"/>
      <c r="E410" s="3264">
        <f t="shared" si="239"/>
        <v>0</v>
      </c>
      <c r="F410" s="3265"/>
      <c r="G410" s="3266">
        <f t="shared" si="240"/>
        <v>0</v>
      </c>
      <c r="H410" s="3267">
        <f t="shared" si="241"/>
        <v>0</v>
      </c>
      <c r="I410" s="3275"/>
      <c r="J410" s="3275"/>
      <c r="K410" s="3275"/>
      <c r="L410" s="3275"/>
      <c r="M410" s="3275"/>
      <c r="N410" s="3275"/>
      <c r="O410" s="3275"/>
      <c r="P410" s="3275"/>
      <c r="Q410" s="3275"/>
      <c r="R410" s="3275"/>
      <c r="S410" s="3275"/>
      <c r="T410" s="3275"/>
      <c r="U410" s="3275"/>
      <c r="V410" s="3275"/>
      <c r="W410" s="3275"/>
      <c r="X410" s="3275"/>
      <c r="Y410" s="3275"/>
      <c r="Z410" s="3275"/>
      <c r="AA410" s="3275"/>
      <c r="AB410" s="3275"/>
      <c r="AC410" s="3264">
        <f t="shared" si="242"/>
        <v>0</v>
      </c>
      <c r="AD410" s="3285"/>
      <c r="AE410" s="3285"/>
      <c r="AF410" s="3285"/>
      <c r="AG410" s="3285"/>
      <c r="AH410" s="3285"/>
      <c r="AI410" s="3285"/>
      <c r="AJ410" s="3285"/>
      <c r="AK410" s="3285"/>
      <c r="AL410" s="3285"/>
      <c r="AM410" s="3285"/>
      <c r="AN410" s="3285"/>
      <c r="AO410" s="3285"/>
      <c r="AP410" s="3285"/>
      <c r="AQ410" s="3285"/>
      <c r="AR410" s="3285"/>
      <c r="AS410" s="3285"/>
      <c r="AT410" s="3295"/>
      <c r="AU410" s="3296"/>
      <c r="AV410" s="830">
        <f t="shared" si="243"/>
        <v>0</v>
      </c>
      <c r="AW410" s="830">
        <f t="shared" si="244"/>
        <v>0</v>
      </c>
      <c r="AX410" s="830">
        <f t="shared" si="245"/>
        <v>0</v>
      </c>
      <c r="AY410" s="3310">
        <f t="shared" si="246"/>
        <v>0</v>
      </c>
      <c r="AZ410" s="3264">
        <f t="shared" si="247"/>
        <v>0</v>
      </c>
      <c r="BA410" s="3264">
        <f t="shared" si="248"/>
        <v>0</v>
      </c>
      <c r="BB410" s="3264">
        <f t="shared" si="249"/>
        <v>0</v>
      </c>
      <c r="BC410" s="3264">
        <f t="shared" si="250"/>
        <v>0</v>
      </c>
      <c r="BD410" s="3264">
        <f t="shared" si="251"/>
        <v>0</v>
      </c>
      <c r="BE410" s="3264">
        <f t="shared" si="252"/>
        <v>0</v>
      </c>
      <c r="BF410" s="3264">
        <f t="shared" si="253"/>
        <v>0</v>
      </c>
      <c r="BG410" s="3264">
        <f t="shared" si="254"/>
        <v>0</v>
      </c>
      <c r="BH410" s="3264">
        <f t="shared" si="255"/>
        <v>0</v>
      </c>
      <c r="BI410" s="3264">
        <f t="shared" si="256"/>
        <v>0</v>
      </c>
      <c r="BJ410" s="3264">
        <f t="shared" si="257"/>
        <v>0</v>
      </c>
      <c r="BK410" s="3264">
        <f t="shared" si="258"/>
        <v>0</v>
      </c>
      <c r="BL410" s="3264">
        <f t="shared" si="259"/>
        <v>0</v>
      </c>
      <c r="BM410" s="3264">
        <f t="shared" si="260"/>
        <v>0</v>
      </c>
      <c r="BN410" s="3264">
        <f t="shared" si="261"/>
        <v>0</v>
      </c>
      <c r="BO410" s="3264">
        <f t="shared" si="262"/>
        <v>0</v>
      </c>
      <c r="BP410" s="3264">
        <f t="shared" si="263"/>
        <v>0</v>
      </c>
      <c r="BQ410" s="3264">
        <f t="shared" si="264"/>
        <v>0</v>
      </c>
      <c r="BR410" s="3264">
        <f t="shared" si="265"/>
        <v>0</v>
      </c>
      <c r="BS410" s="3264">
        <f t="shared" si="266"/>
        <v>0</v>
      </c>
      <c r="BT410" s="3317">
        <f t="shared" si="267"/>
        <v>0</v>
      </c>
    </row>
    <row r="411" spans="1:72">
      <c r="A411" s="3262"/>
      <c r="B411" s="3263"/>
      <c r="C411" s="3263"/>
      <c r="D411" s="3268"/>
      <c r="E411" s="3264">
        <f t="shared" si="239"/>
        <v>0</v>
      </c>
      <c r="F411" s="3265"/>
      <c r="G411" s="3266">
        <f t="shared" si="240"/>
        <v>0</v>
      </c>
      <c r="H411" s="3267">
        <f t="shared" si="241"/>
        <v>0</v>
      </c>
      <c r="I411" s="3275"/>
      <c r="J411" s="3275"/>
      <c r="K411" s="3275"/>
      <c r="L411" s="3275"/>
      <c r="M411" s="3275"/>
      <c r="N411" s="3275"/>
      <c r="O411" s="3275"/>
      <c r="P411" s="3275"/>
      <c r="Q411" s="3275"/>
      <c r="R411" s="3275"/>
      <c r="S411" s="3275"/>
      <c r="T411" s="3275"/>
      <c r="U411" s="3275"/>
      <c r="V411" s="3275"/>
      <c r="W411" s="3275"/>
      <c r="X411" s="3275"/>
      <c r="Y411" s="3275"/>
      <c r="Z411" s="3275"/>
      <c r="AA411" s="3275"/>
      <c r="AB411" s="3275"/>
      <c r="AC411" s="3264">
        <f t="shared" si="242"/>
        <v>0</v>
      </c>
      <c r="AD411" s="3285"/>
      <c r="AE411" s="3285"/>
      <c r="AF411" s="3285"/>
      <c r="AG411" s="3285"/>
      <c r="AH411" s="3285"/>
      <c r="AI411" s="3285"/>
      <c r="AJ411" s="3285"/>
      <c r="AK411" s="3285"/>
      <c r="AL411" s="3285"/>
      <c r="AM411" s="3285"/>
      <c r="AN411" s="3285"/>
      <c r="AO411" s="3285"/>
      <c r="AP411" s="3285"/>
      <c r="AQ411" s="3285"/>
      <c r="AR411" s="3285"/>
      <c r="AS411" s="3285"/>
      <c r="AT411" s="3295"/>
      <c r="AU411" s="3296"/>
      <c r="AV411" s="830">
        <f t="shared" si="243"/>
        <v>0</v>
      </c>
      <c r="AW411" s="830">
        <f t="shared" si="244"/>
        <v>0</v>
      </c>
      <c r="AX411" s="830">
        <f t="shared" si="245"/>
        <v>0</v>
      </c>
      <c r="AY411" s="3310">
        <f t="shared" si="246"/>
        <v>0</v>
      </c>
      <c r="AZ411" s="3264">
        <f t="shared" si="247"/>
        <v>0</v>
      </c>
      <c r="BA411" s="3264">
        <f t="shared" si="248"/>
        <v>0</v>
      </c>
      <c r="BB411" s="3264">
        <f t="shared" si="249"/>
        <v>0</v>
      </c>
      <c r="BC411" s="3264">
        <f t="shared" si="250"/>
        <v>0</v>
      </c>
      <c r="BD411" s="3264">
        <f t="shared" si="251"/>
        <v>0</v>
      </c>
      <c r="BE411" s="3264">
        <f t="shared" si="252"/>
        <v>0</v>
      </c>
      <c r="BF411" s="3264">
        <f t="shared" si="253"/>
        <v>0</v>
      </c>
      <c r="BG411" s="3264">
        <f t="shared" si="254"/>
        <v>0</v>
      </c>
      <c r="BH411" s="3264">
        <f t="shared" si="255"/>
        <v>0</v>
      </c>
      <c r="BI411" s="3264">
        <f t="shared" si="256"/>
        <v>0</v>
      </c>
      <c r="BJ411" s="3264">
        <f t="shared" si="257"/>
        <v>0</v>
      </c>
      <c r="BK411" s="3264">
        <f t="shared" si="258"/>
        <v>0</v>
      </c>
      <c r="BL411" s="3264">
        <f t="shared" si="259"/>
        <v>0</v>
      </c>
      <c r="BM411" s="3264">
        <f t="shared" si="260"/>
        <v>0</v>
      </c>
      <c r="BN411" s="3264">
        <f t="shared" si="261"/>
        <v>0</v>
      </c>
      <c r="BO411" s="3264">
        <f t="shared" si="262"/>
        <v>0</v>
      </c>
      <c r="BP411" s="3264">
        <f t="shared" si="263"/>
        <v>0</v>
      </c>
      <c r="BQ411" s="3264">
        <f t="shared" si="264"/>
        <v>0</v>
      </c>
      <c r="BR411" s="3264">
        <f t="shared" si="265"/>
        <v>0</v>
      </c>
      <c r="BS411" s="3264">
        <f t="shared" si="266"/>
        <v>0</v>
      </c>
      <c r="BT411" s="3317">
        <f t="shared" si="267"/>
        <v>0</v>
      </c>
    </row>
    <row r="412" spans="1:72">
      <c r="A412" s="3262"/>
      <c r="B412" s="3263"/>
      <c r="C412" s="3263"/>
      <c r="D412" s="3268"/>
      <c r="E412" s="3264">
        <f t="shared" si="239"/>
        <v>0</v>
      </c>
      <c r="F412" s="3265"/>
      <c r="G412" s="3266">
        <f t="shared" si="240"/>
        <v>0</v>
      </c>
      <c r="H412" s="3267">
        <f t="shared" si="241"/>
        <v>0</v>
      </c>
      <c r="I412" s="3275"/>
      <c r="J412" s="3275"/>
      <c r="K412" s="3275"/>
      <c r="L412" s="3275"/>
      <c r="M412" s="3275"/>
      <c r="N412" s="3275"/>
      <c r="O412" s="3275"/>
      <c r="P412" s="3275"/>
      <c r="Q412" s="3275"/>
      <c r="R412" s="3275"/>
      <c r="S412" s="3275"/>
      <c r="T412" s="3275"/>
      <c r="U412" s="3275"/>
      <c r="V412" s="3275"/>
      <c r="W412" s="3275"/>
      <c r="X412" s="3275"/>
      <c r="Y412" s="3275"/>
      <c r="Z412" s="3275"/>
      <c r="AA412" s="3275"/>
      <c r="AB412" s="3275"/>
      <c r="AC412" s="3264">
        <f t="shared" si="242"/>
        <v>0</v>
      </c>
      <c r="AD412" s="3285"/>
      <c r="AE412" s="3285"/>
      <c r="AF412" s="3285"/>
      <c r="AG412" s="3285"/>
      <c r="AH412" s="3285"/>
      <c r="AI412" s="3285"/>
      <c r="AJ412" s="3285"/>
      <c r="AK412" s="3285"/>
      <c r="AL412" s="3285"/>
      <c r="AM412" s="3285"/>
      <c r="AN412" s="3285"/>
      <c r="AO412" s="3285"/>
      <c r="AP412" s="3285"/>
      <c r="AQ412" s="3285"/>
      <c r="AR412" s="3285"/>
      <c r="AS412" s="3285"/>
      <c r="AT412" s="3295"/>
      <c r="AU412" s="3296"/>
      <c r="AV412" s="830">
        <f t="shared" si="243"/>
        <v>0</v>
      </c>
      <c r="AW412" s="830">
        <f t="shared" si="244"/>
        <v>0</v>
      </c>
      <c r="AX412" s="830">
        <f t="shared" si="245"/>
        <v>0</v>
      </c>
      <c r="AY412" s="3310">
        <f t="shared" si="246"/>
        <v>0</v>
      </c>
      <c r="AZ412" s="3264">
        <f t="shared" si="247"/>
        <v>0</v>
      </c>
      <c r="BA412" s="3264">
        <f t="shared" si="248"/>
        <v>0</v>
      </c>
      <c r="BB412" s="3264">
        <f t="shared" si="249"/>
        <v>0</v>
      </c>
      <c r="BC412" s="3264">
        <f t="shared" si="250"/>
        <v>0</v>
      </c>
      <c r="BD412" s="3264">
        <f t="shared" si="251"/>
        <v>0</v>
      </c>
      <c r="BE412" s="3264">
        <f t="shared" si="252"/>
        <v>0</v>
      </c>
      <c r="BF412" s="3264">
        <f t="shared" si="253"/>
        <v>0</v>
      </c>
      <c r="BG412" s="3264">
        <f t="shared" si="254"/>
        <v>0</v>
      </c>
      <c r="BH412" s="3264">
        <f t="shared" si="255"/>
        <v>0</v>
      </c>
      <c r="BI412" s="3264">
        <f t="shared" si="256"/>
        <v>0</v>
      </c>
      <c r="BJ412" s="3264">
        <f t="shared" si="257"/>
        <v>0</v>
      </c>
      <c r="BK412" s="3264">
        <f t="shared" si="258"/>
        <v>0</v>
      </c>
      <c r="BL412" s="3264">
        <f t="shared" si="259"/>
        <v>0</v>
      </c>
      <c r="BM412" s="3264">
        <f t="shared" si="260"/>
        <v>0</v>
      </c>
      <c r="BN412" s="3264">
        <f t="shared" si="261"/>
        <v>0</v>
      </c>
      <c r="BO412" s="3264">
        <f t="shared" si="262"/>
        <v>0</v>
      </c>
      <c r="BP412" s="3264">
        <f t="shared" si="263"/>
        <v>0</v>
      </c>
      <c r="BQ412" s="3264">
        <f t="shared" si="264"/>
        <v>0</v>
      </c>
      <c r="BR412" s="3264">
        <f t="shared" si="265"/>
        <v>0</v>
      </c>
      <c r="BS412" s="3264">
        <f t="shared" si="266"/>
        <v>0</v>
      </c>
      <c r="BT412" s="3317">
        <f t="shared" si="267"/>
        <v>0</v>
      </c>
    </row>
    <row r="413" spans="1:72">
      <c r="A413" s="3262"/>
      <c r="B413" s="3263"/>
      <c r="C413" s="3263"/>
      <c r="D413" s="3268"/>
      <c r="E413" s="3264">
        <f t="shared" si="239"/>
        <v>0</v>
      </c>
      <c r="F413" s="3265"/>
      <c r="G413" s="3266">
        <f t="shared" si="240"/>
        <v>0</v>
      </c>
      <c r="H413" s="3267">
        <f t="shared" si="241"/>
        <v>0</v>
      </c>
      <c r="I413" s="3275"/>
      <c r="J413" s="3275"/>
      <c r="K413" s="3275"/>
      <c r="L413" s="3275"/>
      <c r="M413" s="3275"/>
      <c r="N413" s="3275"/>
      <c r="O413" s="3275"/>
      <c r="P413" s="3275"/>
      <c r="Q413" s="3275"/>
      <c r="R413" s="3275"/>
      <c r="S413" s="3275"/>
      <c r="T413" s="3275"/>
      <c r="U413" s="3275"/>
      <c r="V413" s="3275"/>
      <c r="W413" s="3275"/>
      <c r="X413" s="3275"/>
      <c r="Y413" s="3275"/>
      <c r="Z413" s="3275"/>
      <c r="AA413" s="3275"/>
      <c r="AB413" s="3275"/>
      <c r="AC413" s="3264">
        <f t="shared" si="242"/>
        <v>0</v>
      </c>
      <c r="AD413" s="3285"/>
      <c r="AE413" s="3285"/>
      <c r="AF413" s="3285"/>
      <c r="AG413" s="3285"/>
      <c r="AH413" s="3285"/>
      <c r="AI413" s="3285"/>
      <c r="AJ413" s="3285"/>
      <c r="AK413" s="3285"/>
      <c r="AL413" s="3285"/>
      <c r="AM413" s="3285"/>
      <c r="AN413" s="3285"/>
      <c r="AO413" s="3285"/>
      <c r="AP413" s="3285"/>
      <c r="AQ413" s="3285"/>
      <c r="AR413" s="3285"/>
      <c r="AS413" s="3285"/>
      <c r="AT413" s="3295"/>
      <c r="AU413" s="3296"/>
      <c r="AV413" s="830">
        <f t="shared" si="243"/>
        <v>0</v>
      </c>
      <c r="AW413" s="830">
        <f t="shared" si="244"/>
        <v>0</v>
      </c>
      <c r="AX413" s="830">
        <f t="shared" si="245"/>
        <v>0</v>
      </c>
      <c r="AY413" s="3310">
        <f t="shared" si="246"/>
        <v>0</v>
      </c>
      <c r="AZ413" s="3264">
        <f t="shared" si="247"/>
        <v>0</v>
      </c>
      <c r="BA413" s="3264">
        <f t="shared" si="248"/>
        <v>0</v>
      </c>
      <c r="BB413" s="3264">
        <f t="shared" si="249"/>
        <v>0</v>
      </c>
      <c r="BC413" s="3264">
        <f t="shared" si="250"/>
        <v>0</v>
      </c>
      <c r="BD413" s="3264">
        <f t="shared" si="251"/>
        <v>0</v>
      </c>
      <c r="BE413" s="3264">
        <f t="shared" si="252"/>
        <v>0</v>
      </c>
      <c r="BF413" s="3264">
        <f t="shared" si="253"/>
        <v>0</v>
      </c>
      <c r="BG413" s="3264">
        <f t="shared" si="254"/>
        <v>0</v>
      </c>
      <c r="BH413" s="3264">
        <f t="shared" si="255"/>
        <v>0</v>
      </c>
      <c r="BI413" s="3264">
        <f t="shared" si="256"/>
        <v>0</v>
      </c>
      <c r="BJ413" s="3264">
        <f t="shared" si="257"/>
        <v>0</v>
      </c>
      <c r="BK413" s="3264">
        <f t="shared" si="258"/>
        <v>0</v>
      </c>
      <c r="BL413" s="3264">
        <f t="shared" si="259"/>
        <v>0</v>
      </c>
      <c r="BM413" s="3264">
        <f t="shared" si="260"/>
        <v>0</v>
      </c>
      <c r="BN413" s="3264">
        <f t="shared" si="261"/>
        <v>0</v>
      </c>
      <c r="BO413" s="3264">
        <f t="shared" si="262"/>
        <v>0</v>
      </c>
      <c r="BP413" s="3264">
        <f t="shared" si="263"/>
        <v>0</v>
      </c>
      <c r="BQ413" s="3264">
        <f t="shared" si="264"/>
        <v>0</v>
      </c>
      <c r="BR413" s="3264">
        <f t="shared" si="265"/>
        <v>0</v>
      </c>
      <c r="BS413" s="3264">
        <f t="shared" si="266"/>
        <v>0</v>
      </c>
      <c r="BT413" s="3317">
        <f t="shared" si="267"/>
        <v>0</v>
      </c>
    </row>
    <row r="414" spans="1:72">
      <c r="A414" s="3262"/>
      <c r="B414" s="3263"/>
      <c r="C414" s="3263"/>
      <c r="D414" s="3268"/>
      <c r="E414" s="3264">
        <f t="shared" si="239"/>
        <v>0</v>
      </c>
      <c r="F414" s="3265"/>
      <c r="G414" s="3266">
        <f t="shared" si="240"/>
        <v>0</v>
      </c>
      <c r="H414" s="3267">
        <f t="shared" si="241"/>
        <v>0</v>
      </c>
      <c r="I414" s="3275"/>
      <c r="J414" s="3275"/>
      <c r="K414" s="3275"/>
      <c r="L414" s="3275"/>
      <c r="M414" s="3275"/>
      <c r="N414" s="3275"/>
      <c r="O414" s="3275"/>
      <c r="P414" s="3275"/>
      <c r="Q414" s="3275"/>
      <c r="R414" s="3275"/>
      <c r="S414" s="3275"/>
      <c r="T414" s="3275"/>
      <c r="U414" s="3275"/>
      <c r="V414" s="3275"/>
      <c r="W414" s="3275"/>
      <c r="X414" s="3275"/>
      <c r="Y414" s="3275"/>
      <c r="Z414" s="3275"/>
      <c r="AA414" s="3275"/>
      <c r="AB414" s="3275"/>
      <c r="AC414" s="3264">
        <f t="shared" si="242"/>
        <v>0</v>
      </c>
      <c r="AD414" s="3285"/>
      <c r="AE414" s="3285"/>
      <c r="AF414" s="3285"/>
      <c r="AG414" s="3285"/>
      <c r="AH414" s="3285"/>
      <c r="AI414" s="3285"/>
      <c r="AJ414" s="3285"/>
      <c r="AK414" s="3285"/>
      <c r="AL414" s="3285"/>
      <c r="AM414" s="3285"/>
      <c r="AN414" s="3285"/>
      <c r="AO414" s="3285"/>
      <c r="AP414" s="3285"/>
      <c r="AQ414" s="3285"/>
      <c r="AR414" s="3285"/>
      <c r="AS414" s="3285"/>
      <c r="AT414" s="3295"/>
      <c r="AU414" s="3296"/>
      <c r="AV414" s="830">
        <f t="shared" si="243"/>
        <v>0</v>
      </c>
      <c r="AW414" s="830">
        <f t="shared" si="244"/>
        <v>0</v>
      </c>
      <c r="AX414" s="830">
        <f t="shared" si="245"/>
        <v>0</v>
      </c>
      <c r="AY414" s="3310">
        <f t="shared" si="246"/>
        <v>0</v>
      </c>
      <c r="AZ414" s="3264">
        <f t="shared" si="247"/>
        <v>0</v>
      </c>
      <c r="BA414" s="3264">
        <f t="shared" si="248"/>
        <v>0</v>
      </c>
      <c r="BB414" s="3264">
        <f t="shared" si="249"/>
        <v>0</v>
      </c>
      <c r="BC414" s="3264">
        <f t="shared" si="250"/>
        <v>0</v>
      </c>
      <c r="BD414" s="3264">
        <f t="shared" si="251"/>
        <v>0</v>
      </c>
      <c r="BE414" s="3264">
        <f t="shared" si="252"/>
        <v>0</v>
      </c>
      <c r="BF414" s="3264">
        <f t="shared" si="253"/>
        <v>0</v>
      </c>
      <c r="BG414" s="3264">
        <f t="shared" si="254"/>
        <v>0</v>
      </c>
      <c r="BH414" s="3264">
        <f t="shared" si="255"/>
        <v>0</v>
      </c>
      <c r="BI414" s="3264">
        <f t="shared" si="256"/>
        <v>0</v>
      </c>
      <c r="BJ414" s="3264">
        <f t="shared" si="257"/>
        <v>0</v>
      </c>
      <c r="BK414" s="3264">
        <f t="shared" si="258"/>
        <v>0</v>
      </c>
      <c r="BL414" s="3264">
        <f t="shared" si="259"/>
        <v>0</v>
      </c>
      <c r="BM414" s="3264">
        <f t="shared" si="260"/>
        <v>0</v>
      </c>
      <c r="BN414" s="3264">
        <f t="shared" si="261"/>
        <v>0</v>
      </c>
      <c r="BO414" s="3264">
        <f t="shared" si="262"/>
        <v>0</v>
      </c>
      <c r="BP414" s="3264">
        <f t="shared" si="263"/>
        <v>0</v>
      </c>
      <c r="BQ414" s="3264">
        <f t="shared" si="264"/>
        <v>0</v>
      </c>
      <c r="BR414" s="3264">
        <f t="shared" si="265"/>
        <v>0</v>
      </c>
      <c r="BS414" s="3264">
        <f t="shared" si="266"/>
        <v>0</v>
      </c>
      <c r="BT414" s="3317">
        <f t="shared" si="267"/>
        <v>0</v>
      </c>
    </row>
    <row r="415" spans="1:72">
      <c r="A415" s="3262"/>
      <c r="B415" s="3263"/>
      <c r="C415" s="3263"/>
      <c r="D415" s="3268"/>
      <c r="E415" s="3264">
        <f t="shared" si="239"/>
        <v>0</v>
      </c>
      <c r="F415" s="3265"/>
      <c r="G415" s="3266">
        <f t="shared" si="240"/>
        <v>0</v>
      </c>
      <c r="H415" s="3267">
        <f t="shared" si="241"/>
        <v>0</v>
      </c>
      <c r="I415" s="3275"/>
      <c r="J415" s="3275"/>
      <c r="K415" s="3275"/>
      <c r="L415" s="3275"/>
      <c r="M415" s="3275"/>
      <c r="N415" s="3275"/>
      <c r="O415" s="3275"/>
      <c r="P415" s="3275"/>
      <c r="Q415" s="3275"/>
      <c r="R415" s="3275"/>
      <c r="S415" s="3275"/>
      <c r="T415" s="3275"/>
      <c r="U415" s="3275"/>
      <c r="V415" s="3275"/>
      <c r="W415" s="3275"/>
      <c r="X415" s="3275"/>
      <c r="Y415" s="3275"/>
      <c r="Z415" s="3275"/>
      <c r="AA415" s="3275"/>
      <c r="AB415" s="3275"/>
      <c r="AC415" s="3264">
        <f t="shared" si="242"/>
        <v>0</v>
      </c>
      <c r="AD415" s="3285"/>
      <c r="AE415" s="3285"/>
      <c r="AF415" s="3285"/>
      <c r="AG415" s="3285"/>
      <c r="AH415" s="3285"/>
      <c r="AI415" s="3285"/>
      <c r="AJ415" s="3285"/>
      <c r="AK415" s="3285"/>
      <c r="AL415" s="3285"/>
      <c r="AM415" s="3285"/>
      <c r="AN415" s="3285"/>
      <c r="AO415" s="3285"/>
      <c r="AP415" s="3285"/>
      <c r="AQ415" s="3285"/>
      <c r="AR415" s="3285"/>
      <c r="AS415" s="3285"/>
      <c r="AT415" s="3295"/>
      <c r="AU415" s="3296"/>
      <c r="AV415" s="830">
        <f t="shared" si="243"/>
        <v>0</v>
      </c>
      <c r="AW415" s="830">
        <f t="shared" si="244"/>
        <v>0</v>
      </c>
      <c r="AX415" s="830">
        <f t="shared" si="245"/>
        <v>0</v>
      </c>
      <c r="AY415" s="3310">
        <f t="shared" si="246"/>
        <v>0</v>
      </c>
      <c r="AZ415" s="3264">
        <f t="shared" si="247"/>
        <v>0</v>
      </c>
      <c r="BA415" s="3264">
        <f t="shared" si="248"/>
        <v>0</v>
      </c>
      <c r="BB415" s="3264">
        <f t="shared" si="249"/>
        <v>0</v>
      </c>
      <c r="BC415" s="3264">
        <f t="shared" si="250"/>
        <v>0</v>
      </c>
      <c r="BD415" s="3264">
        <f t="shared" si="251"/>
        <v>0</v>
      </c>
      <c r="BE415" s="3264">
        <f t="shared" si="252"/>
        <v>0</v>
      </c>
      <c r="BF415" s="3264">
        <f t="shared" si="253"/>
        <v>0</v>
      </c>
      <c r="BG415" s="3264">
        <f t="shared" si="254"/>
        <v>0</v>
      </c>
      <c r="BH415" s="3264">
        <f t="shared" si="255"/>
        <v>0</v>
      </c>
      <c r="BI415" s="3264">
        <f t="shared" si="256"/>
        <v>0</v>
      </c>
      <c r="BJ415" s="3264">
        <f t="shared" si="257"/>
        <v>0</v>
      </c>
      <c r="BK415" s="3264">
        <f t="shared" si="258"/>
        <v>0</v>
      </c>
      <c r="BL415" s="3264">
        <f t="shared" si="259"/>
        <v>0</v>
      </c>
      <c r="BM415" s="3264">
        <f t="shared" si="260"/>
        <v>0</v>
      </c>
      <c r="BN415" s="3264">
        <f t="shared" si="261"/>
        <v>0</v>
      </c>
      <c r="BO415" s="3264">
        <f t="shared" si="262"/>
        <v>0</v>
      </c>
      <c r="BP415" s="3264">
        <f t="shared" si="263"/>
        <v>0</v>
      </c>
      <c r="BQ415" s="3264">
        <f t="shared" si="264"/>
        <v>0</v>
      </c>
      <c r="BR415" s="3264">
        <f t="shared" si="265"/>
        <v>0</v>
      </c>
      <c r="BS415" s="3264">
        <f t="shared" si="266"/>
        <v>0</v>
      </c>
      <c r="BT415" s="3317">
        <f t="shared" si="267"/>
        <v>0</v>
      </c>
    </row>
    <row r="416" spans="1:72">
      <c r="A416" s="3262"/>
      <c r="B416" s="3263"/>
      <c r="C416" s="3263"/>
      <c r="D416" s="3268"/>
      <c r="E416" s="3264">
        <f t="shared" si="239"/>
        <v>0</v>
      </c>
      <c r="F416" s="3265"/>
      <c r="G416" s="3266">
        <f t="shared" si="240"/>
        <v>0</v>
      </c>
      <c r="H416" s="3267">
        <f t="shared" si="241"/>
        <v>0</v>
      </c>
      <c r="I416" s="3275"/>
      <c r="J416" s="3275"/>
      <c r="K416" s="3275"/>
      <c r="L416" s="3275"/>
      <c r="M416" s="3275"/>
      <c r="N416" s="3275"/>
      <c r="O416" s="3275"/>
      <c r="P416" s="3275"/>
      <c r="Q416" s="3275"/>
      <c r="R416" s="3275"/>
      <c r="S416" s="3275"/>
      <c r="T416" s="3275"/>
      <c r="U416" s="3275"/>
      <c r="V416" s="3275"/>
      <c r="W416" s="3275"/>
      <c r="X416" s="3275"/>
      <c r="Y416" s="3275"/>
      <c r="Z416" s="3275"/>
      <c r="AA416" s="3275"/>
      <c r="AB416" s="3275"/>
      <c r="AC416" s="3264">
        <f t="shared" si="242"/>
        <v>0</v>
      </c>
      <c r="AD416" s="3285"/>
      <c r="AE416" s="3285"/>
      <c r="AF416" s="3285"/>
      <c r="AG416" s="3285"/>
      <c r="AH416" s="3285"/>
      <c r="AI416" s="3285"/>
      <c r="AJ416" s="3285"/>
      <c r="AK416" s="3285"/>
      <c r="AL416" s="3285"/>
      <c r="AM416" s="3285"/>
      <c r="AN416" s="3285"/>
      <c r="AO416" s="3285"/>
      <c r="AP416" s="3285"/>
      <c r="AQ416" s="3285"/>
      <c r="AR416" s="3285"/>
      <c r="AS416" s="3285"/>
      <c r="AT416" s="3295"/>
      <c r="AU416" s="3296"/>
      <c r="AV416" s="830">
        <f t="shared" si="243"/>
        <v>0</v>
      </c>
      <c r="AW416" s="830">
        <f t="shared" si="244"/>
        <v>0</v>
      </c>
      <c r="AX416" s="830">
        <f t="shared" si="245"/>
        <v>0</v>
      </c>
      <c r="AY416" s="3310">
        <f t="shared" si="246"/>
        <v>0</v>
      </c>
      <c r="AZ416" s="3264">
        <f t="shared" si="247"/>
        <v>0</v>
      </c>
      <c r="BA416" s="3264">
        <f t="shared" si="248"/>
        <v>0</v>
      </c>
      <c r="BB416" s="3264">
        <f t="shared" si="249"/>
        <v>0</v>
      </c>
      <c r="BC416" s="3264">
        <f t="shared" si="250"/>
        <v>0</v>
      </c>
      <c r="BD416" s="3264">
        <f t="shared" si="251"/>
        <v>0</v>
      </c>
      <c r="BE416" s="3264">
        <f t="shared" si="252"/>
        <v>0</v>
      </c>
      <c r="BF416" s="3264">
        <f t="shared" si="253"/>
        <v>0</v>
      </c>
      <c r="BG416" s="3264">
        <f t="shared" si="254"/>
        <v>0</v>
      </c>
      <c r="BH416" s="3264">
        <f t="shared" si="255"/>
        <v>0</v>
      </c>
      <c r="BI416" s="3264">
        <f t="shared" si="256"/>
        <v>0</v>
      </c>
      <c r="BJ416" s="3264">
        <f t="shared" si="257"/>
        <v>0</v>
      </c>
      <c r="BK416" s="3264">
        <f t="shared" si="258"/>
        <v>0</v>
      </c>
      <c r="BL416" s="3264">
        <f t="shared" si="259"/>
        <v>0</v>
      </c>
      <c r="BM416" s="3264">
        <f t="shared" si="260"/>
        <v>0</v>
      </c>
      <c r="BN416" s="3264">
        <f t="shared" si="261"/>
        <v>0</v>
      </c>
      <c r="BO416" s="3264">
        <f t="shared" si="262"/>
        <v>0</v>
      </c>
      <c r="BP416" s="3264">
        <f t="shared" si="263"/>
        <v>0</v>
      </c>
      <c r="BQ416" s="3264">
        <f t="shared" si="264"/>
        <v>0</v>
      </c>
      <c r="BR416" s="3264">
        <f t="shared" si="265"/>
        <v>0</v>
      </c>
      <c r="BS416" s="3264">
        <f t="shared" si="266"/>
        <v>0</v>
      </c>
      <c r="BT416" s="3317">
        <f t="shared" si="267"/>
        <v>0</v>
      </c>
    </row>
    <row r="417" spans="1:72">
      <c r="A417" s="3262"/>
      <c r="B417" s="3263"/>
      <c r="C417" s="3263"/>
      <c r="D417" s="3268"/>
      <c r="E417" s="3264">
        <f t="shared" si="239"/>
        <v>0</v>
      </c>
      <c r="F417" s="3265"/>
      <c r="G417" s="3266">
        <f t="shared" si="240"/>
        <v>0</v>
      </c>
      <c r="H417" s="3267">
        <f t="shared" si="241"/>
        <v>0</v>
      </c>
      <c r="I417" s="3275"/>
      <c r="J417" s="3275"/>
      <c r="K417" s="3275"/>
      <c r="L417" s="3275"/>
      <c r="M417" s="3275"/>
      <c r="N417" s="3275"/>
      <c r="O417" s="3275"/>
      <c r="P417" s="3275"/>
      <c r="Q417" s="3275"/>
      <c r="R417" s="3275"/>
      <c r="S417" s="3275"/>
      <c r="T417" s="3275"/>
      <c r="U417" s="3275"/>
      <c r="V417" s="3275"/>
      <c r="W417" s="3275"/>
      <c r="X417" s="3275"/>
      <c r="Y417" s="3275"/>
      <c r="Z417" s="3275"/>
      <c r="AA417" s="3275"/>
      <c r="AB417" s="3275"/>
      <c r="AC417" s="3264">
        <f t="shared" si="242"/>
        <v>0</v>
      </c>
      <c r="AD417" s="3285"/>
      <c r="AE417" s="3285"/>
      <c r="AF417" s="3285"/>
      <c r="AG417" s="3285"/>
      <c r="AH417" s="3285"/>
      <c r="AI417" s="3285"/>
      <c r="AJ417" s="3285"/>
      <c r="AK417" s="3285"/>
      <c r="AL417" s="3285"/>
      <c r="AM417" s="3285"/>
      <c r="AN417" s="3285"/>
      <c r="AO417" s="3285"/>
      <c r="AP417" s="3285"/>
      <c r="AQ417" s="3285"/>
      <c r="AR417" s="3285"/>
      <c r="AS417" s="3285"/>
      <c r="AT417" s="3295"/>
      <c r="AU417" s="3296"/>
      <c r="AV417" s="830">
        <f t="shared" si="243"/>
        <v>0</v>
      </c>
      <c r="AW417" s="830">
        <f t="shared" si="244"/>
        <v>0</v>
      </c>
      <c r="AX417" s="830">
        <f t="shared" si="245"/>
        <v>0</v>
      </c>
      <c r="AY417" s="3310">
        <f t="shared" si="246"/>
        <v>0</v>
      </c>
      <c r="AZ417" s="3264">
        <f t="shared" si="247"/>
        <v>0</v>
      </c>
      <c r="BA417" s="3264">
        <f t="shared" si="248"/>
        <v>0</v>
      </c>
      <c r="BB417" s="3264">
        <f t="shared" si="249"/>
        <v>0</v>
      </c>
      <c r="BC417" s="3264">
        <f t="shared" si="250"/>
        <v>0</v>
      </c>
      <c r="BD417" s="3264">
        <f t="shared" si="251"/>
        <v>0</v>
      </c>
      <c r="BE417" s="3264">
        <f t="shared" si="252"/>
        <v>0</v>
      </c>
      <c r="BF417" s="3264">
        <f t="shared" si="253"/>
        <v>0</v>
      </c>
      <c r="BG417" s="3264">
        <f t="shared" si="254"/>
        <v>0</v>
      </c>
      <c r="BH417" s="3264">
        <f t="shared" si="255"/>
        <v>0</v>
      </c>
      <c r="BI417" s="3264">
        <f t="shared" si="256"/>
        <v>0</v>
      </c>
      <c r="BJ417" s="3264">
        <f t="shared" si="257"/>
        <v>0</v>
      </c>
      <c r="BK417" s="3264">
        <f t="shared" si="258"/>
        <v>0</v>
      </c>
      <c r="BL417" s="3264">
        <f t="shared" si="259"/>
        <v>0</v>
      </c>
      <c r="BM417" s="3264">
        <f t="shared" si="260"/>
        <v>0</v>
      </c>
      <c r="BN417" s="3264">
        <f t="shared" si="261"/>
        <v>0</v>
      </c>
      <c r="BO417" s="3264">
        <f t="shared" si="262"/>
        <v>0</v>
      </c>
      <c r="BP417" s="3264">
        <f t="shared" si="263"/>
        <v>0</v>
      </c>
      <c r="BQ417" s="3264">
        <f t="shared" si="264"/>
        <v>0</v>
      </c>
      <c r="BR417" s="3264">
        <f t="shared" si="265"/>
        <v>0</v>
      </c>
      <c r="BS417" s="3264">
        <f t="shared" si="266"/>
        <v>0</v>
      </c>
      <c r="BT417" s="3317">
        <f t="shared" si="267"/>
        <v>0</v>
      </c>
    </row>
    <row r="418" spans="1:72">
      <c r="A418" s="3262"/>
      <c r="B418" s="3263"/>
      <c r="C418" s="3263"/>
      <c r="D418" s="3268"/>
      <c r="E418" s="3264">
        <f t="shared" si="239"/>
        <v>0</v>
      </c>
      <c r="F418" s="3265"/>
      <c r="G418" s="3266">
        <f t="shared" si="240"/>
        <v>0</v>
      </c>
      <c r="H418" s="3267">
        <f t="shared" si="241"/>
        <v>0</v>
      </c>
      <c r="I418" s="3275"/>
      <c r="J418" s="3275"/>
      <c r="K418" s="3275"/>
      <c r="L418" s="3275"/>
      <c r="M418" s="3275"/>
      <c r="N418" s="3275"/>
      <c r="O418" s="3275"/>
      <c r="P418" s="3275"/>
      <c r="Q418" s="3275"/>
      <c r="R418" s="3275"/>
      <c r="S418" s="3275"/>
      <c r="T418" s="3275"/>
      <c r="U418" s="3275"/>
      <c r="V418" s="3275"/>
      <c r="W418" s="3275"/>
      <c r="X418" s="3275"/>
      <c r="Y418" s="3275"/>
      <c r="Z418" s="3275"/>
      <c r="AA418" s="3275"/>
      <c r="AB418" s="3275"/>
      <c r="AC418" s="3264">
        <f t="shared" si="242"/>
        <v>0</v>
      </c>
      <c r="AD418" s="3285"/>
      <c r="AE418" s="3285"/>
      <c r="AF418" s="3285"/>
      <c r="AG418" s="3285"/>
      <c r="AH418" s="3285"/>
      <c r="AI418" s="3285"/>
      <c r="AJ418" s="3285"/>
      <c r="AK418" s="3285"/>
      <c r="AL418" s="3285"/>
      <c r="AM418" s="3285"/>
      <c r="AN418" s="3285"/>
      <c r="AO418" s="3285"/>
      <c r="AP418" s="3285"/>
      <c r="AQ418" s="3285"/>
      <c r="AR418" s="3285"/>
      <c r="AS418" s="3285"/>
      <c r="AT418" s="3295"/>
      <c r="AU418" s="3296"/>
      <c r="AV418" s="830">
        <f t="shared" si="243"/>
        <v>0</v>
      </c>
      <c r="AW418" s="830">
        <f t="shared" si="244"/>
        <v>0</v>
      </c>
      <c r="AX418" s="830">
        <f t="shared" si="245"/>
        <v>0</v>
      </c>
      <c r="AY418" s="3310">
        <f t="shared" si="246"/>
        <v>0</v>
      </c>
      <c r="AZ418" s="3264">
        <f t="shared" si="247"/>
        <v>0</v>
      </c>
      <c r="BA418" s="3264">
        <f t="shared" si="248"/>
        <v>0</v>
      </c>
      <c r="BB418" s="3264">
        <f t="shared" si="249"/>
        <v>0</v>
      </c>
      <c r="BC418" s="3264">
        <f t="shared" si="250"/>
        <v>0</v>
      </c>
      <c r="BD418" s="3264">
        <f t="shared" si="251"/>
        <v>0</v>
      </c>
      <c r="BE418" s="3264">
        <f t="shared" si="252"/>
        <v>0</v>
      </c>
      <c r="BF418" s="3264">
        <f t="shared" si="253"/>
        <v>0</v>
      </c>
      <c r="BG418" s="3264">
        <f t="shared" si="254"/>
        <v>0</v>
      </c>
      <c r="BH418" s="3264">
        <f t="shared" si="255"/>
        <v>0</v>
      </c>
      <c r="BI418" s="3264">
        <f t="shared" si="256"/>
        <v>0</v>
      </c>
      <c r="BJ418" s="3264">
        <f t="shared" si="257"/>
        <v>0</v>
      </c>
      <c r="BK418" s="3264">
        <f t="shared" si="258"/>
        <v>0</v>
      </c>
      <c r="BL418" s="3264">
        <f t="shared" si="259"/>
        <v>0</v>
      </c>
      <c r="BM418" s="3264">
        <f t="shared" si="260"/>
        <v>0</v>
      </c>
      <c r="BN418" s="3264">
        <f t="shared" si="261"/>
        <v>0</v>
      </c>
      <c r="BO418" s="3264">
        <f t="shared" si="262"/>
        <v>0</v>
      </c>
      <c r="BP418" s="3264">
        <f t="shared" si="263"/>
        <v>0</v>
      </c>
      <c r="BQ418" s="3264">
        <f t="shared" si="264"/>
        <v>0</v>
      </c>
      <c r="BR418" s="3264">
        <f t="shared" si="265"/>
        <v>0</v>
      </c>
      <c r="BS418" s="3264">
        <f t="shared" si="266"/>
        <v>0</v>
      </c>
      <c r="BT418" s="3317">
        <f t="shared" si="267"/>
        <v>0</v>
      </c>
    </row>
    <row r="419" spans="1:72">
      <c r="A419" s="3262"/>
      <c r="B419" s="3263"/>
      <c r="C419" s="3263"/>
      <c r="D419" s="3268"/>
      <c r="E419" s="3264">
        <f t="shared" si="239"/>
        <v>0</v>
      </c>
      <c r="F419" s="3265"/>
      <c r="G419" s="3266">
        <f t="shared" si="240"/>
        <v>0</v>
      </c>
      <c r="H419" s="3267">
        <f t="shared" si="241"/>
        <v>0</v>
      </c>
      <c r="I419" s="3275"/>
      <c r="J419" s="3275"/>
      <c r="K419" s="3275"/>
      <c r="L419" s="3275"/>
      <c r="M419" s="3275"/>
      <c r="N419" s="3275"/>
      <c r="O419" s="3275"/>
      <c r="P419" s="3275"/>
      <c r="Q419" s="3275"/>
      <c r="R419" s="3275"/>
      <c r="S419" s="3275"/>
      <c r="T419" s="3275"/>
      <c r="U419" s="3275"/>
      <c r="V419" s="3275"/>
      <c r="W419" s="3275"/>
      <c r="X419" s="3275"/>
      <c r="Y419" s="3275"/>
      <c r="Z419" s="3275"/>
      <c r="AA419" s="3275"/>
      <c r="AB419" s="3275"/>
      <c r="AC419" s="3264">
        <f t="shared" si="242"/>
        <v>0</v>
      </c>
      <c r="AD419" s="3285"/>
      <c r="AE419" s="3285"/>
      <c r="AF419" s="3285"/>
      <c r="AG419" s="3285"/>
      <c r="AH419" s="3285"/>
      <c r="AI419" s="3285"/>
      <c r="AJ419" s="3285"/>
      <c r="AK419" s="3285"/>
      <c r="AL419" s="3285"/>
      <c r="AM419" s="3285"/>
      <c r="AN419" s="3285"/>
      <c r="AO419" s="3285"/>
      <c r="AP419" s="3285"/>
      <c r="AQ419" s="3285"/>
      <c r="AR419" s="3285"/>
      <c r="AS419" s="3285"/>
      <c r="AT419" s="3295"/>
      <c r="AU419" s="3296"/>
      <c r="AV419" s="830">
        <f t="shared" si="243"/>
        <v>0</v>
      </c>
      <c r="AW419" s="830">
        <f t="shared" si="244"/>
        <v>0</v>
      </c>
      <c r="AX419" s="830">
        <f t="shared" si="245"/>
        <v>0</v>
      </c>
      <c r="AY419" s="3310">
        <f t="shared" si="246"/>
        <v>0</v>
      </c>
      <c r="AZ419" s="3264">
        <f t="shared" si="247"/>
        <v>0</v>
      </c>
      <c r="BA419" s="3264">
        <f t="shared" si="248"/>
        <v>0</v>
      </c>
      <c r="BB419" s="3264">
        <f t="shared" si="249"/>
        <v>0</v>
      </c>
      <c r="BC419" s="3264">
        <f t="shared" si="250"/>
        <v>0</v>
      </c>
      <c r="BD419" s="3264">
        <f t="shared" si="251"/>
        <v>0</v>
      </c>
      <c r="BE419" s="3264">
        <f t="shared" si="252"/>
        <v>0</v>
      </c>
      <c r="BF419" s="3264">
        <f t="shared" si="253"/>
        <v>0</v>
      </c>
      <c r="BG419" s="3264">
        <f t="shared" si="254"/>
        <v>0</v>
      </c>
      <c r="BH419" s="3264">
        <f t="shared" si="255"/>
        <v>0</v>
      </c>
      <c r="BI419" s="3264">
        <f t="shared" si="256"/>
        <v>0</v>
      </c>
      <c r="BJ419" s="3264">
        <f t="shared" si="257"/>
        <v>0</v>
      </c>
      <c r="BK419" s="3264">
        <f t="shared" si="258"/>
        <v>0</v>
      </c>
      <c r="BL419" s="3264">
        <f t="shared" si="259"/>
        <v>0</v>
      </c>
      <c r="BM419" s="3264">
        <f t="shared" si="260"/>
        <v>0</v>
      </c>
      <c r="BN419" s="3264">
        <f t="shared" si="261"/>
        <v>0</v>
      </c>
      <c r="BO419" s="3264">
        <f t="shared" si="262"/>
        <v>0</v>
      </c>
      <c r="BP419" s="3264">
        <f t="shared" si="263"/>
        <v>0</v>
      </c>
      <c r="BQ419" s="3264">
        <f t="shared" si="264"/>
        <v>0</v>
      </c>
      <c r="BR419" s="3264">
        <f t="shared" si="265"/>
        <v>0</v>
      </c>
      <c r="BS419" s="3264">
        <f t="shared" si="266"/>
        <v>0</v>
      </c>
      <c r="BT419" s="3317">
        <f t="shared" si="267"/>
        <v>0</v>
      </c>
    </row>
    <row r="420" spans="1:72">
      <c r="A420" s="3262"/>
      <c r="B420" s="3263"/>
      <c r="C420" s="3263"/>
      <c r="D420" s="3268"/>
      <c r="E420" s="3264">
        <f t="shared" si="239"/>
        <v>0</v>
      </c>
      <c r="F420" s="3265"/>
      <c r="G420" s="3266">
        <f t="shared" si="240"/>
        <v>0</v>
      </c>
      <c r="H420" s="3267">
        <f t="shared" si="241"/>
        <v>0</v>
      </c>
      <c r="I420" s="3275"/>
      <c r="J420" s="3275"/>
      <c r="K420" s="3275"/>
      <c r="L420" s="3275"/>
      <c r="M420" s="3275"/>
      <c r="N420" s="3275"/>
      <c r="O420" s="3275"/>
      <c r="P420" s="3275"/>
      <c r="Q420" s="3275"/>
      <c r="R420" s="3275"/>
      <c r="S420" s="3275"/>
      <c r="T420" s="3275"/>
      <c r="U420" s="3275"/>
      <c r="V420" s="3275"/>
      <c r="W420" s="3275"/>
      <c r="X420" s="3275"/>
      <c r="Y420" s="3275"/>
      <c r="Z420" s="3275"/>
      <c r="AA420" s="3275"/>
      <c r="AB420" s="3275"/>
      <c r="AC420" s="3264">
        <f t="shared" si="242"/>
        <v>0</v>
      </c>
      <c r="AD420" s="3285"/>
      <c r="AE420" s="3285"/>
      <c r="AF420" s="3285"/>
      <c r="AG420" s="3285"/>
      <c r="AH420" s="3285"/>
      <c r="AI420" s="3285"/>
      <c r="AJ420" s="3285"/>
      <c r="AK420" s="3285"/>
      <c r="AL420" s="3285"/>
      <c r="AM420" s="3285"/>
      <c r="AN420" s="3285"/>
      <c r="AO420" s="3285"/>
      <c r="AP420" s="3285"/>
      <c r="AQ420" s="3285"/>
      <c r="AR420" s="3285"/>
      <c r="AS420" s="3285"/>
      <c r="AT420" s="3295"/>
      <c r="AU420" s="3296"/>
      <c r="AV420" s="830">
        <f t="shared" si="243"/>
        <v>0</v>
      </c>
      <c r="AW420" s="830">
        <f t="shared" si="244"/>
        <v>0</v>
      </c>
      <c r="AX420" s="830">
        <f t="shared" si="245"/>
        <v>0</v>
      </c>
      <c r="AY420" s="3310">
        <f t="shared" si="246"/>
        <v>0</v>
      </c>
      <c r="AZ420" s="3264">
        <f t="shared" si="247"/>
        <v>0</v>
      </c>
      <c r="BA420" s="3264">
        <f t="shared" si="248"/>
        <v>0</v>
      </c>
      <c r="BB420" s="3264">
        <f t="shared" si="249"/>
        <v>0</v>
      </c>
      <c r="BC420" s="3264">
        <f t="shared" si="250"/>
        <v>0</v>
      </c>
      <c r="BD420" s="3264">
        <f t="shared" si="251"/>
        <v>0</v>
      </c>
      <c r="BE420" s="3264">
        <f t="shared" si="252"/>
        <v>0</v>
      </c>
      <c r="BF420" s="3264">
        <f t="shared" si="253"/>
        <v>0</v>
      </c>
      <c r="BG420" s="3264">
        <f t="shared" si="254"/>
        <v>0</v>
      </c>
      <c r="BH420" s="3264">
        <f t="shared" si="255"/>
        <v>0</v>
      </c>
      <c r="BI420" s="3264">
        <f t="shared" si="256"/>
        <v>0</v>
      </c>
      <c r="BJ420" s="3264">
        <f t="shared" si="257"/>
        <v>0</v>
      </c>
      <c r="BK420" s="3264">
        <f t="shared" si="258"/>
        <v>0</v>
      </c>
      <c r="BL420" s="3264">
        <f t="shared" si="259"/>
        <v>0</v>
      </c>
      <c r="BM420" s="3264">
        <f t="shared" si="260"/>
        <v>0</v>
      </c>
      <c r="BN420" s="3264">
        <f t="shared" si="261"/>
        <v>0</v>
      </c>
      <c r="BO420" s="3264">
        <f t="shared" si="262"/>
        <v>0</v>
      </c>
      <c r="BP420" s="3264">
        <f t="shared" si="263"/>
        <v>0</v>
      </c>
      <c r="BQ420" s="3264">
        <f t="shared" si="264"/>
        <v>0</v>
      </c>
      <c r="BR420" s="3264">
        <f t="shared" si="265"/>
        <v>0</v>
      </c>
      <c r="BS420" s="3264">
        <f t="shared" si="266"/>
        <v>0</v>
      </c>
      <c r="BT420" s="3317">
        <f t="shared" si="267"/>
        <v>0</v>
      </c>
    </row>
    <row r="421" spans="1:72">
      <c r="A421" s="3262"/>
      <c r="B421" s="3263"/>
      <c r="C421" s="3263"/>
      <c r="D421" s="3268"/>
      <c r="E421" s="3264">
        <f t="shared" si="239"/>
        <v>0</v>
      </c>
      <c r="F421" s="3265"/>
      <c r="G421" s="3266">
        <f t="shared" si="240"/>
        <v>0</v>
      </c>
      <c r="H421" s="3267">
        <f t="shared" si="241"/>
        <v>0</v>
      </c>
      <c r="I421" s="3275"/>
      <c r="J421" s="3275"/>
      <c r="K421" s="3275"/>
      <c r="L421" s="3275"/>
      <c r="M421" s="3275"/>
      <c r="N421" s="3275"/>
      <c r="O421" s="3275"/>
      <c r="P421" s="3275"/>
      <c r="Q421" s="3275"/>
      <c r="R421" s="3275"/>
      <c r="S421" s="3275"/>
      <c r="T421" s="3275"/>
      <c r="U421" s="3275"/>
      <c r="V421" s="3275"/>
      <c r="W421" s="3275"/>
      <c r="X421" s="3275"/>
      <c r="Y421" s="3275"/>
      <c r="Z421" s="3275"/>
      <c r="AA421" s="3275"/>
      <c r="AB421" s="3275"/>
      <c r="AC421" s="3264">
        <f t="shared" si="242"/>
        <v>0</v>
      </c>
      <c r="AD421" s="3285"/>
      <c r="AE421" s="3285"/>
      <c r="AF421" s="3285"/>
      <c r="AG421" s="3285"/>
      <c r="AH421" s="3285"/>
      <c r="AI421" s="3285"/>
      <c r="AJ421" s="3285"/>
      <c r="AK421" s="3285"/>
      <c r="AL421" s="3285"/>
      <c r="AM421" s="3285"/>
      <c r="AN421" s="3285"/>
      <c r="AO421" s="3285"/>
      <c r="AP421" s="3285"/>
      <c r="AQ421" s="3285"/>
      <c r="AR421" s="3285"/>
      <c r="AS421" s="3285"/>
      <c r="AT421" s="3295"/>
      <c r="AU421" s="3296"/>
      <c r="AV421" s="830">
        <f t="shared" si="243"/>
        <v>0</v>
      </c>
      <c r="AW421" s="830">
        <f t="shared" si="244"/>
        <v>0</v>
      </c>
      <c r="AX421" s="830">
        <f t="shared" si="245"/>
        <v>0</v>
      </c>
      <c r="AY421" s="3310">
        <f t="shared" si="246"/>
        <v>0</v>
      </c>
      <c r="AZ421" s="3264">
        <f t="shared" si="247"/>
        <v>0</v>
      </c>
      <c r="BA421" s="3264">
        <f t="shared" si="248"/>
        <v>0</v>
      </c>
      <c r="BB421" s="3264">
        <f t="shared" si="249"/>
        <v>0</v>
      </c>
      <c r="BC421" s="3264">
        <f t="shared" si="250"/>
        <v>0</v>
      </c>
      <c r="BD421" s="3264">
        <f t="shared" si="251"/>
        <v>0</v>
      </c>
      <c r="BE421" s="3264">
        <f t="shared" si="252"/>
        <v>0</v>
      </c>
      <c r="BF421" s="3264">
        <f t="shared" si="253"/>
        <v>0</v>
      </c>
      <c r="BG421" s="3264">
        <f t="shared" si="254"/>
        <v>0</v>
      </c>
      <c r="BH421" s="3264">
        <f t="shared" si="255"/>
        <v>0</v>
      </c>
      <c r="BI421" s="3264">
        <f t="shared" si="256"/>
        <v>0</v>
      </c>
      <c r="BJ421" s="3264">
        <f t="shared" si="257"/>
        <v>0</v>
      </c>
      <c r="BK421" s="3264">
        <f t="shared" si="258"/>
        <v>0</v>
      </c>
      <c r="BL421" s="3264">
        <f t="shared" si="259"/>
        <v>0</v>
      </c>
      <c r="BM421" s="3264">
        <f t="shared" si="260"/>
        <v>0</v>
      </c>
      <c r="BN421" s="3264">
        <f t="shared" si="261"/>
        <v>0</v>
      </c>
      <c r="BO421" s="3264">
        <f t="shared" si="262"/>
        <v>0</v>
      </c>
      <c r="BP421" s="3264">
        <f t="shared" si="263"/>
        <v>0</v>
      </c>
      <c r="BQ421" s="3264">
        <f t="shared" si="264"/>
        <v>0</v>
      </c>
      <c r="BR421" s="3264">
        <f t="shared" si="265"/>
        <v>0</v>
      </c>
      <c r="BS421" s="3264">
        <f t="shared" si="266"/>
        <v>0</v>
      </c>
      <c r="BT421" s="3317">
        <f t="shared" si="267"/>
        <v>0</v>
      </c>
    </row>
    <row r="422" spans="1:72">
      <c r="A422" s="3262"/>
      <c r="B422" s="3263"/>
      <c r="C422" s="3263"/>
      <c r="D422" s="3268"/>
      <c r="E422" s="3264">
        <f t="shared" si="239"/>
        <v>0</v>
      </c>
      <c r="F422" s="3265"/>
      <c r="G422" s="3266">
        <f t="shared" si="240"/>
        <v>0</v>
      </c>
      <c r="H422" s="3267">
        <f t="shared" si="241"/>
        <v>0</v>
      </c>
      <c r="I422" s="3275"/>
      <c r="J422" s="3275"/>
      <c r="K422" s="3275"/>
      <c r="L422" s="3275"/>
      <c r="M422" s="3275"/>
      <c r="N422" s="3275"/>
      <c r="O422" s="3275"/>
      <c r="P422" s="3275"/>
      <c r="Q422" s="3275"/>
      <c r="R422" s="3275"/>
      <c r="S422" s="3275"/>
      <c r="T422" s="3275"/>
      <c r="U422" s="3275"/>
      <c r="V422" s="3275"/>
      <c r="W422" s="3275"/>
      <c r="X422" s="3275"/>
      <c r="Y422" s="3275"/>
      <c r="Z422" s="3275"/>
      <c r="AA422" s="3275"/>
      <c r="AB422" s="3275"/>
      <c r="AC422" s="3264">
        <f t="shared" si="242"/>
        <v>0</v>
      </c>
      <c r="AD422" s="3285"/>
      <c r="AE422" s="3285"/>
      <c r="AF422" s="3285"/>
      <c r="AG422" s="3285"/>
      <c r="AH422" s="3285"/>
      <c r="AI422" s="3285"/>
      <c r="AJ422" s="3285"/>
      <c r="AK422" s="3285"/>
      <c r="AL422" s="3285"/>
      <c r="AM422" s="3285"/>
      <c r="AN422" s="3285"/>
      <c r="AO422" s="3285"/>
      <c r="AP422" s="3285"/>
      <c r="AQ422" s="3285"/>
      <c r="AR422" s="3285"/>
      <c r="AS422" s="3285"/>
      <c r="AT422" s="3295"/>
      <c r="AU422" s="3296"/>
      <c r="AV422" s="830">
        <f t="shared" si="243"/>
        <v>0</v>
      </c>
      <c r="AW422" s="830">
        <f t="shared" si="244"/>
        <v>0</v>
      </c>
      <c r="AX422" s="830">
        <f t="shared" si="245"/>
        <v>0</v>
      </c>
      <c r="AY422" s="3310">
        <f t="shared" si="246"/>
        <v>0</v>
      </c>
      <c r="AZ422" s="3264">
        <f t="shared" si="247"/>
        <v>0</v>
      </c>
      <c r="BA422" s="3264">
        <f t="shared" si="248"/>
        <v>0</v>
      </c>
      <c r="BB422" s="3264">
        <f t="shared" si="249"/>
        <v>0</v>
      </c>
      <c r="BC422" s="3264">
        <f t="shared" si="250"/>
        <v>0</v>
      </c>
      <c r="BD422" s="3264">
        <f t="shared" si="251"/>
        <v>0</v>
      </c>
      <c r="BE422" s="3264">
        <f t="shared" si="252"/>
        <v>0</v>
      </c>
      <c r="BF422" s="3264">
        <f t="shared" si="253"/>
        <v>0</v>
      </c>
      <c r="BG422" s="3264">
        <f t="shared" si="254"/>
        <v>0</v>
      </c>
      <c r="BH422" s="3264">
        <f t="shared" si="255"/>
        <v>0</v>
      </c>
      <c r="BI422" s="3264">
        <f t="shared" si="256"/>
        <v>0</v>
      </c>
      <c r="BJ422" s="3264">
        <f t="shared" si="257"/>
        <v>0</v>
      </c>
      <c r="BK422" s="3264">
        <f t="shared" si="258"/>
        <v>0</v>
      </c>
      <c r="BL422" s="3264">
        <f t="shared" si="259"/>
        <v>0</v>
      </c>
      <c r="BM422" s="3264">
        <f t="shared" si="260"/>
        <v>0</v>
      </c>
      <c r="BN422" s="3264">
        <f t="shared" si="261"/>
        <v>0</v>
      </c>
      <c r="BO422" s="3264">
        <f t="shared" si="262"/>
        <v>0</v>
      </c>
      <c r="BP422" s="3264">
        <f t="shared" si="263"/>
        <v>0</v>
      </c>
      <c r="BQ422" s="3264">
        <f t="shared" si="264"/>
        <v>0</v>
      </c>
      <c r="BR422" s="3264">
        <f t="shared" si="265"/>
        <v>0</v>
      </c>
      <c r="BS422" s="3264">
        <f t="shared" si="266"/>
        <v>0</v>
      </c>
      <c r="BT422" s="3317">
        <f t="shared" si="267"/>
        <v>0</v>
      </c>
    </row>
    <row r="423" spans="1:72">
      <c r="A423" s="3262"/>
      <c r="B423" s="3263"/>
      <c r="C423" s="3263"/>
      <c r="D423" s="3268"/>
      <c r="E423" s="3264">
        <f t="shared" si="239"/>
        <v>0</v>
      </c>
      <c r="F423" s="3265"/>
      <c r="G423" s="3266">
        <f t="shared" si="240"/>
        <v>0</v>
      </c>
      <c r="H423" s="3267">
        <f t="shared" si="241"/>
        <v>0</v>
      </c>
      <c r="I423" s="3275"/>
      <c r="J423" s="3275"/>
      <c r="K423" s="3275"/>
      <c r="L423" s="3275"/>
      <c r="M423" s="3275"/>
      <c r="N423" s="3275"/>
      <c r="O423" s="3275"/>
      <c r="P423" s="3275"/>
      <c r="Q423" s="3275"/>
      <c r="R423" s="3275"/>
      <c r="S423" s="3275"/>
      <c r="T423" s="3275"/>
      <c r="U423" s="3275"/>
      <c r="V423" s="3275"/>
      <c r="W423" s="3275"/>
      <c r="X423" s="3275"/>
      <c r="Y423" s="3275"/>
      <c r="Z423" s="3275"/>
      <c r="AA423" s="3275"/>
      <c r="AB423" s="3275"/>
      <c r="AC423" s="3264">
        <f t="shared" si="242"/>
        <v>0</v>
      </c>
      <c r="AD423" s="3285"/>
      <c r="AE423" s="3285"/>
      <c r="AF423" s="3285"/>
      <c r="AG423" s="3285"/>
      <c r="AH423" s="3285"/>
      <c r="AI423" s="3285"/>
      <c r="AJ423" s="3285"/>
      <c r="AK423" s="3285"/>
      <c r="AL423" s="3285"/>
      <c r="AM423" s="3285"/>
      <c r="AN423" s="3285"/>
      <c r="AO423" s="3285"/>
      <c r="AP423" s="3285"/>
      <c r="AQ423" s="3285"/>
      <c r="AR423" s="3285"/>
      <c r="AS423" s="3285"/>
      <c r="AT423" s="3295"/>
      <c r="AU423" s="3296"/>
      <c r="AV423" s="830">
        <f t="shared" si="243"/>
        <v>0</v>
      </c>
      <c r="AW423" s="830">
        <f t="shared" si="244"/>
        <v>0</v>
      </c>
      <c r="AX423" s="830">
        <f t="shared" si="245"/>
        <v>0</v>
      </c>
      <c r="AY423" s="3310">
        <f t="shared" si="246"/>
        <v>0</v>
      </c>
      <c r="AZ423" s="3264">
        <f t="shared" si="247"/>
        <v>0</v>
      </c>
      <c r="BA423" s="3264">
        <f t="shared" si="248"/>
        <v>0</v>
      </c>
      <c r="BB423" s="3264">
        <f t="shared" si="249"/>
        <v>0</v>
      </c>
      <c r="BC423" s="3264">
        <f t="shared" si="250"/>
        <v>0</v>
      </c>
      <c r="BD423" s="3264">
        <f t="shared" si="251"/>
        <v>0</v>
      </c>
      <c r="BE423" s="3264">
        <f t="shared" si="252"/>
        <v>0</v>
      </c>
      <c r="BF423" s="3264">
        <f t="shared" si="253"/>
        <v>0</v>
      </c>
      <c r="BG423" s="3264">
        <f t="shared" si="254"/>
        <v>0</v>
      </c>
      <c r="BH423" s="3264">
        <f t="shared" si="255"/>
        <v>0</v>
      </c>
      <c r="BI423" s="3264">
        <f t="shared" si="256"/>
        <v>0</v>
      </c>
      <c r="BJ423" s="3264">
        <f t="shared" si="257"/>
        <v>0</v>
      </c>
      <c r="BK423" s="3264">
        <f t="shared" si="258"/>
        <v>0</v>
      </c>
      <c r="BL423" s="3264">
        <f t="shared" si="259"/>
        <v>0</v>
      </c>
      <c r="BM423" s="3264">
        <f t="shared" si="260"/>
        <v>0</v>
      </c>
      <c r="BN423" s="3264">
        <f t="shared" si="261"/>
        <v>0</v>
      </c>
      <c r="BO423" s="3264">
        <f t="shared" si="262"/>
        <v>0</v>
      </c>
      <c r="BP423" s="3264">
        <f t="shared" si="263"/>
        <v>0</v>
      </c>
      <c r="BQ423" s="3264">
        <f t="shared" si="264"/>
        <v>0</v>
      </c>
      <c r="BR423" s="3264">
        <f t="shared" si="265"/>
        <v>0</v>
      </c>
      <c r="BS423" s="3264">
        <f t="shared" si="266"/>
        <v>0</v>
      </c>
      <c r="BT423" s="3317">
        <f t="shared" si="267"/>
        <v>0</v>
      </c>
    </row>
    <row r="424" spans="1:72">
      <c r="A424" s="3262"/>
      <c r="B424" s="3263"/>
      <c r="C424" s="3263"/>
      <c r="D424" s="3268"/>
      <c r="E424" s="3264">
        <f t="shared" si="239"/>
        <v>0</v>
      </c>
      <c r="F424" s="3265"/>
      <c r="G424" s="3266">
        <f t="shared" si="240"/>
        <v>0</v>
      </c>
      <c r="H424" s="3267">
        <f t="shared" si="241"/>
        <v>0</v>
      </c>
      <c r="I424" s="3275"/>
      <c r="J424" s="3275"/>
      <c r="K424" s="3275"/>
      <c r="L424" s="3275"/>
      <c r="M424" s="3275"/>
      <c r="N424" s="3275"/>
      <c r="O424" s="3275"/>
      <c r="P424" s="3275"/>
      <c r="Q424" s="3275"/>
      <c r="R424" s="3275"/>
      <c r="S424" s="3275"/>
      <c r="T424" s="3275"/>
      <c r="U424" s="3275"/>
      <c r="V424" s="3275"/>
      <c r="W424" s="3275"/>
      <c r="X424" s="3275"/>
      <c r="Y424" s="3275"/>
      <c r="Z424" s="3275"/>
      <c r="AA424" s="3275"/>
      <c r="AB424" s="3275"/>
      <c r="AC424" s="3264">
        <f t="shared" si="242"/>
        <v>0</v>
      </c>
      <c r="AD424" s="3285"/>
      <c r="AE424" s="3285"/>
      <c r="AF424" s="3285"/>
      <c r="AG424" s="3285"/>
      <c r="AH424" s="3285"/>
      <c r="AI424" s="3285"/>
      <c r="AJ424" s="3285"/>
      <c r="AK424" s="3285"/>
      <c r="AL424" s="3285"/>
      <c r="AM424" s="3285"/>
      <c r="AN424" s="3285"/>
      <c r="AO424" s="3285"/>
      <c r="AP424" s="3285"/>
      <c r="AQ424" s="3285"/>
      <c r="AR424" s="3285"/>
      <c r="AS424" s="3285"/>
      <c r="AT424" s="3295"/>
      <c r="AU424" s="3296"/>
      <c r="AV424" s="830">
        <f t="shared" si="243"/>
        <v>0</v>
      </c>
      <c r="AW424" s="830">
        <f t="shared" si="244"/>
        <v>0</v>
      </c>
      <c r="AX424" s="830">
        <f t="shared" si="245"/>
        <v>0</v>
      </c>
      <c r="AY424" s="3310">
        <f t="shared" si="246"/>
        <v>0</v>
      </c>
      <c r="AZ424" s="3264">
        <f t="shared" si="247"/>
        <v>0</v>
      </c>
      <c r="BA424" s="3264">
        <f t="shared" si="248"/>
        <v>0</v>
      </c>
      <c r="BB424" s="3264">
        <f t="shared" si="249"/>
        <v>0</v>
      </c>
      <c r="BC424" s="3264">
        <f t="shared" si="250"/>
        <v>0</v>
      </c>
      <c r="BD424" s="3264">
        <f t="shared" si="251"/>
        <v>0</v>
      </c>
      <c r="BE424" s="3264">
        <f t="shared" si="252"/>
        <v>0</v>
      </c>
      <c r="BF424" s="3264">
        <f t="shared" si="253"/>
        <v>0</v>
      </c>
      <c r="BG424" s="3264">
        <f t="shared" si="254"/>
        <v>0</v>
      </c>
      <c r="BH424" s="3264">
        <f t="shared" si="255"/>
        <v>0</v>
      </c>
      <c r="BI424" s="3264">
        <f t="shared" si="256"/>
        <v>0</v>
      </c>
      <c r="BJ424" s="3264">
        <f t="shared" si="257"/>
        <v>0</v>
      </c>
      <c r="BK424" s="3264">
        <f t="shared" si="258"/>
        <v>0</v>
      </c>
      <c r="BL424" s="3264">
        <f t="shared" si="259"/>
        <v>0</v>
      </c>
      <c r="BM424" s="3264">
        <f t="shared" si="260"/>
        <v>0</v>
      </c>
      <c r="BN424" s="3264">
        <f t="shared" si="261"/>
        <v>0</v>
      </c>
      <c r="BO424" s="3264">
        <f t="shared" si="262"/>
        <v>0</v>
      </c>
      <c r="BP424" s="3264">
        <f t="shared" si="263"/>
        <v>0</v>
      </c>
      <c r="BQ424" s="3264">
        <f t="shared" si="264"/>
        <v>0</v>
      </c>
      <c r="BR424" s="3264">
        <f t="shared" si="265"/>
        <v>0</v>
      </c>
      <c r="BS424" s="3264">
        <f t="shared" si="266"/>
        <v>0</v>
      </c>
      <c r="BT424" s="3317">
        <f t="shared" si="267"/>
        <v>0</v>
      </c>
    </row>
    <row r="425" spans="1:72">
      <c r="A425" s="3262"/>
      <c r="B425" s="3263"/>
      <c r="C425" s="3263"/>
      <c r="D425" s="3268"/>
      <c r="E425" s="3264">
        <f t="shared" si="239"/>
        <v>0</v>
      </c>
      <c r="F425" s="3265"/>
      <c r="G425" s="3266">
        <f t="shared" si="240"/>
        <v>0</v>
      </c>
      <c r="H425" s="3267">
        <f t="shared" si="241"/>
        <v>0</v>
      </c>
      <c r="I425" s="3275"/>
      <c r="J425" s="3275"/>
      <c r="K425" s="3275"/>
      <c r="L425" s="3275"/>
      <c r="M425" s="3275"/>
      <c r="N425" s="3275"/>
      <c r="O425" s="3275"/>
      <c r="P425" s="3275"/>
      <c r="Q425" s="3275"/>
      <c r="R425" s="3275"/>
      <c r="S425" s="3275"/>
      <c r="T425" s="3275"/>
      <c r="U425" s="3275"/>
      <c r="V425" s="3275"/>
      <c r="W425" s="3275"/>
      <c r="X425" s="3275"/>
      <c r="Y425" s="3275"/>
      <c r="Z425" s="3275"/>
      <c r="AA425" s="3275"/>
      <c r="AB425" s="3275"/>
      <c r="AC425" s="3264">
        <f t="shared" si="242"/>
        <v>0</v>
      </c>
      <c r="AD425" s="3285"/>
      <c r="AE425" s="3285"/>
      <c r="AF425" s="3285"/>
      <c r="AG425" s="3285"/>
      <c r="AH425" s="3285"/>
      <c r="AI425" s="3285"/>
      <c r="AJ425" s="3285"/>
      <c r="AK425" s="3285"/>
      <c r="AL425" s="3285"/>
      <c r="AM425" s="3285"/>
      <c r="AN425" s="3285"/>
      <c r="AO425" s="3285"/>
      <c r="AP425" s="3285"/>
      <c r="AQ425" s="3285"/>
      <c r="AR425" s="3285"/>
      <c r="AS425" s="3285"/>
      <c r="AT425" s="3295"/>
      <c r="AU425" s="3296"/>
      <c r="AV425" s="830">
        <f t="shared" si="243"/>
        <v>0</v>
      </c>
      <c r="AW425" s="830">
        <f t="shared" si="244"/>
        <v>0</v>
      </c>
      <c r="AX425" s="830">
        <f t="shared" si="245"/>
        <v>0</v>
      </c>
      <c r="AY425" s="3310">
        <f t="shared" si="246"/>
        <v>0</v>
      </c>
      <c r="AZ425" s="3264">
        <f t="shared" si="247"/>
        <v>0</v>
      </c>
      <c r="BA425" s="3264">
        <f t="shared" si="248"/>
        <v>0</v>
      </c>
      <c r="BB425" s="3264">
        <f t="shared" si="249"/>
        <v>0</v>
      </c>
      <c r="BC425" s="3264">
        <f t="shared" si="250"/>
        <v>0</v>
      </c>
      <c r="BD425" s="3264">
        <f t="shared" si="251"/>
        <v>0</v>
      </c>
      <c r="BE425" s="3264">
        <f t="shared" si="252"/>
        <v>0</v>
      </c>
      <c r="BF425" s="3264">
        <f t="shared" si="253"/>
        <v>0</v>
      </c>
      <c r="BG425" s="3264">
        <f t="shared" si="254"/>
        <v>0</v>
      </c>
      <c r="BH425" s="3264">
        <f t="shared" si="255"/>
        <v>0</v>
      </c>
      <c r="BI425" s="3264">
        <f t="shared" si="256"/>
        <v>0</v>
      </c>
      <c r="BJ425" s="3264">
        <f t="shared" si="257"/>
        <v>0</v>
      </c>
      <c r="BK425" s="3264">
        <f t="shared" si="258"/>
        <v>0</v>
      </c>
      <c r="BL425" s="3264">
        <f t="shared" si="259"/>
        <v>0</v>
      </c>
      <c r="BM425" s="3264">
        <f t="shared" si="260"/>
        <v>0</v>
      </c>
      <c r="BN425" s="3264">
        <f t="shared" si="261"/>
        <v>0</v>
      </c>
      <c r="BO425" s="3264">
        <f t="shared" si="262"/>
        <v>0</v>
      </c>
      <c r="BP425" s="3264">
        <f t="shared" si="263"/>
        <v>0</v>
      </c>
      <c r="BQ425" s="3264">
        <f t="shared" si="264"/>
        <v>0</v>
      </c>
      <c r="BR425" s="3264">
        <f t="shared" si="265"/>
        <v>0</v>
      </c>
      <c r="BS425" s="3264">
        <f t="shared" si="266"/>
        <v>0</v>
      </c>
      <c r="BT425" s="3317">
        <f t="shared" si="267"/>
        <v>0</v>
      </c>
    </row>
    <row r="426" spans="1:72">
      <c r="A426" s="3262"/>
      <c r="B426" s="3263"/>
      <c r="C426" s="3263"/>
      <c r="D426" s="3268"/>
      <c r="E426" s="3264">
        <f t="shared" si="239"/>
        <v>0</v>
      </c>
      <c r="F426" s="3265"/>
      <c r="G426" s="3266">
        <f t="shared" si="240"/>
        <v>0</v>
      </c>
      <c r="H426" s="3267">
        <f t="shared" si="241"/>
        <v>0</v>
      </c>
      <c r="I426" s="3275"/>
      <c r="J426" s="3275"/>
      <c r="K426" s="3275"/>
      <c r="L426" s="3275"/>
      <c r="M426" s="3275"/>
      <c r="N426" s="3275"/>
      <c r="O426" s="3275"/>
      <c r="P426" s="3275"/>
      <c r="Q426" s="3275"/>
      <c r="R426" s="3275"/>
      <c r="S426" s="3275"/>
      <c r="T426" s="3275"/>
      <c r="U426" s="3275"/>
      <c r="V426" s="3275"/>
      <c r="W426" s="3275"/>
      <c r="X426" s="3275"/>
      <c r="Y426" s="3275"/>
      <c r="Z426" s="3275"/>
      <c r="AA426" s="3275"/>
      <c r="AB426" s="3275"/>
      <c r="AC426" s="3264">
        <f t="shared" si="242"/>
        <v>0</v>
      </c>
      <c r="AD426" s="3285"/>
      <c r="AE426" s="3285"/>
      <c r="AF426" s="3285"/>
      <c r="AG426" s="3285"/>
      <c r="AH426" s="3285"/>
      <c r="AI426" s="3285"/>
      <c r="AJ426" s="3285"/>
      <c r="AK426" s="3285"/>
      <c r="AL426" s="3285"/>
      <c r="AM426" s="3285"/>
      <c r="AN426" s="3285"/>
      <c r="AO426" s="3285"/>
      <c r="AP426" s="3285"/>
      <c r="AQ426" s="3285"/>
      <c r="AR426" s="3285"/>
      <c r="AS426" s="3285"/>
      <c r="AT426" s="3295"/>
      <c r="AU426" s="3296"/>
      <c r="AV426" s="830">
        <f t="shared" si="243"/>
        <v>0</v>
      </c>
      <c r="AW426" s="830">
        <f t="shared" si="244"/>
        <v>0</v>
      </c>
      <c r="AX426" s="830">
        <f t="shared" si="245"/>
        <v>0</v>
      </c>
      <c r="AY426" s="3310">
        <f t="shared" si="246"/>
        <v>0</v>
      </c>
      <c r="AZ426" s="3264">
        <f t="shared" si="247"/>
        <v>0</v>
      </c>
      <c r="BA426" s="3264">
        <f t="shared" si="248"/>
        <v>0</v>
      </c>
      <c r="BB426" s="3264">
        <f t="shared" si="249"/>
        <v>0</v>
      </c>
      <c r="BC426" s="3264">
        <f t="shared" si="250"/>
        <v>0</v>
      </c>
      <c r="BD426" s="3264">
        <f t="shared" si="251"/>
        <v>0</v>
      </c>
      <c r="BE426" s="3264">
        <f t="shared" si="252"/>
        <v>0</v>
      </c>
      <c r="BF426" s="3264">
        <f t="shared" si="253"/>
        <v>0</v>
      </c>
      <c r="BG426" s="3264">
        <f t="shared" si="254"/>
        <v>0</v>
      </c>
      <c r="BH426" s="3264">
        <f t="shared" si="255"/>
        <v>0</v>
      </c>
      <c r="BI426" s="3264">
        <f t="shared" si="256"/>
        <v>0</v>
      </c>
      <c r="BJ426" s="3264">
        <f t="shared" si="257"/>
        <v>0</v>
      </c>
      <c r="BK426" s="3264">
        <f t="shared" si="258"/>
        <v>0</v>
      </c>
      <c r="BL426" s="3264">
        <f t="shared" si="259"/>
        <v>0</v>
      </c>
      <c r="BM426" s="3264">
        <f t="shared" si="260"/>
        <v>0</v>
      </c>
      <c r="BN426" s="3264">
        <f t="shared" si="261"/>
        <v>0</v>
      </c>
      <c r="BO426" s="3264">
        <f t="shared" si="262"/>
        <v>0</v>
      </c>
      <c r="BP426" s="3264">
        <f t="shared" si="263"/>
        <v>0</v>
      </c>
      <c r="BQ426" s="3264">
        <f t="shared" si="264"/>
        <v>0</v>
      </c>
      <c r="BR426" s="3264">
        <f t="shared" si="265"/>
        <v>0</v>
      </c>
      <c r="BS426" s="3264">
        <f t="shared" si="266"/>
        <v>0</v>
      </c>
      <c r="BT426" s="3317">
        <f t="shared" si="267"/>
        <v>0</v>
      </c>
    </row>
    <row r="427" spans="1:72">
      <c r="A427" s="3262"/>
      <c r="B427" s="3263"/>
      <c r="C427" s="3263"/>
      <c r="D427" s="3268"/>
      <c r="E427" s="3264">
        <f t="shared" si="239"/>
        <v>0</v>
      </c>
      <c r="F427" s="3265"/>
      <c r="G427" s="3266">
        <f t="shared" si="240"/>
        <v>0</v>
      </c>
      <c r="H427" s="3267">
        <f t="shared" si="241"/>
        <v>0</v>
      </c>
      <c r="I427" s="3275"/>
      <c r="J427" s="3275"/>
      <c r="K427" s="3275"/>
      <c r="L427" s="3275"/>
      <c r="M427" s="3275"/>
      <c r="N427" s="3275"/>
      <c r="O427" s="3275"/>
      <c r="P427" s="3275"/>
      <c r="Q427" s="3275"/>
      <c r="R427" s="3275"/>
      <c r="S427" s="3275"/>
      <c r="T427" s="3275"/>
      <c r="U427" s="3275"/>
      <c r="V427" s="3275"/>
      <c r="W427" s="3275"/>
      <c r="X427" s="3275"/>
      <c r="Y427" s="3275"/>
      <c r="Z427" s="3275"/>
      <c r="AA427" s="3275"/>
      <c r="AB427" s="3275"/>
      <c r="AC427" s="3264">
        <f t="shared" si="242"/>
        <v>0</v>
      </c>
      <c r="AD427" s="3285"/>
      <c r="AE427" s="3285"/>
      <c r="AF427" s="3285"/>
      <c r="AG427" s="3285"/>
      <c r="AH427" s="3285"/>
      <c r="AI427" s="3285"/>
      <c r="AJ427" s="3285"/>
      <c r="AK427" s="3285"/>
      <c r="AL427" s="3285"/>
      <c r="AM427" s="3285"/>
      <c r="AN427" s="3285"/>
      <c r="AO427" s="3285"/>
      <c r="AP427" s="3285"/>
      <c r="AQ427" s="3285"/>
      <c r="AR427" s="3285"/>
      <c r="AS427" s="3285"/>
      <c r="AT427" s="3295"/>
      <c r="AU427" s="3296"/>
      <c r="AV427" s="830">
        <f t="shared" si="243"/>
        <v>0</v>
      </c>
      <c r="AW427" s="830">
        <f t="shared" si="244"/>
        <v>0</v>
      </c>
      <c r="AX427" s="830">
        <f t="shared" si="245"/>
        <v>0</v>
      </c>
      <c r="AY427" s="3310">
        <f t="shared" si="246"/>
        <v>0</v>
      </c>
      <c r="AZ427" s="3264">
        <f t="shared" si="247"/>
        <v>0</v>
      </c>
      <c r="BA427" s="3264">
        <f t="shared" si="248"/>
        <v>0</v>
      </c>
      <c r="BB427" s="3264">
        <f t="shared" si="249"/>
        <v>0</v>
      </c>
      <c r="BC427" s="3264">
        <f t="shared" si="250"/>
        <v>0</v>
      </c>
      <c r="BD427" s="3264">
        <f t="shared" si="251"/>
        <v>0</v>
      </c>
      <c r="BE427" s="3264">
        <f t="shared" si="252"/>
        <v>0</v>
      </c>
      <c r="BF427" s="3264">
        <f t="shared" si="253"/>
        <v>0</v>
      </c>
      <c r="BG427" s="3264">
        <f t="shared" si="254"/>
        <v>0</v>
      </c>
      <c r="BH427" s="3264">
        <f t="shared" si="255"/>
        <v>0</v>
      </c>
      <c r="BI427" s="3264">
        <f t="shared" si="256"/>
        <v>0</v>
      </c>
      <c r="BJ427" s="3264">
        <f t="shared" si="257"/>
        <v>0</v>
      </c>
      <c r="BK427" s="3264">
        <f t="shared" si="258"/>
        <v>0</v>
      </c>
      <c r="BL427" s="3264">
        <f t="shared" si="259"/>
        <v>0</v>
      </c>
      <c r="BM427" s="3264">
        <f t="shared" si="260"/>
        <v>0</v>
      </c>
      <c r="BN427" s="3264">
        <f t="shared" si="261"/>
        <v>0</v>
      </c>
      <c r="BO427" s="3264">
        <f t="shared" si="262"/>
        <v>0</v>
      </c>
      <c r="BP427" s="3264">
        <f t="shared" si="263"/>
        <v>0</v>
      </c>
      <c r="BQ427" s="3264">
        <f t="shared" si="264"/>
        <v>0</v>
      </c>
      <c r="BR427" s="3264">
        <f t="shared" si="265"/>
        <v>0</v>
      </c>
      <c r="BS427" s="3264">
        <f t="shared" si="266"/>
        <v>0</v>
      </c>
      <c r="BT427" s="3317">
        <f t="shared" si="267"/>
        <v>0</v>
      </c>
    </row>
    <row r="428" spans="1:72">
      <c r="A428" s="3262"/>
      <c r="B428" s="3263"/>
      <c r="C428" s="3263"/>
      <c r="D428" s="3268"/>
      <c r="E428" s="3264">
        <f t="shared" si="239"/>
        <v>0</v>
      </c>
      <c r="F428" s="3265"/>
      <c r="G428" s="3266">
        <f t="shared" si="240"/>
        <v>0</v>
      </c>
      <c r="H428" s="3267">
        <f t="shared" si="241"/>
        <v>0</v>
      </c>
      <c r="I428" s="3275"/>
      <c r="J428" s="3275"/>
      <c r="K428" s="3275"/>
      <c r="L428" s="3275"/>
      <c r="M428" s="3275"/>
      <c r="N428" s="3275"/>
      <c r="O428" s="3275"/>
      <c r="P428" s="3275"/>
      <c r="Q428" s="3275"/>
      <c r="R428" s="3275"/>
      <c r="S428" s="3275"/>
      <c r="T428" s="3275"/>
      <c r="U428" s="3275"/>
      <c r="V428" s="3275"/>
      <c r="W428" s="3275"/>
      <c r="X428" s="3275"/>
      <c r="Y428" s="3275"/>
      <c r="Z428" s="3275"/>
      <c r="AA428" s="3275"/>
      <c r="AB428" s="3275"/>
      <c r="AC428" s="3264">
        <f t="shared" si="242"/>
        <v>0</v>
      </c>
      <c r="AD428" s="3285"/>
      <c r="AE428" s="3285"/>
      <c r="AF428" s="3285"/>
      <c r="AG428" s="3285"/>
      <c r="AH428" s="3285"/>
      <c r="AI428" s="3285"/>
      <c r="AJ428" s="3285"/>
      <c r="AK428" s="3285"/>
      <c r="AL428" s="3285"/>
      <c r="AM428" s="3285"/>
      <c r="AN428" s="3285"/>
      <c r="AO428" s="3285"/>
      <c r="AP428" s="3285"/>
      <c r="AQ428" s="3285"/>
      <c r="AR428" s="3285"/>
      <c r="AS428" s="3285"/>
      <c r="AT428" s="3295"/>
      <c r="AU428" s="3296"/>
      <c r="AV428" s="830">
        <f t="shared" si="243"/>
        <v>0</v>
      </c>
      <c r="AW428" s="830">
        <f t="shared" si="244"/>
        <v>0</v>
      </c>
      <c r="AX428" s="830">
        <f t="shared" si="245"/>
        <v>0</v>
      </c>
      <c r="AY428" s="3310">
        <f t="shared" si="246"/>
        <v>0</v>
      </c>
      <c r="AZ428" s="3264">
        <f t="shared" si="247"/>
        <v>0</v>
      </c>
      <c r="BA428" s="3264">
        <f t="shared" si="248"/>
        <v>0</v>
      </c>
      <c r="BB428" s="3264">
        <f t="shared" si="249"/>
        <v>0</v>
      </c>
      <c r="BC428" s="3264">
        <f t="shared" si="250"/>
        <v>0</v>
      </c>
      <c r="BD428" s="3264">
        <f t="shared" si="251"/>
        <v>0</v>
      </c>
      <c r="BE428" s="3264">
        <f t="shared" si="252"/>
        <v>0</v>
      </c>
      <c r="BF428" s="3264">
        <f t="shared" si="253"/>
        <v>0</v>
      </c>
      <c r="BG428" s="3264">
        <f t="shared" si="254"/>
        <v>0</v>
      </c>
      <c r="BH428" s="3264">
        <f t="shared" si="255"/>
        <v>0</v>
      </c>
      <c r="BI428" s="3264">
        <f t="shared" si="256"/>
        <v>0</v>
      </c>
      <c r="BJ428" s="3264">
        <f t="shared" si="257"/>
        <v>0</v>
      </c>
      <c r="BK428" s="3264">
        <f t="shared" si="258"/>
        <v>0</v>
      </c>
      <c r="BL428" s="3264">
        <f t="shared" si="259"/>
        <v>0</v>
      </c>
      <c r="BM428" s="3264">
        <f t="shared" si="260"/>
        <v>0</v>
      </c>
      <c r="BN428" s="3264">
        <f t="shared" si="261"/>
        <v>0</v>
      </c>
      <c r="BO428" s="3264">
        <f t="shared" si="262"/>
        <v>0</v>
      </c>
      <c r="BP428" s="3264">
        <f t="shared" si="263"/>
        <v>0</v>
      </c>
      <c r="BQ428" s="3264">
        <f t="shared" si="264"/>
        <v>0</v>
      </c>
      <c r="BR428" s="3264">
        <f t="shared" si="265"/>
        <v>0</v>
      </c>
      <c r="BS428" s="3264">
        <f t="shared" si="266"/>
        <v>0</v>
      </c>
      <c r="BT428" s="3317">
        <f t="shared" si="267"/>
        <v>0</v>
      </c>
    </row>
    <row r="429" spans="1:72">
      <c r="A429" s="3262"/>
      <c r="B429" s="3263"/>
      <c r="C429" s="3263"/>
      <c r="D429" s="3268"/>
      <c r="E429" s="3264">
        <f t="shared" si="239"/>
        <v>0</v>
      </c>
      <c r="F429" s="3265"/>
      <c r="G429" s="3266">
        <f t="shared" si="240"/>
        <v>0</v>
      </c>
      <c r="H429" s="3267">
        <f t="shared" si="241"/>
        <v>0</v>
      </c>
      <c r="I429" s="3275"/>
      <c r="J429" s="3275"/>
      <c r="K429" s="3275"/>
      <c r="L429" s="3275"/>
      <c r="M429" s="3275"/>
      <c r="N429" s="3275"/>
      <c r="O429" s="3275"/>
      <c r="P429" s="3275"/>
      <c r="Q429" s="3275"/>
      <c r="R429" s="3275"/>
      <c r="S429" s="3275"/>
      <c r="T429" s="3275"/>
      <c r="U429" s="3275"/>
      <c r="V429" s="3275"/>
      <c r="W429" s="3275"/>
      <c r="X429" s="3275"/>
      <c r="Y429" s="3275"/>
      <c r="Z429" s="3275"/>
      <c r="AA429" s="3275"/>
      <c r="AB429" s="3275"/>
      <c r="AC429" s="3264">
        <f t="shared" si="242"/>
        <v>0</v>
      </c>
      <c r="AD429" s="3285"/>
      <c r="AE429" s="3285"/>
      <c r="AF429" s="3285"/>
      <c r="AG429" s="3285"/>
      <c r="AH429" s="3285"/>
      <c r="AI429" s="3285"/>
      <c r="AJ429" s="3285"/>
      <c r="AK429" s="3285"/>
      <c r="AL429" s="3285"/>
      <c r="AM429" s="3285"/>
      <c r="AN429" s="3285"/>
      <c r="AO429" s="3285"/>
      <c r="AP429" s="3285"/>
      <c r="AQ429" s="3285"/>
      <c r="AR429" s="3285"/>
      <c r="AS429" s="3285"/>
      <c r="AT429" s="3295"/>
      <c r="AU429" s="3296"/>
      <c r="AV429" s="830">
        <f t="shared" si="243"/>
        <v>0</v>
      </c>
      <c r="AW429" s="830">
        <f t="shared" si="244"/>
        <v>0</v>
      </c>
      <c r="AX429" s="830">
        <f t="shared" si="245"/>
        <v>0</v>
      </c>
      <c r="AY429" s="3310">
        <f t="shared" si="246"/>
        <v>0</v>
      </c>
      <c r="AZ429" s="3264">
        <f t="shared" si="247"/>
        <v>0</v>
      </c>
      <c r="BA429" s="3264">
        <f t="shared" si="248"/>
        <v>0</v>
      </c>
      <c r="BB429" s="3264">
        <f t="shared" si="249"/>
        <v>0</v>
      </c>
      <c r="BC429" s="3264">
        <f t="shared" si="250"/>
        <v>0</v>
      </c>
      <c r="BD429" s="3264">
        <f t="shared" si="251"/>
        <v>0</v>
      </c>
      <c r="BE429" s="3264">
        <f t="shared" si="252"/>
        <v>0</v>
      </c>
      <c r="BF429" s="3264">
        <f t="shared" si="253"/>
        <v>0</v>
      </c>
      <c r="BG429" s="3264">
        <f t="shared" si="254"/>
        <v>0</v>
      </c>
      <c r="BH429" s="3264">
        <f t="shared" si="255"/>
        <v>0</v>
      </c>
      <c r="BI429" s="3264">
        <f t="shared" si="256"/>
        <v>0</v>
      </c>
      <c r="BJ429" s="3264">
        <f t="shared" si="257"/>
        <v>0</v>
      </c>
      <c r="BK429" s="3264">
        <f t="shared" si="258"/>
        <v>0</v>
      </c>
      <c r="BL429" s="3264">
        <f t="shared" si="259"/>
        <v>0</v>
      </c>
      <c r="BM429" s="3264">
        <f t="shared" si="260"/>
        <v>0</v>
      </c>
      <c r="BN429" s="3264">
        <f t="shared" si="261"/>
        <v>0</v>
      </c>
      <c r="BO429" s="3264">
        <f t="shared" si="262"/>
        <v>0</v>
      </c>
      <c r="BP429" s="3264">
        <f t="shared" si="263"/>
        <v>0</v>
      </c>
      <c r="BQ429" s="3264">
        <f t="shared" si="264"/>
        <v>0</v>
      </c>
      <c r="BR429" s="3264">
        <f t="shared" si="265"/>
        <v>0</v>
      </c>
      <c r="BS429" s="3264">
        <f t="shared" si="266"/>
        <v>0</v>
      </c>
      <c r="BT429" s="3317">
        <f t="shared" si="267"/>
        <v>0</v>
      </c>
    </row>
    <row r="430" spans="1:72">
      <c r="A430" s="3262"/>
      <c r="B430" s="3263"/>
      <c r="C430" s="3263"/>
      <c r="D430" s="3268"/>
      <c r="E430" s="3264">
        <f t="shared" si="239"/>
        <v>0</v>
      </c>
      <c r="F430" s="3265"/>
      <c r="G430" s="3266">
        <f t="shared" si="240"/>
        <v>0</v>
      </c>
      <c r="H430" s="3267">
        <f t="shared" si="241"/>
        <v>0</v>
      </c>
      <c r="I430" s="3275"/>
      <c r="J430" s="3275"/>
      <c r="K430" s="3275"/>
      <c r="L430" s="3275"/>
      <c r="M430" s="3275"/>
      <c r="N430" s="3275"/>
      <c r="O430" s="3275"/>
      <c r="P430" s="3275"/>
      <c r="Q430" s="3275"/>
      <c r="R430" s="3275"/>
      <c r="S430" s="3275"/>
      <c r="T430" s="3275"/>
      <c r="U430" s="3275"/>
      <c r="V430" s="3275"/>
      <c r="W430" s="3275"/>
      <c r="X430" s="3275"/>
      <c r="Y430" s="3275"/>
      <c r="Z430" s="3275"/>
      <c r="AA430" s="3275"/>
      <c r="AB430" s="3275"/>
      <c r="AC430" s="3264">
        <f t="shared" si="242"/>
        <v>0</v>
      </c>
      <c r="AD430" s="3285"/>
      <c r="AE430" s="3285"/>
      <c r="AF430" s="3285"/>
      <c r="AG430" s="3285"/>
      <c r="AH430" s="3285"/>
      <c r="AI430" s="3285"/>
      <c r="AJ430" s="3285"/>
      <c r="AK430" s="3285"/>
      <c r="AL430" s="3285"/>
      <c r="AM430" s="3285"/>
      <c r="AN430" s="3285"/>
      <c r="AO430" s="3285"/>
      <c r="AP430" s="3285"/>
      <c r="AQ430" s="3285"/>
      <c r="AR430" s="3285"/>
      <c r="AS430" s="3285"/>
      <c r="AT430" s="3295"/>
      <c r="AU430" s="3296"/>
      <c r="AV430" s="830">
        <f t="shared" si="243"/>
        <v>0</v>
      </c>
      <c r="AW430" s="830">
        <f t="shared" si="244"/>
        <v>0</v>
      </c>
      <c r="AX430" s="830">
        <f t="shared" si="245"/>
        <v>0</v>
      </c>
      <c r="AY430" s="3310">
        <f t="shared" si="246"/>
        <v>0</v>
      </c>
      <c r="AZ430" s="3264">
        <f t="shared" si="247"/>
        <v>0</v>
      </c>
      <c r="BA430" s="3264">
        <f t="shared" si="248"/>
        <v>0</v>
      </c>
      <c r="BB430" s="3264">
        <f t="shared" si="249"/>
        <v>0</v>
      </c>
      <c r="BC430" s="3264">
        <f t="shared" si="250"/>
        <v>0</v>
      </c>
      <c r="BD430" s="3264">
        <f t="shared" si="251"/>
        <v>0</v>
      </c>
      <c r="BE430" s="3264">
        <f t="shared" si="252"/>
        <v>0</v>
      </c>
      <c r="BF430" s="3264">
        <f t="shared" si="253"/>
        <v>0</v>
      </c>
      <c r="BG430" s="3264">
        <f t="shared" si="254"/>
        <v>0</v>
      </c>
      <c r="BH430" s="3264">
        <f t="shared" si="255"/>
        <v>0</v>
      </c>
      <c r="BI430" s="3264">
        <f t="shared" si="256"/>
        <v>0</v>
      </c>
      <c r="BJ430" s="3264">
        <f t="shared" si="257"/>
        <v>0</v>
      </c>
      <c r="BK430" s="3264">
        <f t="shared" si="258"/>
        <v>0</v>
      </c>
      <c r="BL430" s="3264">
        <f t="shared" si="259"/>
        <v>0</v>
      </c>
      <c r="BM430" s="3264">
        <f t="shared" si="260"/>
        <v>0</v>
      </c>
      <c r="BN430" s="3264">
        <f t="shared" si="261"/>
        <v>0</v>
      </c>
      <c r="BO430" s="3264">
        <f t="shared" si="262"/>
        <v>0</v>
      </c>
      <c r="BP430" s="3264">
        <f t="shared" si="263"/>
        <v>0</v>
      </c>
      <c r="BQ430" s="3264">
        <f t="shared" si="264"/>
        <v>0</v>
      </c>
      <c r="BR430" s="3264">
        <f t="shared" si="265"/>
        <v>0</v>
      </c>
      <c r="BS430" s="3264">
        <f t="shared" si="266"/>
        <v>0</v>
      </c>
      <c r="BT430" s="3317">
        <f t="shared" si="267"/>
        <v>0</v>
      </c>
    </row>
    <row r="431" spans="1:72">
      <c r="A431" s="3262"/>
      <c r="B431" s="3263"/>
      <c r="C431" s="3263"/>
      <c r="D431" s="3268"/>
      <c r="E431" s="3264">
        <f t="shared" si="239"/>
        <v>0</v>
      </c>
      <c r="F431" s="3265"/>
      <c r="G431" s="3266">
        <f t="shared" si="240"/>
        <v>0</v>
      </c>
      <c r="H431" s="3267">
        <f t="shared" si="241"/>
        <v>0</v>
      </c>
      <c r="I431" s="3275"/>
      <c r="J431" s="3275"/>
      <c r="K431" s="3275"/>
      <c r="L431" s="3275"/>
      <c r="M431" s="3275"/>
      <c r="N431" s="3275"/>
      <c r="O431" s="3275"/>
      <c r="P431" s="3275"/>
      <c r="Q431" s="3275"/>
      <c r="R431" s="3275"/>
      <c r="S431" s="3275"/>
      <c r="T431" s="3275"/>
      <c r="U431" s="3275"/>
      <c r="V431" s="3275"/>
      <c r="W431" s="3275"/>
      <c r="X431" s="3275"/>
      <c r="Y431" s="3275"/>
      <c r="Z431" s="3275"/>
      <c r="AA431" s="3275"/>
      <c r="AB431" s="3275"/>
      <c r="AC431" s="3264">
        <f t="shared" si="242"/>
        <v>0</v>
      </c>
      <c r="AD431" s="3285"/>
      <c r="AE431" s="3285"/>
      <c r="AF431" s="3285"/>
      <c r="AG431" s="3285"/>
      <c r="AH431" s="3285"/>
      <c r="AI431" s="3285"/>
      <c r="AJ431" s="3285"/>
      <c r="AK431" s="3285"/>
      <c r="AL431" s="3285"/>
      <c r="AM431" s="3285"/>
      <c r="AN431" s="3285"/>
      <c r="AO431" s="3285"/>
      <c r="AP431" s="3285"/>
      <c r="AQ431" s="3285"/>
      <c r="AR431" s="3285"/>
      <c r="AS431" s="3285"/>
      <c r="AT431" s="3295"/>
      <c r="AU431" s="3296"/>
      <c r="AV431" s="830">
        <f t="shared" si="243"/>
        <v>0</v>
      </c>
      <c r="AW431" s="830">
        <f t="shared" si="244"/>
        <v>0</v>
      </c>
      <c r="AX431" s="830">
        <f t="shared" si="245"/>
        <v>0</v>
      </c>
      <c r="AY431" s="3310">
        <f t="shared" si="246"/>
        <v>0</v>
      </c>
      <c r="AZ431" s="3264">
        <f t="shared" si="247"/>
        <v>0</v>
      </c>
      <c r="BA431" s="3264">
        <f t="shared" si="248"/>
        <v>0</v>
      </c>
      <c r="BB431" s="3264">
        <f t="shared" si="249"/>
        <v>0</v>
      </c>
      <c r="BC431" s="3264">
        <f t="shared" si="250"/>
        <v>0</v>
      </c>
      <c r="BD431" s="3264">
        <f t="shared" si="251"/>
        <v>0</v>
      </c>
      <c r="BE431" s="3264">
        <f t="shared" si="252"/>
        <v>0</v>
      </c>
      <c r="BF431" s="3264">
        <f t="shared" si="253"/>
        <v>0</v>
      </c>
      <c r="BG431" s="3264">
        <f t="shared" si="254"/>
        <v>0</v>
      </c>
      <c r="BH431" s="3264">
        <f t="shared" si="255"/>
        <v>0</v>
      </c>
      <c r="BI431" s="3264">
        <f t="shared" si="256"/>
        <v>0</v>
      </c>
      <c r="BJ431" s="3264">
        <f t="shared" si="257"/>
        <v>0</v>
      </c>
      <c r="BK431" s="3264">
        <f t="shared" si="258"/>
        <v>0</v>
      </c>
      <c r="BL431" s="3264">
        <f t="shared" si="259"/>
        <v>0</v>
      </c>
      <c r="BM431" s="3264">
        <f t="shared" si="260"/>
        <v>0</v>
      </c>
      <c r="BN431" s="3264">
        <f t="shared" si="261"/>
        <v>0</v>
      </c>
      <c r="BO431" s="3264">
        <f t="shared" si="262"/>
        <v>0</v>
      </c>
      <c r="BP431" s="3264">
        <f t="shared" si="263"/>
        <v>0</v>
      </c>
      <c r="BQ431" s="3264">
        <f t="shared" si="264"/>
        <v>0</v>
      </c>
      <c r="BR431" s="3264">
        <f t="shared" si="265"/>
        <v>0</v>
      </c>
      <c r="BS431" s="3264">
        <f t="shared" si="266"/>
        <v>0</v>
      </c>
      <c r="BT431" s="3317">
        <f t="shared" si="267"/>
        <v>0</v>
      </c>
    </row>
    <row r="432" spans="1:72">
      <c r="A432" s="3262"/>
      <c r="B432" s="3263"/>
      <c r="C432" s="3263"/>
      <c r="D432" s="3268"/>
      <c r="E432" s="3264">
        <f t="shared" si="239"/>
        <v>0</v>
      </c>
      <c r="F432" s="3265"/>
      <c r="G432" s="3266">
        <f t="shared" si="240"/>
        <v>0</v>
      </c>
      <c r="H432" s="3267">
        <f t="shared" si="241"/>
        <v>0</v>
      </c>
      <c r="I432" s="3275"/>
      <c r="J432" s="3275"/>
      <c r="K432" s="3275"/>
      <c r="L432" s="3275"/>
      <c r="M432" s="3275"/>
      <c r="N432" s="3275"/>
      <c r="O432" s="3275"/>
      <c r="P432" s="3275"/>
      <c r="Q432" s="3275"/>
      <c r="R432" s="3275"/>
      <c r="S432" s="3275"/>
      <c r="T432" s="3275"/>
      <c r="U432" s="3275"/>
      <c r="V432" s="3275"/>
      <c r="W432" s="3275"/>
      <c r="X432" s="3275"/>
      <c r="Y432" s="3275"/>
      <c r="Z432" s="3275"/>
      <c r="AA432" s="3275"/>
      <c r="AB432" s="3275"/>
      <c r="AC432" s="3264">
        <f t="shared" si="242"/>
        <v>0</v>
      </c>
      <c r="AD432" s="3285"/>
      <c r="AE432" s="3285"/>
      <c r="AF432" s="3285"/>
      <c r="AG432" s="3285"/>
      <c r="AH432" s="3285"/>
      <c r="AI432" s="3285"/>
      <c r="AJ432" s="3285"/>
      <c r="AK432" s="3285"/>
      <c r="AL432" s="3285"/>
      <c r="AM432" s="3285"/>
      <c r="AN432" s="3285"/>
      <c r="AO432" s="3285"/>
      <c r="AP432" s="3285"/>
      <c r="AQ432" s="3285"/>
      <c r="AR432" s="3285"/>
      <c r="AS432" s="3285"/>
      <c r="AT432" s="3295"/>
      <c r="AU432" s="3296"/>
      <c r="AV432" s="830">
        <f t="shared" si="243"/>
        <v>0</v>
      </c>
      <c r="AW432" s="830">
        <f t="shared" si="244"/>
        <v>0</v>
      </c>
      <c r="AX432" s="830">
        <f t="shared" si="245"/>
        <v>0</v>
      </c>
      <c r="AY432" s="3310">
        <f t="shared" si="246"/>
        <v>0</v>
      </c>
      <c r="AZ432" s="3264">
        <f t="shared" si="247"/>
        <v>0</v>
      </c>
      <c r="BA432" s="3264">
        <f t="shared" si="248"/>
        <v>0</v>
      </c>
      <c r="BB432" s="3264">
        <f t="shared" si="249"/>
        <v>0</v>
      </c>
      <c r="BC432" s="3264">
        <f t="shared" si="250"/>
        <v>0</v>
      </c>
      <c r="BD432" s="3264">
        <f t="shared" si="251"/>
        <v>0</v>
      </c>
      <c r="BE432" s="3264">
        <f t="shared" si="252"/>
        <v>0</v>
      </c>
      <c r="BF432" s="3264">
        <f t="shared" si="253"/>
        <v>0</v>
      </c>
      <c r="BG432" s="3264">
        <f t="shared" si="254"/>
        <v>0</v>
      </c>
      <c r="BH432" s="3264">
        <f t="shared" si="255"/>
        <v>0</v>
      </c>
      <c r="BI432" s="3264">
        <f t="shared" si="256"/>
        <v>0</v>
      </c>
      <c r="BJ432" s="3264">
        <f t="shared" si="257"/>
        <v>0</v>
      </c>
      <c r="BK432" s="3264">
        <f t="shared" si="258"/>
        <v>0</v>
      </c>
      <c r="BL432" s="3264">
        <f t="shared" si="259"/>
        <v>0</v>
      </c>
      <c r="BM432" s="3264">
        <f t="shared" si="260"/>
        <v>0</v>
      </c>
      <c r="BN432" s="3264">
        <f t="shared" si="261"/>
        <v>0</v>
      </c>
      <c r="BO432" s="3264">
        <f t="shared" si="262"/>
        <v>0</v>
      </c>
      <c r="BP432" s="3264">
        <f t="shared" si="263"/>
        <v>0</v>
      </c>
      <c r="BQ432" s="3264">
        <f t="shared" si="264"/>
        <v>0</v>
      </c>
      <c r="BR432" s="3264">
        <f t="shared" si="265"/>
        <v>0</v>
      </c>
      <c r="BS432" s="3264">
        <f t="shared" si="266"/>
        <v>0</v>
      </c>
      <c r="BT432" s="3317">
        <f t="shared" si="267"/>
        <v>0</v>
      </c>
    </row>
    <row r="433" spans="1:72">
      <c r="A433" s="3262"/>
      <c r="B433" s="3263"/>
      <c r="C433" s="3263"/>
      <c r="D433" s="3268"/>
      <c r="E433" s="3264">
        <f t="shared" si="239"/>
        <v>0</v>
      </c>
      <c r="F433" s="3265"/>
      <c r="G433" s="3266">
        <f t="shared" si="240"/>
        <v>0</v>
      </c>
      <c r="H433" s="3267">
        <f t="shared" si="241"/>
        <v>0</v>
      </c>
      <c r="I433" s="3275"/>
      <c r="J433" s="3275"/>
      <c r="K433" s="3275"/>
      <c r="L433" s="3275"/>
      <c r="M433" s="3275"/>
      <c r="N433" s="3275"/>
      <c r="O433" s="3275"/>
      <c r="P433" s="3275"/>
      <c r="Q433" s="3275"/>
      <c r="R433" s="3275"/>
      <c r="S433" s="3275"/>
      <c r="T433" s="3275"/>
      <c r="U433" s="3275"/>
      <c r="V433" s="3275"/>
      <c r="W433" s="3275"/>
      <c r="X433" s="3275"/>
      <c r="Y433" s="3275"/>
      <c r="Z433" s="3275"/>
      <c r="AA433" s="3275"/>
      <c r="AB433" s="3275"/>
      <c r="AC433" s="3264">
        <f t="shared" si="242"/>
        <v>0</v>
      </c>
      <c r="AD433" s="3285"/>
      <c r="AE433" s="3285"/>
      <c r="AF433" s="3285"/>
      <c r="AG433" s="3285"/>
      <c r="AH433" s="3285"/>
      <c r="AI433" s="3285"/>
      <c r="AJ433" s="3285"/>
      <c r="AK433" s="3285"/>
      <c r="AL433" s="3285"/>
      <c r="AM433" s="3285"/>
      <c r="AN433" s="3285"/>
      <c r="AO433" s="3285"/>
      <c r="AP433" s="3285"/>
      <c r="AQ433" s="3285"/>
      <c r="AR433" s="3285"/>
      <c r="AS433" s="3285"/>
      <c r="AT433" s="3295"/>
      <c r="AU433" s="3296"/>
      <c r="AV433" s="830">
        <f t="shared" si="243"/>
        <v>0</v>
      </c>
      <c r="AW433" s="830">
        <f t="shared" si="244"/>
        <v>0</v>
      </c>
      <c r="AX433" s="830">
        <f t="shared" si="245"/>
        <v>0</v>
      </c>
      <c r="AY433" s="3310">
        <f t="shared" si="246"/>
        <v>0</v>
      </c>
      <c r="AZ433" s="3264">
        <f t="shared" si="247"/>
        <v>0</v>
      </c>
      <c r="BA433" s="3264">
        <f t="shared" si="248"/>
        <v>0</v>
      </c>
      <c r="BB433" s="3264">
        <f t="shared" si="249"/>
        <v>0</v>
      </c>
      <c r="BC433" s="3264">
        <f t="shared" si="250"/>
        <v>0</v>
      </c>
      <c r="BD433" s="3264">
        <f t="shared" si="251"/>
        <v>0</v>
      </c>
      <c r="BE433" s="3264">
        <f t="shared" si="252"/>
        <v>0</v>
      </c>
      <c r="BF433" s="3264">
        <f t="shared" si="253"/>
        <v>0</v>
      </c>
      <c r="BG433" s="3264">
        <f t="shared" si="254"/>
        <v>0</v>
      </c>
      <c r="BH433" s="3264">
        <f t="shared" si="255"/>
        <v>0</v>
      </c>
      <c r="BI433" s="3264">
        <f t="shared" si="256"/>
        <v>0</v>
      </c>
      <c r="BJ433" s="3264">
        <f t="shared" si="257"/>
        <v>0</v>
      </c>
      <c r="BK433" s="3264">
        <f t="shared" si="258"/>
        <v>0</v>
      </c>
      <c r="BL433" s="3264">
        <f t="shared" si="259"/>
        <v>0</v>
      </c>
      <c r="BM433" s="3264">
        <f t="shared" si="260"/>
        <v>0</v>
      </c>
      <c r="BN433" s="3264">
        <f t="shared" si="261"/>
        <v>0</v>
      </c>
      <c r="BO433" s="3264">
        <f t="shared" si="262"/>
        <v>0</v>
      </c>
      <c r="BP433" s="3264">
        <f t="shared" si="263"/>
        <v>0</v>
      </c>
      <c r="BQ433" s="3264">
        <f t="shared" si="264"/>
        <v>0</v>
      </c>
      <c r="BR433" s="3264">
        <f t="shared" si="265"/>
        <v>0</v>
      </c>
      <c r="BS433" s="3264">
        <f t="shared" si="266"/>
        <v>0</v>
      </c>
      <c r="BT433" s="3317">
        <f t="shared" si="267"/>
        <v>0</v>
      </c>
    </row>
    <row r="434" spans="1:72">
      <c r="A434" s="3262"/>
      <c r="B434" s="3263"/>
      <c r="C434" s="3263"/>
      <c r="D434" s="3268"/>
      <c r="E434" s="3264">
        <f t="shared" si="239"/>
        <v>0</v>
      </c>
      <c r="F434" s="3265"/>
      <c r="G434" s="3266">
        <f t="shared" si="240"/>
        <v>0</v>
      </c>
      <c r="H434" s="3267">
        <f t="shared" si="241"/>
        <v>0</v>
      </c>
      <c r="I434" s="3275"/>
      <c r="J434" s="3275"/>
      <c r="K434" s="3275"/>
      <c r="L434" s="3275"/>
      <c r="M434" s="3275"/>
      <c r="N434" s="3275"/>
      <c r="O434" s="3275"/>
      <c r="P434" s="3275"/>
      <c r="Q434" s="3275"/>
      <c r="R434" s="3275"/>
      <c r="S434" s="3275"/>
      <c r="T434" s="3275"/>
      <c r="U434" s="3275"/>
      <c r="V434" s="3275"/>
      <c r="W434" s="3275"/>
      <c r="X434" s="3275"/>
      <c r="Y434" s="3275"/>
      <c r="Z434" s="3275"/>
      <c r="AA434" s="3275"/>
      <c r="AB434" s="3275"/>
      <c r="AC434" s="3264">
        <f t="shared" si="242"/>
        <v>0</v>
      </c>
      <c r="AD434" s="3285"/>
      <c r="AE434" s="3285"/>
      <c r="AF434" s="3285"/>
      <c r="AG434" s="3285"/>
      <c r="AH434" s="3285"/>
      <c r="AI434" s="3285"/>
      <c r="AJ434" s="3285"/>
      <c r="AK434" s="3285"/>
      <c r="AL434" s="3285"/>
      <c r="AM434" s="3285"/>
      <c r="AN434" s="3285"/>
      <c r="AO434" s="3285"/>
      <c r="AP434" s="3285"/>
      <c r="AQ434" s="3285"/>
      <c r="AR434" s="3285"/>
      <c r="AS434" s="3285"/>
      <c r="AT434" s="3295"/>
      <c r="AU434" s="3296"/>
      <c r="AV434" s="830">
        <f t="shared" si="243"/>
        <v>0</v>
      </c>
      <c r="AW434" s="830">
        <f t="shared" si="244"/>
        <v>0</v>
      </c>
      <c r="AX434" s="830">
        <f t="shared" si="245"/>
        <v>0</v>
      </c>
      <c r="AY434" s="3310">
        <f t="shared" si="246"/>
        <v>0</v>
      </c>
      <c r="AZ434" s="3264">
        <f t="shared" si="247"/>
        <v>0</v>
      </c>
      <c r="BA434" s="3264">
        <f t="shared" si="248"/>
        <v>0</v>
      </c>
      <c r="BB434" s="3264">
        <f t="shared" si="249"/>
        <v>0</v>
      </c>
      <c r="BC434" s="3264">
        <f t="shared" si="250"/>
        <v>0</v>
      </c>
      <c r="BD434" s="3264">
        <f t="shared" si="251"/>
        <v>0</v>
      </c>
      <c r="BE434" s="3264">
        <f t="shared" si="252"/>
        <v>0</v>
      </c>
      <c r="BF434" s="3264">
        <f t="shared" si="253"/>
        <v>0</v>
      </c>
      <c r="BG434" s="3264">
        <f t="shared" si="254"/>
        <v>0</v>
      </c>
      <c r="BH434" s="3264">
        <f t="shared" si="255"/>
        <v>0</v>
      </c>
      <c r="BI434" s="3264">
        <f t="shared" si="256"/>
        <v>0</v>
      </c>
      <c r="BJ434" s="3264">
        <f t="shared" si="257"/>
        <v>0</v>
      </c>
      <c r="BK434" s="3264">
        <f t="shared" si="258"/>
        <v>0</v>
      </c>
      <c r="BL434" s="3264">
        <f t="shared" si="259"/>
        <v>0</v>
      </c>
      <c r="BM434" s="3264">
        <f t="shared" si="260"/>
        <v>0</v>
      </c>
      <c r="BN434" s="3264">
        <f t="shared" si="261"/>
        <v>0</v>
      </c>
      <c r="BO434" s="3264">
        <f t="shared" si="262"/>
        <v>0</v>
      </c>
      <c r="BP434" s="3264">
        <f t="shared" si="263"/>
        <v>0</v>
      </c>
      <c r="BQ434" s="3264">
        <f t="shared" si="264"/>
        <v>0</v>
      </c>
      <c r="BR434" s="3264">
        <f t="shared" si="265"/>
        <v>0</v>
      </c>
      <c r="BS434" s="3264">
        <f t="shared" si="266"/>
        <v>0</v>
      </c>
      <c r="BT434" s="3317">
        <f t="shared" si="267"/>
        <v>0</v>
      </c>
    </row>
    <row r="435" spans="1:72">
      <c r="A435" s="3262"/>
      <c r="B435" s="3263"/>
      <c r="C435" s="3263"/>
      <c r="D435" s="3268"/>
      <c r="E435" s="3264">
        <f t="shared" si="239"/>
        <v>0</v>
      </c>
      <c r="F435" s="3265"/>
      <c r="G435" s="3266">
        <f t="shared" si="240"/>
        <v>0</v>
      </c>
      <c r="H435" s="3267">
        <f t="shared" si="241"/>
        <v>0</v>
      </c>
      <c r="I435" s="3275"/>
      <c r="J435" s="3275"/>
      <c r="K435" s="3275"/>
      <c r="L435" s="3275"/>
      <c r="M435" s="3275"/>
      <c r="N435" s="3275"/>
      <c r="O435" s="3275"/>
      <c r="P435" s="3275"/>
      <c r="Q435" s="3275"/>
      <c r="R435" s="3275"/>
      <c r="S435" s="3275"/>
      <c r="T435" s="3275"/>
      <c r="U435" s="3275"/>
      <c r="V435" s="3275"/>
      <c r="W435" s="3275"/>
      <c r="X435" s="3275"/>
      <c r="Y435" s="3275"/>
      <c r="Z435" s="3275"/>
      <c r="AA435" s="3275"/>
      <c r="AB435" s="3275"/>
      <c r="AC435" s="3264">
        <f t="shared" si="242"/>
        <v>0</v>
      </c>
      <c r="AD435" s="3285"/>
      <c r="AE435" s="3285"/>
      <c r="AF435" s="3285"/>
      <c r="AG435" s="3285"/>
      <c r="AH435" s="3285"/>
      <c r="AI435" s="3285"/>
      <c r="AJ435" s="3285"/>
      <c r="AK435" s="3285"/>
      <c r="AL435" s="3285"/>
      <c r="AM435" s="3285"/>
      <c r="AN435" s="3285"/>
      <c r="AO435" s="3285"/>
      <c r="AP435" s="3285"/>
      <c r="AQ435" s="3285"/>
      <c r="AR435" s="3285"/>
      <c r="AS435" s="3285"/>
      <c r="AT435" s="3295"/>
      <c r="AU435" s="3296"/>
      <c r="AV435" s="830">
        <f t="shared" si="243"/>
        <v>0</v>
      </c>
      <c r="AW435" s="830">
        <f t="shared" si="244"/>
        <v>0</v>
      </c>
      <c r="AX435" s="830">
        <f t="shared" si="245"/>
        <v>0</v>
      </c>
      <c r="AY435" s="3310">
        <f t="shared" si="246"/>
        <v>0</v>
      </c>
      <c r="AZ435" s="3264">
        <f t="shared" si="247"/>
        <v>0</v>
      </c>
      <c r="BA435" s="3264">
        <f t="shared" si="248"/>
        <v>0</v>
      </c>
      <c r="BB435" s="3264">
        <f t="shared" si="249"/>
        <v>0</v>
      </c>
      <c r="BC435" s="3264">
        <f t="shared" si="250"/>
        <v>0</v>
      </c>
      <c r="BD435" s="3264">
        <f t="shared" si="251"/>
        <v>0</v>
      </c>
      <c r="BE435" s="3264">
        <f t="shared" si="252"/>
        <v>0</v>
      </c>
      <c r="BF435" s="3264">
        <f t="shared" si="253"/>
        <v>0</v>
      </c>
      <c r="BG435" s="3264">
        <f t="shared" si="254"/>
        <v>0</v>
      </c>
      <c r="BH435" s="3264">
        <f t="shared" si="255"/>
        <v>0</v>
      </c>
      <c r="BI435" s="3264">
        <f t="shared" si="256"/>
        <v>0</v>
      </c>
      <c r="BJ435" s="3264">
        <f t="shared" si="257"/>
        <v>0</v>
      </c>
      <c r="BK435" s="3264">
        <f t="shared" si="258"/>
        <v>0</v>
      </c>
      <c r="BL435" s="3264">
        <f t="shared" si="259"/>
        <v>0</v>
      </c>
      <c r="BM435" s="3264">
        <f t="shared" si="260"/>
        <v>0</v>
      </c>
      <c r="BN435" s="3264">
        <f t="shared" si="261"/>
        <v>0</v>
      </c>
      <c r="BO435" s="3264">
        <f t="shared" si="262"/>
        <v>0</v>
      </c>
      <c r="BP435" s="3264">
        <f t="shared" si="263"/>
        <v>0</v>
      </c>
      <c r="BQ435" s="3264">
        <f t="shared" si="264"/>
        <v>0</v>
      </c>
      <c r="BR435" s="3264">
        <f t="shared" si="265"/>
        <v>0</v>
      </c>
      <c r="BS435" s="3264">
        <f t="shared" si="266"/>
        <v>0</v>
      </c>
      <c r="BT435" s="3317">
        <f t="shared" si="267"/>
        <v>0</v>
      </c>
    </row>
    <row r="436" spans="1:72">
      <c r="A436" s="3262"/>
      <c r="B436" s="3263"/>
      <c r="C436" s="3263"/>
      <c r="D436" s="3268"/>
      <c r="E436" s="3264">
        <f t="shared" si="239"/>
        <v>0</v>
      </c>
      <c r="F436" s="3265"/>
      <c r="G436" s="3266">
        <f t="shared" si="240"/>
        <v>0</v>
      </c>
      <c r="H436" s="3267">
        <f t="shared" si="241"/>
        <v>0</v>
      </c>
      <c r="I436" s="3275"/>
      <c r="J436" s="3275"/>
      <c r="K436" s="3275"/>
      <c r="L436" s="3275"/>
      <c r="M436" s="3275"/>
      <c r="N436" s="3275"/>
      <c r="O436" s="3275"/>
      <c r="P436" s="3275"/>
      <c r="Q436" s="3275"/>
      <c r="R436" s="3275"/>
      <c r="S436" s="3275"/>
      <c r="T436" s="3275"/>
      <c r="U436" s="3275"/>
      <c r="V436" s="3275"/>
      <c r="W436" s="3275"/>
      <c r="X436" s="3275"/>
      <c r="Y436" s="3275"/>
      <c r="Z436" s="3275"/>
      <c r="AA436" s="3275"/>
      <c r="AB436" s="3275"/>
      <c r="AC436" s="3264">
        <f t="shared" si="242"/>
        <v>0</v>
      </c>
      <c r="AD436" s="3285"/>
      <c r="AE436" s="3285"/>
      <c r="AF436" s="3285"/>
      <c r="AG436" s="3285"/>
      <c r="AH436" s="3285"/>
      <c r="AI436" s="3285"/>
      <c r="AJ436" s="3285"/>
      <c r="AK436" s="3285"/>
      <c r="AL436" s="3285"/>
      <c r="AM436" s="3285"/>
      <c r="AN436" s="3285"/>
      <c r="AO436" s="3285"/>
      <c r="AP436" s="3285"/>
      <c r="AQ436" s="3285"/>
      <c r="AR436" s="3285"/>
      <c r="AS436" s="3285"/>
      <c r="AT436" s="3295"/>
      <c r="AU436" s="3296"/>
      <c r="AV436" s="830">
        <f t="shared" si="243"/>
        <v>0</v>
      </c>
      <c r="AW436" s="830">
        <f t="shared" si="244"/>
        <v>0</v>
      </c>
      <c r="AX436" s="830">
        <f t="shared" si="245"/>
        <v>0</v>
      </c>
      <c r="AY436" s="3310">
        <f t="shared" si="246"/>
        <v>0</v>
      </c>
      <c r="AZ436" s="3264">
        <f t="shared" si="247"/>
        <v>0</v>
      </c>
      <c r="BA436" s="3264">
        <f t="shared" si="248"/>
        <v>0</v>
      </c>
      <c r="BB436" s="3264">
        <f t="shared" si="249"/>
        <v>0</v>
      </c>
      <c r="BC436" s="3264">
        <f t="shared" si="250"/>
        <v>0</v>
      </c>
      <c r="BD436" s="3264">
        <f t="shared" si="251"/>
        <v>0</v>
      </c>
      <c r="BE436" s="3264">
        <f t="shared" si="252"/>
        <v>0</v>
      </c>
      <c r="BF436" s="3264">
        <f t="shared" si="253"/>
        <v>0</v>
      </c>
      <c r="BG436" s="3264">
        <f t="shared" si="254"/>
        <v>0</v>
      </c>
      <c r="BH436" s="3264">
        <f t="shared" si="255"/>
        <v>0</v>
      </c>
      <c r="BI436" s="3264">
        <f t="shared" si="256"/>
        <v>0</v>
      </c>
      <c r="BJ436" s="3264">
        <f t="shared" si="257"/>
        <v>0</v>
      </c>
      <c r="BK436" s="3264">
        <f t="shared" si="258"/>
        <v>0</v>
      </c>
      <c r="BL436" s="3264">
        <f t="shared" si="259"/>
        <v>0</v>
      </c>
      <c r="BM436" s="3264">
        <f t="shared" si="260"/>
        <v>0</v>
      </c>
      <c r="BN436" s="3264">
        <f t="shared" si="261"/>
        <v>0</v>
      </c>
      <c r="BO436" s="3264">
        <f t="shared" si="262"/>
        <v>0</v>
      </c>
      <c r="BP436" s="3264">
        <f t="shared" si="263"/>
        <v>0</v>
      </c>
      <c r="BQ436" s="3264">
        <f t="shared" si="264"/>
        <v>0</v>
      </c>
      <c r="BR436" s="3264">
        <f t="shared" si="265"/>
        <v>0</v>
      </c>
      <c r="BS436" s="3264">
        <f t="shared" si="266"/>
        <v>0</v>
      </c>
      <c r="BT436" s="3317">
        <f t="shared" si="267"/>
        <v>0</v>
      </c>
    </row>
    <row r="437" spans="1:72">
      <c r="A437" s="3262"/>
      <c r="B437" s="3263"/>
      <c r="C437" s="3263"/>
      <c r="D437" s="3268"/>
      <c r="E437" s="3264">
        <f t="shared" si="239"/>
        <v>0</v>
      </c>
      <c r="F437" s="3265"/>
      <c r="G437" s="3266">
        <f t="shared" si="240"/>
        <v>0</v>
      </c>
      <c r="H437" s="3267">
        <f t="shared" si="241"/>
        <v>0</v>
      </c>
      <c r="I437" s="3275"/>
      <c r="J437" s="3275"/>
      <c r="K437" s="3275"/>
      <c r="L437" s="3275"/>
      <c r="M437" s="3275"/>
      <c r="N437" s="3275"/>
      <c r="O437" s="3275"/>
      <c r="P437" s="3275"/>
      <c r="Q437" s="3275"/>
      <c r="R437" s="3275"/>
      <c r="S437" s="3275"/>
      <c r="T437" s="3275"/>
      <c r="U437" s="3275"/>
      <c r="V437" s="3275"/>
      <c r="W437" s="3275"/>
      <c r="X437" s="3275"/>
      <c r="Y437" s="3275"/>
      <c r="Z437" s="3275"/>
      <c r="AA437" s="3275"/>
      <c r="AB437" s="3275"/>
      <c r="AC437" s="3264">
        <f t="shared" si="242"/>
        <v>0</v>
      </c>
      <c r="AD437" s="3285"/>
      <c r="AE437" s="3285"/>
      <c r="AF437" s="3285"/>
      <c r="AG437" s="3285"/>
      <c r="AH437" s="3285"/>
      <c r="AI437" s="3285"/>
      <c r="AJ437" s="3285"/>
      <c r="AK437" s="3285"/>
      <c r="AL437" s="3285"/>
      <c r="AM437" s="3285"/>
      <c r="AN437" s="3285"/>
      <c r="AO437" s="3285"/>
      <c r="AP437" s="3285"/>
      <c r="AQ437" s="3285"/>
      <c r="AR437" s="3285"/>
      <c r="AS437" s="3285"/>
      <c r="AT437" s="3295"/>
      <c r="AU437" s="3296"/>
      <c r="AV437" s="830">
        <f t="shared" si="243"/>
        <v>0</v>
      </c>
      <c r="AW437" s="830">
        <f t="shared" si="244"/>
        <v>0</v>
      </c>
      <c r="AX437" s="830">
        <f t="shared" si="245"/>
        <v>0</v>
      </c>
      <c r="AY437" s="3310">
        <f t="shared" si="246"/>
        <v>0</v>
      </c>
      <c r="AZ437" s="3264">
        <f t="shared" si="247"/>
        <v>0</v>
      </c>
      <c r="BA437" s="3264">
        <f t="shared" si="248"/>
        <v>0</v>
      </c>
      <c r="BB437" s="3264">
        <f t="shared" si="249"/>
        <v>0</v>
      </c>
      <c r="BC437" s="3264">
        <f t="shared" si="250"/>
        <v>0</v>
      </c>
      <c r="BD437" s="3264">
        <f t="shared" si="251"/>
        <v>0</v>
      </c>
      <c r="BE437" s="3264">
        <f t="shared" si="252"/>
        <v>0</v>
      </c>
      <c r="BF437" s="3264">
        <f t="shared" si="253"/>
        <v>0</v>
      </c>
      <c r="BG437" s="3264">
        <f t="shared" si="254"/>
        <v>0</v>
      </c>
      <c r="BH437" s="3264">
        <f t="shared" si="255"/>
        <v>0</v>
      </c>
      <c r="BI437" s="3264">
        <f t="shared" si="256"/>
        <v>0</v>
      </c>
      <c r="BJ437" s="3264">
        <f t="shared" si="257"/>
        <v>0</v>
      </c>
      <c r="BK437" s="3264">
        <f t="shared" si="258"/>
        <v>0</v>
      </c>
      <c r="BL437" s="3264">
        <f t="shared" si="259"/>
        <v>0</v>
      </c>
      <c r="BM437" s="3264">
        <f t="shared" si="260"/>
        <v>0</v>
      </c>
      <c r="BN437" s="3264">
        <f t="shared" si="261"/>
        <v>0</v>
      </c>
      <c r="BO437" s="3264">
        <f t="shared" si="262"/>
        <v>0</v>
      </c>
      <c r="BP437" s="3264">
        <f t="shared" si="263"/>
        <v>0</v>
      </c>
      <c r="BQ437" s="3264">
        <f t="shared" si="264"/>
        <v>0</v>
      </c>
      <c r="BR437" s="3264">
        <f t="shared" si="265"/>
        <v>0</v>
      </c>
      <c r="BS437" s="3264">
        <f t="shared" si="266"/>
        <v>0</v>
      </c>
      <c r="BT437" s="3317">
        <f t="shared" si="267"/>
        <v>0</v>
      </c>
    </row>
    <row r="438" spans="1:72">
      <c r="A438" s="3262"/>
      <c r="B438" s="3263"/>
      <c r="C438" s="3263"/>
      <c r="D438" s="3268"/>
      <c r="E438" s="3264">
        <f t="shared" si="239"/>
        <v>0</v>
      </c>
      <c r="F438" s="3265"/>
      <c r="G438" s="3266">
        <f t="shared" si="240"/>
        <v>0</v>
      </c>
      <c r="H438" s="3267">
        <f t="shared" si="241"/>
        <v>0</v>
      </c>
      <c r="I438" s="3275"/>
      <c r="J438" s="3275"/>
      <c r="K438" s="3275"/>
      <c r="L438" s="3275"/>
      <c r="M438" s="3275"/>
      <c r="N438" s="3275"/>
      <c r="O438" s="3275"/>
      <c r="P438" s="3275"/>
      <c r="Q438" s="3275"/>
      <c r="R438" s="3275"/>
      <c r="S438" s="3275"/>
      <c r="T438" s="3275"/>
      <c r="U438" s="3275"/>
      <c r="V438" s="3275"/>
      <c r="W438" s="3275"/>
      <c r="X438" s="3275"/>
      <c r="Y438" s="3275"/>
      <c r="Z438" s="3275"/>
      <c r="AA438" s="3275"/>
      <c r="AB438" s="3275"/>
      <c r="AC438" s="3264">
        <f t="shared" si="242"/>
        <v>0</v>
      </c>
      <c r="AD438" s="3285"/>
      <c r="AE438" s="3285"/>
      <c r="AF438" s="3285"/>
      <c r="AG438" s="3285"/>
      <c r="AH438" s="3285"/>
      <c r="AI438" s="3285"/>
      <c r="AJ438" s="3285"/>
      <c r="AK438" s="3285"/>
      <c r="AL438" s="3285"/>
      <c r="AM438" s="3285"/>
      <c r="AN438" s="3285"/>
      <c r="AO438" s="3285"/>
      <c r="AP438" s="3285"/>
      <c r="AQ438" s="3285"/>
      <c r="AR438" s="3285"/>
      <c r="AS438" s="3285"/>
      <c r="AT438" s="3295"/>
      <c r="AU438" s="3296"/>
      <c r="AV438" s="830">
        <f t="shared" si="243"/>
        <v>0</v>
      </c>
      <c r="AW438" s="830">
        <f t="shared" si="244"/>
        <v>0</v>
      </c>
      <c r="AX438" s="830">
        <f t="shared" si="245"/>
        <v>0</v>
      </c>
      <c r="AY438" s="3310">
        <f t="shared" si="246"/>
        <v>0</v>
      </c>
      <c r="AZ438" s="3264">
        <f t="shared" si="247"/>
        <v>0</v>
      </c>
      <c r="BA438" s="3264">
        <f t="shared" si="248"/>
        <v>0</v>
      </c>
      <c r="BB438" s="3264">
        <f t="shared" si="249"/>
        <v>0</v>
      </c>
      <c r="BC438" s="3264">
        <f t="shared" si="250"/>
        <v>0</v>
      </c>
      <c r="BD438" s="3264">
        <f t="shared" si="251"/>
        <v>0</v>
      </c>
      <c r="BE438" s="3264">
        <f t="shared" si="252"/>
        <v>0</v>
      </c>
      <c r="BF438" s="3264">
        <f t="shared" si="253"/>
        <v>0</v>
      </c>
      <c r="BG438" s="3264">
        <f t="shared" si="254"/>
        <v>0</v>
      </c>
      <c r="BH438" s="3264">
        <f t="shared" si="255"/>
        <v>0</v>
      </c>
      <c r="BI438" s="3264">
        <f t="shared" si="256"/>
        <v>0</v>
      </c>
      <c r="BJ438" s="3264">
        <f t="shared" si="257"/>
        <v>0</v>
      </c>
      <c r="BK438" s="3264">
        <f t="shared" si="258"/>
        <v>0</v>
      </c>
      <c r="BL438" s="3264">
        <f t="shared" si="259"/>
        <v>0</v>
      </c>
      <c r="BM438" s="3264">
        <f t="shared" si="260"/>
        <v>0</v>
      </c>
      <c r="BN438" s="3264">
        <f t="shared" si="261"/>
        <v>0</v>
      </c>
      <c r="BO438" s="3264">
        <f t="shared" si="262"/>
        <v>0</v>
      </c>
      <c r="BP438" s="3264">
        <f t="shared" si="263"/>
        <v>0</v>
      </c>
      <c r="BQ438" s="3264">
        <f t="shared" si="264"/>
        <v>0</v>
      </c>
      <c r="BR438" s="3264">
        <f t="shared" si="265"/>
        <v>0</v>
      </c>
      <c r="BS438" s="3264">
        <f t="shared" si="266"/>
        <v>0</v>
      </c>
      <c r="BT438" s="3317">
        <f t="shared" si="267"/>
        <v>0</v>
      </c>
    </row>
    <row r="439" spans="1:72">
      <c r="A439" s="3262"/>
      <c r="B439" s="3263"/>
      <c r="C439" s="3263"/>
      <c r="D439" s="3268"/>
      <c r="E439" s="3264">
        <f t="shared" si="239"/>
        <v>0</v>
      </c>
      <c r="F439" s="3265"/>
      <c r="G439" s="3266">
        <f t="shared" si="240"/>
        <v>0</v>
      </c>
      <c r="H439" s="3267">
        <f t="shared" si="241"/>
        <v>0</v>
      </c>
      <c r="I439" s="3275"/>
      <c r="J439" s="3275"/>
      <c r="K439" s="3275"/>
      <c r="L439" s="3275"/>
      <c r="M439" s="3275"/>
      <c r="N439" s="3275"/>
      <c r="O439" s="3275"/>
      <c r="P439" s="3275"/>
      <c r="Q439" s="3275"/>
      <c r="R439" s="3275"/>
      <c r="S439" s="3275"/>
      <c r="T439" s="3275"/>
      <c r="U439" s="3275"/>
      <c r="V439" s="3275"/>
      <c r="W439" s="3275"/>
      <c r="X439" s="3275"/>
      <c r="Y439" s="3275"/>
      <c r="Z439" s="3275"/>
      <c r="AA439" s="3275"/>
      <c r="AB439" s="3275"/>
      <c r="AC439" s="3264">
        <f t="shared" si="242"/>
        <v>0</v>
      </c>
      <c r="AD439" s="3285"/>
      <c r="AE439" s="3285"/>
      <c r="AF439" s="3285"/>
      <c r="AG439" s="3285"/>
      <c r="AH439" s="3285"/>
      <c r="AI439" s="3285"/>
      <c r="AJ439" s="3285"/>
      <c r="AK439" s="3285"/>
      <c r="AL439" s="3285"/>
      <c r="AM439" s="3285"/>
      <c r="AN439" s="3285"/>
      <c r="AO439" s="3285"/>
      <c r="AP439" s="3285"/>
      <c r="AQ439" s="3285"/>
      <c r="AR439" s="3285"/>
      <c r="AS439" s="3285"/>
      <c r="AT439" s="3295"/>
      <c r="AU439" s="3296"/>
      <c r="AV439" s="830">
        <f t="shared" si="243"/>
        <v>0</v>
      </c>
      <c r="AW439" s="830">
        <f t="shared" si="244"/>
        <v>0</v>
      </c>
      <c r="AX439" s="830">
        <f t="shared" si="245"/>
        <v>0</v>
      </c>
      <c r="AY439" s="3310">
        <f t="shared" si="246"/>
        <v>0</v>
      </c>
      <c r="AZ439" s="3264">
        <f t="shared" si="247"/>
        <v>0</v>
      </c>
      <c r="BA439" s="3264">
        <f t="shared" si="248"/>
        <v>0</v>
      </c>
      <c r="BB439" s="3264">
        <f t="shared" si="249"/>
        <v>0</v>
      </c>
      <c r="BC439" s="3264">
        <f t="shared" si="250"/>
        <v>0</v>
      </c>
      <c r="BD439" s="3264">
        <f t="shared" si="251"/>
        <v>0</v>
      </c>
      <c r="BE439" s="3264">
        <f t="shared" si="252"/>
        <v>0</v>
      </c>
      <c r="BF439" s="3264">
        <f t="shared" si="253"/>
        <v>0</v>
      </c>
      <c r="BG439" s="3264">
        <f t="shared" si="254"/>
        <v>0</v>
      </c>
      <c r="BH439" s="3264">
        <f t="shared" si="255"/>
        <v>0</v>
      </c>
      <c r="BI439" s="3264">
        <f t="shared" si="256"/>
        <v>0</v>
      </c>
      <c r="BJ439" s="3264">
        <f t="shared" si="257"/>
        <v>0</v>
      </c>
      <c r="BK439" s="3264">
        <f t="shared" si="258"/>
        <v>0</v>
      </c>
      <c r="BL439" s="3264">
        <f t="shared" si="259"/>
        <v>0</v>
      </c>
      <c r="BM439" s="3264">
        <f t="shared" si="260"/>
        <v>0</v>
      </c>
      <c r="BN439" s="3264">
        <f t="shared" si="261"/>
        <v>0</v>
      </c>
      <c r="BO439" s="3264">
        <f t="shared" si="262"/>
        <v>0</v>
      </c>
      <c r="BP439" s="3264">
        <f t="shared" si="263"/>
        <v>0</v>
      </c>
      <c r="BQ439" s="3264">
        <f t="shared" si="264"/>
        <v>0</v>
      </c>
      <c r="BR439" s="3264">
        <f t="shared" si="265"/>
        <v>0</v>
      </c>
      <c r="BS439" s="3264">
        <f t="shared" si="266"/>
        <v>0</v>
      </c>
      <c r="BT439" s="3317">
        <f t="shared" si="267"/>
        <v>0</v>
      </c>
    </row>
    <row r="440" spans="1:72">
      <c r="A440" s="3262"/>
      <c r="B440" s="3263"/>
      <c r="C440" s="3263"/>
      <c r="D440" s="3268"/>
      <c r="E440" s="3264">
        <f t="shared" si="239"/>
        <v>0</v>
      </c>
      <c r="F440" s="3265"/>
      <c r="G440" s="3266">
        <f t="shared" si="240"/>
        <v>0</v>
      </c>
      <c r="H440" s="3267">
        <f t="shared" si="241"/>
        <v>0</v>
      </c>
      <c r="I440" s="3275"/>
      <c r="J440" s="3275"/>
      <c r="K440" s="3275"/>
      <c r="L440" s="3275"/>
      <c r="M440" s="3275"/>
      <c r="N440" s="3275"/>
      <c r="O440" s="3275"/>
      <c r="P440" s="3275"/>
      <c r="Q440" s="3275"/>
      <c r="R440" s="3275"/>
      <c r="S440" s="3275"/>
      <c r="T440" s="3275"/>
      <c r="U440" s="3275"/>
      <c r="V440" s="3275"/>
      <c r="W440" s="3275"/>
      <c r="X440" s="3275"/>
      <c r="Y440" s="3275"/>
      <c r="Z440" s="3275"/>
      <c r="AA440" s="3275"/>
      <c r="AB440" s="3275"/>
      <c r="AC440" s="3264">
        <f t="shared" si="242"/>
        <v>0</v>
      </c>
      <c r="AD440" s="3285"/>
      <c r="AE440" s="3285"/>
      <c r="AF440" s="3285"/>
      <c r="AG440" s="3285"/>
      <c r="AH440" s="3285"/>
      <c r="AI440" s="3285"/>
      <c r="AJ440" s="3285"/>
      <c r="AK440" s="3285"/>
      <c r="AL440" s="3285"/>
      <c r="AM440" s="3285"/>
      <c r="AN440" s="3285"/>
      <c r="AO440" s="3285"/>
      <c r="AP440" s="3285"/>
      <c r="AQ440" s="3285"/>
      <c r="AR440" s="3285"/>
      <c r="AS440" s="3285"/>
      <c r="AT440" s="3295"/>
      <c r="AU440" s="3296"/>
      <c r="AV440" s="830">
        <f t="shared" si="243"/>
        <v>0</v>
      </c>
      <c r="AW440" s="830">
        <f t="shared" si="244"/>
        <v>0</v>
      </c>
      <c r="AX440" s="830">
        <f t="shared" si="245"/>
        <v>0</v>
      </c>
      <c r="AY440" s="3310">
        <f t="shared" si="246"/>
        <v>0</v>
      </c>
      <c r="AZ440" s="3264">
        <f t="shared" si="247"/>
        <v>0</v>
      </c>
      <c r="BA440" s="3264">
        <f t="shared" si="248"/>
        <v>0</v>
      </c>
      <c r="BB440" s="3264">
        <f t="shared" si="249"/>
        <v>0</v>
      </c>
      <c r="BC440" s="3264">
        <f t="shared" si="250"/>
        <v>0</v>
      </c>
      <c r="BD440" s="3264">
        <f t="shared" si="251"/>
        <v>0</v>
      </c>
      <c r="BE440" s="3264">
        <f t="shared" si="252"/>
        <v>0</v>
      </c>
      <c r="BF440" s="3264">
        <f t="shared" si="253"/>
        <v>0</v>
      </c>
      <c r="BG440" s="3264">
        <f t="shared" si="254"/>
        <v>0</v>
      </c>
      <c r="BH440" s="3264">
        <f t="shared" si="255"/>
        <v>0</v>
      </c>
      <c r="BI440" s="3264">
        <f t="shared" si="256"/>
        <v>0</v>
      </c>
      <c r="BJ440" s="3264">
        <f t="shared" si="257"/>
        <v>0</v>
      </c>
      <c r="BK440" s="3264">
        <f t="shared" si="258"/>
        <v>0</v>
      </c>
      <c r="BL440" s="3264">
        <f t="shared" si="259"/>
        <v>0</v>
      </c>
      <c r="BM440" s="3264">
        <f t="shared" si="260"/>
        <v>0</v>
      </c>
      <c r="BN440" s="3264">
        <f t="shared" si="261"/>
        <v>0</v>
      </c>
      <c r="BO440" s="3264">
        <f t="shared" si="262"/>
        <v>0</v>
      </c>
      <c r="BP440" s="3264">
        <f t="shared" si="263"/>
        <v>0</v>
      </c>
      <c r="BQ440" s="3264">
        <f t="shared" si="264"/>
        <v>0</v>
      </c>
      <c r="BR440" s="3264">
        <f t="shared" si="265"/>
        <v>0</v>
      </c>
      <c r="BS440" s="3264">
        <f t="shared" si="266"/>
        <v>0</v>
      </c>
      <c r="BT440" s="3317">
        <f t="shared" si="267"/>
        <v>0</v>
      </c>
    </row>
    <row r="441" spans="1:72">
      <c r="A441" s="3262"/>
      <c r="B441" s="3263"/>
      <c r="C441" s="3263"/>
      <c r="D441" s="3268"/>
      <c r="E441" s="3264">
        <f t="shared" si="239"/>
        <v>0</v>
      </c>
      <c r="F441" s="3265"/>
      <c r="G441" s="3266">
        <f t="shared" si="240"/>
        <v>0</v>
      </c>
      <c r="H441" s="3267">
        <f t="shared" si="241"/>
        <v>0</v>
      </c>
      <c r="I441" s="3275"/>
      <c r="J441" s="3275"/>
      <c r="K441" s="3275"/>
      <c r="L441" s="3275"/>
      <c r="M441" s="3275"/>
      <c r="N441" s="3275"/>
      <c r="O441" s="3275"/>
      <c r="P441" s="3275"/>
      <c r="Q441" s="3275"/>
      <c r="R441" s="3275"/>
      <c r="S441" s="3275"/>
      <c r="T441" s="3275"/>
      <c r="U441" s="3275"/>
      <c r="V441" s="3275"/>
      <c r="W441" s="3275"/>
      <c r="X441" s="3275"/>
      <c r="Y441" s="3275"/>
      <c r="Z441" s="3275"/>
      <c r="AA441" s="3275"/>
      <c r="AB441" s="3275"/>
      <c r="AC441" s="3264">
        <f t="shared" si="242"/>
        <v>0</v>
      </c>
      <c r="AD441" s="3285"/>
      <c r="AE441" s="3285"/>
      <c r="AF441" s="3285"/>
      <c r="AG441" s="3285"/>
      <c r="AH441" s="3285"/>
      <c r="AI441" s="3285"/>
      <c r="AJ441" s="3285"/>
      <c r="AK441" s="3285"/>
      <c r="AL441" s="3285"/>
      <c r="AM441" s="3285"/>
      <c r="AN441" s="3285"/>
      <c r="AO441" s="3285"/>
      <c r="AP441" s="3285"/>
      <c r="AQ441" s="3285"/>
      <c r="AR441" s="3285"/>
      <c r="AS441" s="3285"/>
      <c r="AT441" s="3295"/>
      <c r="AU441" s="3296"/>
      <c r="AV441" s="830">
        <f t="shared" si="243"/>
        <v>0</v>
      </c>
      <c r="AW441" s="830">
        <f t="shared" si="244"/>
        <v>0</v>
      </c>
      <c r="AX441" s="830">
        <f t="shared" si="245"/>
        <v>0</v>
      </c>
      <c r="AY441" s="3310">
        <f t="shared" si="246"/>
        <v>0</v>
      </c>
      <c r="AZ441" s="3264">
        <f t="shared" si="247"/>
        <v>0</v>
      </c>
      <c r="BA441" s="3264">
        <f t="shared" si="248"/>
        <v>0</v>
      </c>
      <c r="BB441" s="3264">
        <f t="shared" si="249"/>
        <v>0</v>
      </c>
      <c r="BC441" s="3264">
        <f t="shared" si="250"/>
        <v>0</v>
      </c>
      <c r="BD441" s="3264">
        <f t="shared" si="251"/>
        <v>0</v>
      </c>
      <c r="BE441" s="3264">
        <f t="shared" si="252"/>
        <v>0</v>
      </c>
      <c r="BF441" s="3264">
        <f t="shared" si="253"/>
        <v>0</v>
      </c>
      <c r="BG441" s="3264">
        <f t="shared" si="254"/>
        <v>0</v>
      </c>
      <c r="BH441" s="3264">
        <f t="shared" si="255"/>
        <v>0</v>
      </c>
      <c r="BI441" s="3264">
        <f t="shared" si="256"/>
        <v>0</v>
      </c>
      <c r="BJ441" s="3264">
        <f t="shared" si="257"/>
        <v>0</v>
      </c>
      <c r="BK441" s="3264">
        <f t="shared" si="258"/>
        <v>0</v>
      </c>
      <c r="BL441" s="3264">
        <f t="shared" si="259"/>
        <v>0</v>
      </c>
      <c r="BM441" s="3264">
        <f t="shared" si="260"/>
        <v>0</v>
      </c>
      <c r="BN441" s="3264">
        <f t="shared" si="261"/>
        <v>0</v>
      </c>
      <c r="BO441" s="3264">
        <f t="shared" si="262"/>
        <v>0</v>
      </c>
      <c r="BP441" s="3264">
        <f t="shared" si="263"/>
        <v>0</v>
      </c>
      <c r="BQ441" s="3264">
        <f t="shared" si="264"/>
        <v>0</v>
      </c>
      <c r="BR441" s="3264">
        <f t="shared" si="265"/>
        <v>0</v>
      </c>
      <c r="BS441" s="3264">
        <f t="shared" si="266"/>
        <v>0</v>
      </c>
      <c r="BT441" s="3317">
        <f t="shared" si="267"/>
        <v>0</v>
      </c>
    </row>
    <row r="442" spans="1:72">
      <c r="A442" s="3262"/>
      <c r="B442" s="3263"/>
      <c r="C442" s="3263"/>
      <c r="D442" s="3268"/>
      <c r="E442" s="3264">
        <f t="shared" si="239"/>
        <v>0</v>
      </c>
      <c r="F442" s="3265"/>
      <c r="G442" s="3266">
        <f t="shared" si="240"/>
        <v>0</v>
      </c>
      <c r="H442" s="3267">
        <f t="shared" si="241"/>
        <v>0</v>
      </c>
      <c r="I442" s="3275"/>
      <c r="J442" s="3275"/>
      <c r="K442" s="3275"/>
      <c r="L442" s="3275"/>
      <c r="M442" s="3275"/>
      <c r="N442" s="3275"/>
      <c r="O442" s="3275"/>
      <c r="P442" s="3275"/>
      <c r="Q442" s="3275"/>
      <c r="R442" s="3275"/>
      <c r="S442" s="3275"/>
      <c r="T442" s="3275"/>
      <c r="U442" s="3275"/>
      <c r="V442" s="3275"/>
      <c r="W442" s="3275"/>
      <c r="X442" s="3275"/>
      <c r="Y442" s="3275"/>
      <c r="Z442" s="3275"/>
      <c r="AA442" s="3275"/>
      <c r="AB442" s="3275"/>
      <c r="AC442" s="3264">
        <f t="shared" si="242"/>
        <v>0</v>
      </c>
      <c r="AD442" s="3285"/>
      <c r="AE442" s="3285"/>
      <c r="AF442" s="3285"/>
      <c r="AG442" s="3285"/>
      <c r="AH442" s="3285"/>
      <c r="AI442" s="3285"/>
      <c r="AJ442" s="3285"/>
      <c r="AK442" s="3285"/>
      <c r="AL442" s="3285"/>
      <c r="AM442" s="3285"/>
      <c r="AN442" s="3285"/>
      <c r="AO442" s="3285"/>
      <c r="AP442" s="3285"/>
      <c r="AQ442" s="3285"/>
      <c r="AR442" s="3285"/>
      <c r="AS442" s="3285"/>
      <c r="AT442" s="3295"/>
      <c r="AU442" s="3296"/>
      <c r="AV442" s="830">
        <f t="shared" si="243"/>
        <v>0</v>
      </c>
      <c r="AW442" s="830">
        <f t="shared" si="244"/>
        <v>0</v>
      </c>
      <c r="AX442" s="830">
        <f t="shared" si="245"/>
        <v>0</v>
      </c>
      <c r="AY442" s="3310">
        <f t="shared" si="246"/>
        <v>0</v>
      </c>
      <c r="AZ442" s="3264">
        <f t="shared" si="247"/>
        <v>0</v>
      </c>
      <c r="BA442" s="3264">
        <f t="shared" si="248"/>
        <v>0</v>
      </c>
      <c r="BB442" s="3264">
        <f t="shared" si="249"/>
        <v>0</v>
      </c>
      <c r="BC442" s="3264">
        <f t="shared" si="250"/>
        <v>0</v>
      </c>
      <c r="BD442" s="3264">
        <f t="shared" si="251"/>
        <v>0</v>
      </c>
      <c r="BE442" s="3264">
        <f t="shared" si="252"/>
        <v>0</v>
      </c>
      <c r="BF442" s="3264">
        <f t="shared" si="253"/>
        <v>0</v>
      </c>
      <c r="BG442" s="3264">
        <f t="shared" si="254"/>
        <v>0</v>
      </c>
      <c r="BH442" s="3264">
        <f t="shared" si="255"/>
        <v>0</v>
      </c>
      <c r="BI442" s="3264">
        <f t="shared" si="256"/>
        <v>0</v>
      </c>
      <c r="BJ442" s="3264">
        <f t="shared" si="257"/>
        <v>0</v>
      </c>
      <c r="BK442" s="3264">
        <f t="shared" si="258"/>
        <v>0</v>
      </c>
      <c r="BL442" s="3264">
        <f t="shared" si="259"/>
        <v>0</v>
      </c>
      <c r="BM442" s="3264">
        <f t="shared" si="260"/>
        <v>0</v>
      </c>
      <c r="BN442" s="3264">
        <f t="shared" si="261"/>
        <v>0</v>
      </c>
      <c r="BO442" s="3264">
        <f t="shared" si="262"/>
        <v>0</v>
      </c>
      <c r="BP442" s="3264">
        <f t="shared" si="263"/>
        <v>0</v>
      </c>
      <c r="BQ442" s="3264">
        <f t="shared" si="264"/>
        <v>0</v>
      </c>
      <c r="BR442" s="3264">
        <f t="shared" si="265"/>
        <v>0</v>
      </c>
      <c r="BS442" s="3264">
        <f t="shared" si="266"/>
        <v>0</v>
      </c>
      <c r="BT442" s="3317">
        <f t="shared" si="267"/>
        <v>0</v>
      </c>
    </row>
    <row r="443" spans="1:72">
      <c r="A443" s="3262"/>
      <c r="B443" s="3263"/>
      <c r="C443" s="3263"/>
      <c r="D443" s="3268"/>
      <c r="E443" s="3264">
        <f t="shared" si="239"/>
        <v>0</v>
      </c>
      <c r="F443" s="3265"/>
      <c r="G443" s="3266">
        <f t="shared" si="240"/>
        <v>0</v>
      </c>
      <c r="H443" s="3267">
        <f t="shared" si="241"/>
        <v>0</v>
      </c>
      <c r="I443" s="3275"/>
      <c r="J443" s="3275"/>
      <c r="K443" s="3275"/>
      <c r="L443" s="3275"/>
      <c r="M443" s="3275"/>
      <c r="N443" s="3275"/>
      <c r="O443" s="3275"/>
      <c r="P443" s="3275"/>
      <c r="Q443" s="3275"/>
      <c r="R443" s="3275"/>
      <c r="S443" s="3275"/>
      <c r="T443" s="3275"/>
      <c r="U443" s="3275"/>
      <c r="V443" s="3275"/>
      <c r="W443" s="3275"/>
      <c r="X443" s="3275"/>
      <c r="Y443" s="3275"/>
      <c r="Z443" s="3275"/>
      <c r="AA443" s="3275"/>
      <c r="AB443" s="3275"/>
      <c r="AC443" s="3264">
        <f t="shared" si="242"/>
        <v>0</v>
      </c>
      <c r="AD443" s="3285"/>
      <c r="AE443" s="3285"/>
      <c r="AF443" s="3285"/>
      <c r="AG443" s="3285"/>
      <c r="AH443" s="3285"/>
      <c r="AI443" s="3285"/>
      <c r="AJ443" s="3285"/>
      <c r="AK443" s="3285"/>
      <c r="AL443" s="3285"/>
      <c r="AM443" s="3285"/>
      <c r="AN443" s="3285"/>
      <c r="AO443" s="3285"/>
      <c r="AP443" s="3285"/>
      <c r="AQ443" s="3285"/>
      <c r="AR443" s="3285"/>
      <c r="AS443" s="3285"/>
      <c r="AT443" s="3295"/>
      <c r="AU443" s="3296"/>
      <c r="AV443" s="830">
        <f t="shared" si="243"/>
        <v>0</v>
      </c>
      <c r="AW443" s="830">
        <f t="shared" si="244"/>
        <v>0</v>
      </c>
      <c r="AX443" s="830">
        <f t="shared" si="245"/>
        <v>0</v>
      </c>
      <c r="AY443" s="3310">
        <f t="shared" si="246"/>
        <v>0</v>
      </c>
      <c r="AZ443" s="3264">
        <f t="shared" si="247"/>
        <v>0</v>
      </c>
      <c r="BA443" s="3264">
        <f t="shared" si="248"/>
        <v>0</v>
      </c>
      <c r="BB443" s="3264">
        <f t="shared" si="249"/>
        <v>0</v>
      </c>
      <c r="BC443" s="3264">
        <f t="shared" si="250"/>
        <v>0</v>
      </c>
      <c r="BD443" s="3264">
        <f t="shared" si="251"/>
        <v>0</v>
      </c>
      <c r="BE443" s="3264">
        <f t="shared" si="252"/>
        <v>0</v>
      </c>
      <c r="BF443" s="3264">
        <f t="shared" si="253"/>
        <v>0</v>
      </c>
      <c r="BG443" s="3264">
        <f t="shared" si="254"/>
        <v>0</v>
      </c>
      <c r="BH443" s="3264">
        <f t="shared" si="255"/>
        <v>0</v>
      </c>
      <c r="BI443" s="3264">
        <f t="shared" si="256"/>
        <v>0</v>
      </c>
      <c r="BJ443" s="3264">
        <f t="shared" si="257"/>
        <v>0</v>
      </c>
      <c r="BK443" s="3264">
        <f t="shared" si="258"/>
        <v>0</v>
      </c>
      <c r="BL443" s="3264">
        <f t="shared" si="259"/>
        <v>0</v>
      </c>
      <c r="BM443" s="3264">
        <f t="shared" si="260"/>
        <v>0</v>
      </c>
      <c r="BN443" s="3264">
        <f t="shared" si="261"/>
        <v>0</v>
      </c>
      <c r="BO443" s="3264">
        <f t="shared" si="262"/>
        <v>0</v>
      </c>
      <c r="BP443" s="3264">
        <f t="shared" si="263"/>
        <v>0</v>
      </c>
      <c r="BQ443" s="3264">
        <f t="shared" si="264"/>
        <v>0</v>
      </c>
      <c r="BR443" s="3264">
        <f t="shared" si="265"/>
        <v>0</v>
      </c>
      <c r="BS443" s="3264">
        <f t="shared" si="266"/>
        <v>0</v>
      </c>
      <c r="BT443" s="3317">
        <f t="shared" si="267"/>
        <v>0</v>
      </c>
    </row>
    <row r="444" spans="1:72">
      <c r="A444" s="3262"/>
      <c r="B444" s="3263"/>
      <c r="C444" s="3263"/>
      <c r="D444" s="3268"/>
      <c r="E444" s="3264">
        <f t="shared" si="239"/>
        <v>0</v>
      </c>
      <c r="F444" s="3265"/>
      <c r="G444" s="3266">
        <f t="shared" si="240"/>
        <v>0</v>
      </c>
      <c r="H444" s="3267">
        <f t="shared" si="241"/>
        <v>0</v>
      </c>
      <c r="I444" s="3275"/>
      <c r="J444" s="3275"/>
      <c r="K444" s="3275"/>
      <c r="L444" s="3275"/>
      <c r="M444" s="3275"/>
      <c r="N444" s="3275"/>
      <c r="O444" s="3275"/>
      <c r="P444" s="3275"/>
      <c r="Q444" s="3275"/>
      <c r="R444" s="3275"/>
      <c r="S444" s="3275"/>
      <c r="T444" s="3275"/>
      <c r="U444" s="3275"/>
      <c r="V444" s="3275"/>
      <c r="W444" s="3275"/>
      <c r="X444" s="3275"/>
      <c r="Y444" s="3275"/>
      <c r="Z444" s="3275"/>
      <c r="AA444" s="3275"/>
      <c r="AB444" s="3275"/>
      <c r="AC444" s="3264">
        <f t="shared" si="242"/>
        <v>0</v>
      </c>
      <c r="AD444" s="3285"/>
      <c r="AE444" s="3285"/>
      <c r="AF444" s="3285"/>
      <c r="AG444" s="3285"/>
      <c r="AH444" s="3285"/>
      <c r="AI444" s="3285"/>
      <c r="AJ444" s="3285"/>
      <c r="AK444" s="3285"/>
      <c r="AL444" s="3285"/>
      <c r="AM444" s="3285"/>
      <c r="AN444" s="3285"/>
      <c r="AO444" s="3285"/>
      <c r="AP444" s="3285"/>
      <c r="AQ444" s="3285"/>
      <c r="AR444" s="3285"/>
      <c r="AS444" s="3285"/>
      <c r="AT444" s="3295"/>
      <c r="AU444" s="3296"/>
      <c r="AV444" s="830">
        <f t="shared" si="243"/>
        <v>0</v>
      </c>
      <c r="AW444" s="830">
        <f t="shared" si="244"/>
        <v>0</v>
      </c>
      <c r="AX444" s="830">
        <f t="shared" si="245"/>
        <v>0</v>
      </c>
      <c r="AY444" s="3310">
        <f t="shared" si="246"/>
        <v>0</v>
      </c>
      <c r="AZ444" s="3264">
        <f t="shared" si="247"/>
        <v>0</v>
      </c>
      <c r="BA444" s="3264">
        <f t="shared" si="248"/>
        <v>0</v>
      </c>
      <c r="BB444" s="3264">
        <f t="shared" si="249"/>
        <v>0</v>
      </c>
      <c r="BC444" s="3264">
        <f t="shared" si="250"/>
        <v>0</v>
      </c>
      <c r="BD444" s="3264">
        <f t="shared" si="251"/>
        <v>0</v>
      </c>
      <c r="BE444" s="3264">
        <f t="shared" si="252"/>
        <v>0</v>
      </c>
      <c r="BF444" s="3264">
        <f t="shared" si="253"/>
        <v>0</v>
      </c>
      <c r="BG444" s="3264">
        <f t="shared" si="254"/>
        <v>0</v>
      </c>
      <c r="BH444" s="3264">
        <f t="shared" si="255"/>
        <v>0</v>
      </c>
      <c r="BI444" s="3264">
        <f t="shared" si="256"/>
        <v>0</v>
      </c>
      <c r="BJ444" s="3264">
        <f t="shared" si="257"/>
        <v>0</v>
      </c>
      <c r="BK444" s="3264">
        <f t="shared" si="258"/>
        <v>0</v>
      </c>
      <c r="BL444" s="3264">
        <f t="shared" si="259"/>
        <v>0</v>
      </c>
      <c r="BM444" s="3264">
        <f t="shared" si="260"/>
        <v>0</v>
      </c>
      <c r="BN444" s="3264">
        <f t="shared" si="261"/>
        <v>0</v>
      </c>
      <c r="BO444" s="3264">
        <f t="shared" si="262"/>
        <v>0</v>
      </c>
      <c r="BP444" s="3264">
        <f t="shared" si="263"/>
        <v>0</v>
      </c>
      <c r="BQ444" s="3264">
        <f t="shared" si="264"/>
        <v>0</v>
      </c>
      <c r="BR444" s="3264">
        <f t="shared" si="265"/>
        <v>0</v>
      </c>
      <c r="BS444" s="3264">
        <f t="shared" si="266"/>
        <v>0</v>
      </c>
      <c r="BT444" s="3317">
        <f t="shared" si="267"/>
        <v>0</v>
      </c>
    </row>
    <row r="445" spans="1:72">
      <c r="A445" s="3262"/>
      <c r="B445" s="3263"/>
      <c r="C445" s="3263"/>
      <c r="D445" s="3268"/>
      <c r="E445" s="3264">
        <f t="shared" si="239"/>
        <v>0</v>
      </c>
      <c r="F445" s="3265"/>
      <c r="G445" s="3266">
        <f t="shared" si="240"/>
        <v>0</v>
      </c>
      <c r="H445" s="3267">
        <f t="shared" si="241"/>
        <v>0</v>
      </c>
      <c r="I445" s="3275"/>
      <c r="J445" s="3275"/>
      <c r="K445" s="3275"/>
      <c r="L445" s="3275"/>
      <c r="M445" s="3275"/>
      <c r="N445" s="3275"/>
      <c r="O445" s="3275"/>
      <c r="P445" s="3275"/>
      <c r="Q445" s="3275"/>
      <c r="R445" s="3275"/>
      <c r="S445" s="3275"/>
      <c r="T445" s="3275"/>
      <c r="U445" s="3275"/>
      <c r="V445" s="3275"/>
      <c r="W445" s="3275"/>
      <c r="X445" s="3275"/>
      <c r="Y445" s="3275"/>
      <c r="Z445" s="3275"/>
      <c r="AA445" s="3275"/>
      <c r="AB445" s="3275"/>
      <c r="AC445" s="3264">
        <f t="shared" si="242"/>
        <v>0</v>
      </c>
      <c r="AD445" s="3285"/>
      <c r="AE445" s="3285"/>
      <c r="AF445" s="3285"/>
      <c r="AG445" s="3285"/>
      <c r="AH445" s="3285"/>
      <c r="AI445" s="3285"/>
      <c r="AJ445" s="3285"/>
      <c r="AK445" s="3285"/>
      <c r="AL445" s="3285"/>
      <c r="AM445" s="3285"/>
      <c r="AN445" s="3285"/>
      <c r="AO445" s="3285"/>
      <c r="AP445" s="3285"/>
      <c r="AQ445" s="3285"/>
      <c r="AR445" s="3285"/>
      <c r="AS445" s="3285"/>
      <c r="AT445" s="3295"/>
      <c r="AU445" s="3296"/>
      <c r="AV445" s="830">
        <f t="shared" si="243"/>
        <v>0</v>
      </c>
      <c r="AW445" s="830">
        <f t="shared" si="244"/>
        <v>0</v>
      </c>
      <c r="AX445" s="830">
        <f t="shared" si="245"/>
        <v>0</v>
      </c>
      <c r="AY445" s="3310">
        <f t="shared" si="246"/>
        <v>0</v>
      </c>
      <c r="AZ445" s="3264">
        <f t="shared" si="247"/>
        <v>0</v>
      </c>
      <c r="BA445" s="3264">
        <f t="shared" si="248"/>
        <v>0</v>
      </c>
      <c r="BB445" s="3264">
        <f t="shared" si="249"/>
        <v>0</v>
      </c>
      <c r="BC445" s="3264">
        <f t="shared" si="250"/>
        <v>0</v>
      </c>
      <c r="BD445" s="3264">
        <f t="shared" si="251"/>
        <v>0</v>
      </c>
      <c r="BE445" s="3264">
        <f t="shared" si="252"/>
        <v>0</v>
      </c>
      <c r="BF445" s="3264">
        <f t="shared" si="253"/>
        <v>0</v>
      </c>
      <c r="BG445" s="3264">
        <f t="shared" si="254"/>
        <v>0</v>
      </c>
      <c r="BH445" s="3264">
        <f t="shared" si="255"/>
        <v>0</v>
      </c>
      <c r="BI445" s="3264">
        <f t="shared" si="256"/>
        <v>0</v>
      </c>
      <c r="BJ445" s="3264">
        <f t="shared" si="257"/>
        <v>0</v>
      </c>
      <c r="BK445" s="3264">
        <f t="shared" si="258"/>
        <v>0</v>
      </c>
      <c r="BL445" s="3264">
        <f t="shared" si="259"/>
        <v>0</v>
      </c>
      <c r="BM445" s="3264">
        <f t="shared" si="260"/>
        <v>0</v>
      </c>
      <c r="BN445" s="3264">
        <f t="shared" si="261"/>
        <v>0</v>
      </c>
      <c r="BO445" s="3264">
        <f t="shared" si="262"/>
        <v>0</v>
      </c>
      <c r="BP445" s="3264">
        <f t="shared" si="263"/>
        <v>0</v>
      </c>
      <c r="BQ445" s="3264">
        <f t="shared" si="264"/>
        <v>0</v>
      </c>
      <c r="BR445" s="3264">
        <f t="shared" si="265"/>
        <v>0</v>
      </c>
      <c r="BS445" s="3264">
        <f t="shared" si="266"/>
        <v>0</v>
      </c>
      <c r="BT445" s="3317">
        <f t="shared" si="267"/>
        <v>0</v>
      </c>
    </row>
    <row r="446" spans="1:72">
      <c r="A446" s="3262"/>
      <c r="B446" s="3263"/>
      <c r="C446" s="3263"/>
      <c r="D446" s="3268"/>
      <c r="E446" s="3264">
        <f t="shared" si="239"/>
        <v>0</v>
      </c>
      <c r="F446" s="3265"/>
      <c r="G446" s="3266">
        <f t="shared" si="240"/>
        <v>0</v>
      </c>
      <c r="H446" s="3267">
        <f t="shared" si="241"/>
        <v>0</v>
      </c>
      <c r="I446" s="3275"/>
      <c r="J446" s="3275"/>
      <c r="K446" s="3275"/>
      <c r="L446" s="3275"/>
      <c r="M446" s="3275"/>
      <c r="N446" s="3275"/>
      <c r="O446" s="3275"/>
      <c r="P446" s="3275"/>
      <c r="Q446" s="3275"/>
      <c r="R446" s="3275"/>
      <c r="S446" s="3275"/>
      <c r="T446" s="3275"/>
      <c r="U446" s="3275"/>
      <c r="V446" s="3275"/>
      <c r="W446" s="3275"/>
      <c r="X446" s="3275"/>
      <c r="Y446" s="3275"/>
      <c r="Z446" s="3275"/>
      <c r="AA446" s="3275"/>
      <c r="AB446" s="3275"/>
      <c r="AC446" s="3264">
        <f t="shared" si="242"/>
        <v>0</v>
      </c>
      <c r="AD446" s="3285"/>
      <c r="AE446" s="3285"/>
      <c r="AF446" s="3285"/>
      <c r="AG446" s="3285"/>
      <c r="AH446" s="3285"/>
      <c r="AI446" s="3285"/>
      <c r="AJ446" s="3285"/>
      <c r="AK446" s="3285"/>
      <c r="AL446" s="3285"/>
      <c r="AM446" s="3285"/>
      <c r="AN446" s="3285"/>
      <c r="AO446" s="3285"/>
      <c r="AP446" s="3285"/>
      <c r="AQ446" s="3285"/>
      <c r="AR446" s="3285"/>
      <c r="AS446" s="3285"/>
      <c r="AT446" s="3295"/>
      <c r="AU446" s="3296"/>
      <c r="AV446" s="830">
        <f t="shared" si="243"/>
        <v>0</v>
      </c>
      <c r="AW446" s="830">
        <f t="shared" si="244"/>
        <v>0</v>
      </c>
      <c r="AX446" s="830">
        <f t="shared" si="245"/>
        <v>0</v>
      </c>
      <c r="AY446" s="3310">
        <f t="shared" si="246"/>
        <v>0</v>
      </c>
      <c r="AZ446" s="3264">
        <f t="shared" si="247"/>
        <v>0</v>
      </c>
      <c r="BA446" s="3264">
        <f t="shared" si="248"/>
        <v>0</v>
      </c>
      <c r="BB446" s="3264">
        <f t="shared" si="249"/>
        <v>0</v>
      </c>
      <c r="BC446" s="3264">
        <f t="shared" si="250"/>
        <v>0</v>
      </c>
      <c r="BD446" s="3264">
        <f t="shared" si="251"/>
        <v>0</v>
      </c>
      <c r="BE446" s="3264">
        <f t="shared" si="252"/>
        <v>0</v>
      </c>
      <c r="BF446" s="3264">
        <f t="shared" si="253"/>
        <v>0</v>
      </c>
      <c r="BG446" s="3264">
        <f t="shared" si="254"/>
        <v>0</v>
      </c>
      <c r="BH446" s="3264">
        <f t="shared" si="255"/>
        <v>0</v>
      </c>
      <c r="BI446" s="3264">
        <f t="shared" si="256"/>
        <v>0</v>
      </c>
      <c r="BJ446" s="3264">
        <f t="shared" si="257"/>
        <v>0</v>
      </c>
      <c r="BK446" s="3264">
        <f t="shared" si="258"/>
        <v>0</v>
      </c>
      <c r="BL446" s="3264">
        <f t="shared" si="259"/>
        <v>0</v>
      </c>
      <c r="BM446" s="3264">
        <f t="shared" si="260"/>
        <v>0</v>
      </c>
      <c r="BN446" s="3264">
        <f t="shared" si="261"/>
        <v>0</v>
      </c>
      <c r="BO446" s="3264">
        <f t="shared" si="262"/>
        <v>0</v>
      </c>
      <c r="BP446" s="3264">
        <f t="shared" si="263"/>
        <v>0</v>
      </c>
      <c r="BQ446" s="3264">
        <f t="shared" si="264"/>
        <v>0</v>
      </c>
      <c r="BR446" s="3264">
        <f t="shared" si="265"/>
        <v>0</v>
      </c>
      <c r="BS446" s="3264">
        <f t="shared" si="266"/>
        <v>0</v>
      </c>
      <c r="BT446" s="3317">
        <f t="shared" si="267"/>
        <v>0</v>
      </c>
    </row>
    <row r="447" spans="1:72">
      <c r="A447" s="3262"/>
      <c r="B447" s="3263"/>
      <c r="C447" s="3263"/>
      <c r="D447" s="3268"/>
      <c r="E447" s="3264">
        <f t="shared" si="239"/>
        <v>0</v>
      </c>
      <c r="F447" s="3265"/>
      <c r="G447" s="3266">
        <f t="shared" si="240"/>
        <v>0</v>
      </c>
      <c r="H447" s="3267">
        <f t="shared" si="241"/>
        <v>0</v>
      </c>
      <c r="I447" s="3275"/>
      <c r="J447" s="3275"/>
      <c r="K447" s="3275"/>
      <c r="L447" s="3275"/>
      <c r="M447" s="3275"/>
      <c r="N447" s="3275"/>
      <c r="O447" s="3275"/>
      <c r="P447" s="3275"/>
      <c r="Q447" s="3275"/>
      <c r="R447" s="3275"/>
      <c r="S447" s="3275"/>
      <c r="T447" s="3275"/>
      <c r="U447" s="3275"/>
      <c r="V447" s="3275"/>
      <c r="W447" s="3275"/>
      <c r="X447" s="3275"/>
      <c r="Y447" s="3275"/>
      <c r="Z447" s="3275"/>
      <c r="AA447" s="3275"/>
      <c r="AB447" s="3275"/>
      <c r="AC447" s="3264">
        <f t="shared" si="242"/>
        <v>0</v>
      </c>
      <c r="AD447" s="3285"/>
      <c r="AE447" s="3285"/>
      <c r="AF447" s="3285"/>
      <c r="AG447" s="3285"/>
      <c r="AH447" s="3285"/>
      <c r="AI447" s="3285"/>
      <c r="AJ447" s="3285"/>
      <c r="AK447" s="3285"/>
      <c r="AL447" s="3285"/>
      <c r="AM447" s="3285"/>
      <c r="AN447" s="3285"/>
      <c r="AO447" s="3285"/>
      <c r="AP447" s="3285"/>
      <c r="AQ447" s="3285"/>
      <c r="AR447" s="3285"/>
      <c r="AS447" s="3285"/>
      <c r="AT447" s="3295"/>
      <c r="AU447" s="3296"/>
      <c r="AV447" s="830">
        <f t="shared" si="243"/>
        <v>0</v>
      </c>
      <c r="AW447" s="830">
        <f t="shared" si="244"/>
        <v>0</v>
      </c>
      <c r="AX447" s="830">
        <f t="shared" si="245"/>
        <v>0</v>
      </c>
      <c r="AY447" s="3310">
        <f t="shared" si="246"/>
        <v>0</v>
      </c>
      <c r="AZ447" s="3264">
        <f t="shared" si="247"/>
        <v>0</v>
      </c>
      <c r="BA447" s="3264">
        <f t="shared" si="248"/>
        <v>0</v>
      </c>
      <c r="BB447" s="3264">
        <f t="shared" si="249"/>
        <v>0</v>
      </c>
      <c r="BC447" s="3264">
        <f t="shared" si="250"/>
        <v>0</v>
      </c>
      <c r="BD447" s="3264">
        <f t="shared" si="251"/>
        <v>0</v>
      </c>
      <c r="BE447" s="3264">
        <f t="shared" si="252"/>
        <v>0</v>
      </c>
      <c r="BF447" s="3264">
        <f t="shared" si="253"/>
        <v>0</v>
      </c>
      <c r="BG447" s="3264">
        <f t="shared" si="254"/>
        <v>0</v>
      </c>
      <c r="BH447" s="3264">
        <f t="shared" si="255"/>
        <v>0</v>
      </c>
      <c r="BI447" s="3264">
        <f t="shared" si="256"/>
        <v>0</v>
      </c>
      <c r="BJ447" s="3264">
        <f t="shared" si="257"/>
        <v>0</v>
      </c>
      <c r="BK447" s="3264">
        <f t="shared" si="258"/>
        <v>0</v>
      </c>
      <c r="BL447" s="3264">
        <f t="shared" si="259"/>
        <v>0</v>
      </c>
      <c r="BM447" s="3264">
        <f t="shared" si="260"/>
        <v>0</v>
      </c>
      <c r="BN447" s="3264">
        <f t="shared" si="261"/>
        <v>0</v>
      </c>
      <c r="BO447" s="3264">
        <f t="shared" si="262"/>
        <v>0</v>
      </c>
      <c r="BP447" s="3264">
        <f t="shared" si="263"/>
        <v>0</v>
      </c>
      <c r="BQ447" s="3264">
        <f t="shared" si="264"/>
        <v>0</v>
      </c>
      <c r="BR447" s="3264">
        <f t="shared" si="265"/>
        <v>0</v>
      </c>
      <c r="BS447" s="3264">
        <f t="shared" si="266"/>
        <v>0</v>
      </c>
      <c r="BT447" s="3317">
        <f t="shared" si="267"/>
        <v>0</v>
      </c>
    </row>
    <row r="448" spans="1:72">
      <c r="A448" s="3262"/>
      <c r="B448" s="3263"/>
      <c r="C448" s="3263"/>
      <c r="D448" s="3268"/>
      <c r="E448" s="3264">
        <f t="shared" si="239"/>
        <v>0</v>
      </c>
      <c r="F448" s="3265"/>
      <c r="G448" s="3266">
        <f t="shared" si="240"/>
        <v>0</v>
      </c>
      <c r="H448" s="3267">
        <f t="shared" si="241"/>
        <v>0</v>
      </c>
      <c r="I448" s="3275"/>
      <c r="J448" s="3275"/>
      <c r="K448" s="3275"/>
      <c r="L448" s="3275"/>
      <c r="M448" s="3275"/>
      <c r="N448" s="3275"/>
      <c r="O448" s="3275"/>
      <c r="P448" s="3275"/>
      <c r="Q448" s="3275"/>
      <c r="R448" s="3275"/>
      <c r="S448" s="3275"/>
      <c r="T448" s="3275"/>
      <c r="U448" s="3275"/>
      <c r="V448" s="3275"/>
      <c r="W448" s="3275"/>
      <c r="X448" s="3275"/>
      <c r="Y448" s="3275"/>
      <c r="Z448" s="3275"/>
      <c r="AA448" s="3275"/>
      <c r="AB448" s="3275"/>
      <c r="AC448" s="3264">
        <f t="shared" si="242"/>
        <v>0</v>
      </c>
      <c r="AD448" s="3285"/>
      <c r="AE448" s="3285"/>
      <c r="AF448" s="3285"/>
      <c r="AG448" s="3285"/>
      <c r="AH448" s="3285"/>
      <c r="AI448" s="3285"/>
      <c r="AJ448" s="3285"/>
      <c r="AK448" s="3285"/>
      <c r="AL448" s="3285"/>
      <c r="AM448" s="3285"/>
      <c r="AN448" s="3285"/>
      <c r="AO448" s="3285"/>
      <c r="AP448" s="3285"/>
      <c r="AQ448" s="3285"/>
      <c r="AR448" s="3285"/>
      <c r="AS448" s="3285"/>
      <c r="AT448" s="3295"/>
      <c r="AU448" s="3296"/>
      <c r="AV448" s="830">
        <f t="shared" si="243"/>
        <v>0</v>
      </c>
      <c r="AW448" s="830">
        <f t="shared" si="244"/>
        <v>0</v>
      </c>
      <c r="AX448" s="830">
        <f t="shared" si="245"/>
        <v>0</v>
      </c>
      <c r="AY448" s="3310">
        <f t="shared" si="246"/>
        <v>0</v>
      </c>
      <c r="AZ448" s="3264">
        <f t="shared" si="247"/>
        <v>0</v>
      </c>
      <c r="BA448" s="3264">
        <f t="shared" si="248"/>
        <v>0</v>
      </c>
      <c r="BB448" s="3264">
        <f t="shared" si="249"/>
        <v>0</v>
      </c>
      <c r="BC448" s="3264">
        <f t="shared" si="250"/>
        <v>0</v>
      </c>
      <c r="BD448" s="3264">
        <f t="shared" si="251"/>
        <v>0</v>
      </c>
      <c r="BE448" s="3264">
        <f t="shared" si="252"/>
        <v>0</v>
      </c>
      <c r="BF448" s="3264">
        <f t="shared" si="253"/>
        <v>0</v>
      </c>
      <c r="BG448" s="3264">
        <f t="shared" si="254"/>
        <v>0</v>
      </c>
      <c r="BH448" s="3264">
        <f t="shared" si="255"/>
        <v>0</v>
      </c>
      <c r="BI448" s="3264">
        <f t="shared" si="256"/>
        <v>0</v>
      </c>
      <c r="BJ448" s="3264">
        <f t="shared" si="257"/>
        <v>0</v>
      </c>
      <c r="BK448" s="3264">
        <f t="shared" si="258"/>
        <v>0</v>
      </c>
      <c r="BL448" s="3264">
        <f t="shared" si="259"/>
        <v>0</v>
      </c>
      <c r="BM448" s="3264">
        <f t="shared" si="260"/>
        <v>0</v>
      </c>
      <c r="BN448" s="3264">
        <f t="shared" si="261"/>
        <v>0</v>
      </c>
      <c r="BO448" s="3264">
        <f t="shared" si="262"/>
        <v>0</v>
      </c>
      <c r="BP448" s="3264">
        <f t="shared" si="263"/>
        <v>0</v>
      </c>
      <c r="BQ448" s="3264">
        <f t="shared" si="264"/>
        <v>0</v>
      </c>
      <c r="BR448" s="3264">
        <f t="shared" si="265"/>
        <v>0</v>
      </c>
      <c r="BS448" s="3264">
        <f t="shared" si="266"/>
        <v>0</v>
      </c>
      <c r="BT448" s="3317">
        <f t="shared" si="267"/>
        <v>0</v>
      </c>
    </row>
    <row r="449" spans="1:72">
      <c r="A449" s="3262"/>
      <c r="B449" s="3263"/>
      <c r="C449" s="3263"/>
      <c r="D449" s="3268"/>
      <c r="E449" s="3264">
        <f t="shared" si="239"/>
        <v>0</v>
      </c>
      <c r="F449" s="3265"/>
      <c r="G449" s="3266">
        <f t="shared" si="240"/>
        <v>0</v>
      </c>
      <c r="H449" s="3267">
        <f t="shared" si="241"/>
        <v>0</v>
      </c>
      <c r="I449" s="3275"/>
      <c r="J449" s="3275"/>
      <c r="K449" s="3275"/>
      <c r="L449" s="3275"/>
      <c r="M449" s="3275"/>
      <c r="N449" s="3275"/>
      <c r="O449" s="3275"/>
      <c r="P449" s="3275"/>
      <c r="Q449" s="3275"/>
      <c r="R449" s="3275"/>
      <c r="S449" s="3275"/>
      <c r="T449" s="3275"/>
      <c r="U449" s="3275"/>
      <c r="V449" s="3275"/>
      <c r="W449" s="3275"/>
      <c r="X449" s="3275"/>
      <c r="Y449" s="3275"/>
      <c r="Z449" s="3275"/>
      <c r="AA449" s="3275"/>
      <c r="AB449" s="3275"/>
      <c r="AC449" s="3264">
        <f t="shared" si="242"/>
        <v>0</v>
      </c>
      <c r="AD449" s="3285"/>
      <c r="AE449" s="3285"/>
      <c r="AF449" s="3285"/>
      <c r="AG449" s="3285"/>
      <c r="AH449" s="3285"/>
      <c r="AI449" s="3285"/>
      <c r="AJ449" s="3285"/>
      <c r="AK449" s="3285"/>
      <c r="AL449" s="3285"/>
      <c r="AM449" s="3285"/>
      <c r="AN449" s="3285"/>
      <c r="AO449" s="3285"/>
      <c r="AP449" s="3285"/>
      <c r="AQ449" s="3285"/>
      <c r="AR449" s="3285"/>
      <c r="AS449" s="3285"/>
      <c r="AT449" s="3295"/>
      <c r="AU449" s="3296"/>
      <c r="AV449" s="830">
        <f t="shared" si="243"/>
        <v>0</v>
      </c>
      <c r="AW449" s="830">
        <f t="shared" si="244"/>
        <v>0</v>
      </c>
      <c r="AX449" s="830">
        <f t="shared" si="245"/>
        <v>0</v>
      </c>
      <c r="AY449" s="3310">
        <f t="shared" si="246"/>
        <v>0</v>
      </c>
      <c r="AZ449" s="3264">
        <f t="shared" si="247"/>
        <v>0</v>
      </c>
      <c r="BA449" s="3264">
        <f t="shared" si="248"/>
        <v>0</v>
      </c>
      <c r="BB449" s="3264">
        <f t="shared" si="249"/>
        <v>0</v>
      </c>
      <c r="BC449" s="3264">
        <f t="shared" si="250"/>
        <v>0</v>
      </c>
      <c r="BD449" s="3264">
        <f t="shared" si="251"/>
        <v>0</v>
      </c>
      <c r="BE449" s="3264">
        <f t="shared" si="252"/>
        <v>0</v>
      </c>
      <c r="BF449" s="3264">
        <f t="shared" si="253"/>
        <v>0</v>
      </c>
      <c r="BG449" s="3264">
        <f t="shared" si="254"/>
        <v>0</v>
      </c>
      <c r="BH449" s="3264">
        <f t="shared" si="255"/>
        <v>0</v>
      </c>
      <c r="BI449" s="3264">
        <f t="shared" si="256"/>
        <v>0</v>
      </c>
      <c r="BJ449" s="3264">
        <f t="shared" si="257"/>
        <v>0</v>
      </c>
      <c r="BK449" s="3264">
        <f t="shared" si="258"/>
        <v>0</v>
      </c>
      <c r="BL449" s="3264">
        <f t="shared" si="259"/>
        <v>0</v>
      </c>
      <c r="BM449" s="3264">
        <f t="shared" si="260"/>
        <v>0</v>
      </c>
      <c r="BN449" s="3264">
        <f t="shared" si="261"/>
        <v>0</v>
      </c>
      <c r="BO449" s="3264">
        <f t="shared" si="262"/>
        <v>0</v>
      </c>
      <c r="BP449" s="3264">
        <f t="shared" si="263"/>
        <v>0</v>
      </c>
      <c r="BQ449" s="3264">
        <f t="shared" si="264"/>
        <v>0</v>
      </c>
      <c r="BR449" s="3264">
        <f t="shared" si="265"/>
        <v>0</v>
      </c>
      <c r="BS449" s="3264">
        <f t="shared" si="266"/>
        <v>0</v>
      </c>
      <c r="BT449" s="3317">
        <f t="shared" si="267"/>
        <v>0</v>
      </c>
    </row>
    <row r="450" spans="1:72">
      <c r="A450" s="3262"/>
      <c r="B450" s="3263"/>
      <c r="C450" s="3263"/>
      <c r="D450" s="3268"/>
      <c r="E450" s="3264">
        <f t="shared" si="239"/>
        <v>0</v>
      </c>
      <c r="F450" s="3265"/>
      <c r="G450" s="3266">
        <f t="shared" si="240"/>
        <v>0</v>
      </c>
      <c r="H450" s="3267">
        <f t="shared" si="241"/>
        <v>0</v>
      </c>
      <c r="I450" s="3275"/>
      <c r="J450" s="3275"/>
      <c r="K450" s="3275"/>
      <c r="L450" s="3275"/>
      <c r="M450" s="3275"/>
      <c r="N450" s="3275"/>
      <c r="O450" s="3275"/>
      <c r="P450" s="3275"/>
      <c r="Q450" s="3275"/>
      <c r="R450" s="3275"/>
      <c r="S450" s="3275"/>
      <c r="T450" s="3275"/>
      <c r="U450" s="3275"/>
      <c r="V450" s="3275"/>
      <c r="W450" s="3275"/>
      <c r="X450" s="3275"/>
      <c r="Y450" s="3275"/>
      <c r="Z450" s="3275"/>
      <c r="AA450" s="3275"/>
      <c r="AB450" s="3275"/>
      <c r="AC450" s="3264">
        <f t="shared" si="242"/>
        <v>0</v>
      </c>
      <c r="AD450" s="3285"/>
      <c r="AE450" s="3285"/>
      <c r="AF450" s="3285"/>
      <c r="AG450" s="3285"/>
      <c r="AH450" s="3285"/>
      <c r="AI450" s="3285"/>
      <c r="AJ450" s="3285"/>
      <c r="AK450" s="3285"/>
      <c r="AL450" s="3285"/>
      <c r="AM450" s="3285"/>
      <c r="AN450" s="3285"/>
      <c r="AO450" s="3285"/>
      <c r="AP450" s="3285"/>
      <c r="AQ450" s="3285"/>
      <c r="AR450" s="3285"/>
      <c r="AS450" s="3285"/>
      <c r="AT450" s="3295"/>
      <c r="AU450" s="3296"/>
      <c r="AV450" s="830">
        <f t="shared" si="243"/>
        <v>0</v>
      </c>
      <c r="AW450" s="830">
        <f t="shared" si="244"/>
        <v>0</v>
      </c>
      <c r="AX450" s="830">
        <f t="shared" si="245"/>
        <v>0</v>
      </c>
      <c r="AY450" s="3310">
        <f t="shared" si="246"/>
        <v>0</v>
      </c>
      <c r="AZ450" s="3264">
        <f t="shared" si="247"/>
        <v>0</v>
      </c>
      <c r="BA450" s="3264">
        <f t="shared" si="248"/>
        <v>0</v>
      </c>
      <c r="BB450" s="3264">
        <f t="shared" si="249"/>
        <v>0</v>
      </c>
      <c r="BC450" s="3264">
        <f t="shared" si="250"/>
        <v>0</v>
      </c>
      <c r="BD450" s="3264">
        <f t="shared" si="251"/>
        <v>0</v>
      </c>
      <c r="BE450" s="3264">
        <f t="shared" si="252"/>
        <v>0</v>
      </c>
      <c r="BF450" s="3264">
        <f t="shared" si="253"/>
        <v>0</v>
      </c>
      <c r="BG450" s="3264">
        <f t="shared" si="254"/>
        <v>0</v>
      </c>
      <c r="BH450" s="3264">
        <f t="shared" si="255"/>
        <v>0</v>
      </c>
      <c r="BI450" s="3264">
        <f t="shared" si="256"/>
        <v>0</v>
      </c>
      <c r="BJ450" s="3264">
        <f t="shared" si="257"/>
        <v>0</v>
      </c>
      <c r="BK450" s="3264">
        <f t="shared" si="258"/>
        <v>0</v>
      </c>
      <c r="BL450" s="3264">
        <f t="shared" si="259"/>
        <v>0</v>
      </c>
      <c r="BM450" s="3264">
        <f t="shared" si="260"/>
        <v>0</v>
      </c>
      <c r="BN450" s="3264">
        <f t="shared" si="261"/>
        <v>0</v>
      </c>
      <c r="BO450" s="3264">
        <f t="shared" si="262"/>
        <v>0</v>
      </c>
      <c r="BP450" s="3264">
        <f t="shared" si="263"/>
        <v>0</v>
      </c>
      <c r="BQ450" s="3264">
        <f t="shared" si="264"/>
        <v>0</v>
      </c>
      <c r="BR450" s="3264">
        <f t="shared" si="265"/>
        <v>0</v>
      </c>
      <c r="BS450" s="3264">
        <f t="shared" si="266"/>
        <v>0</v>
      </c>
      <c r="BT450" s="3317">
        <f t="shared" si="267"/>
        <v>0</v>
      </c>
    </row>
    <row r="451" spans="1:72">
      <c r="A451" s="3262"/>
      <c r="B451" s="3263"/>
      <c r="C451" s="3263"/>
      <c r="D451" s="3268"/>
      <c r="E451" s="3264">
        <f t="shared" si="239"/>
        <v>0</v>
      </c>
      <c r="F451" s="3265"/>
      <c r="G451" s="3266">
        <f t="shared" si="240"/>
        <v>0</v>
      </c>
      <c r="H451" s="3267">
        <f t="shared" si="241"/>
        <v>0</v>
      </c>
      <c r="I451" s="3275"/>
      <c r="J451" s="3275"/>
      <c r="K451" s="3275"/>
      <c r="L451" s="3275"/>
      <c r="M451" s="3275"/>
      <c r="N451" s="3275"/>
      <c r="O451" s="3275"/>
      <c r="P451" s="3275"/>
      <c r="Q451" s="3275"/>
      <c r="R451" s="3275"/>
      <c r="S451" s="3275"/>
      <c r="T451" s="3275"/>
      <c r="U451" s="3275"/>
      <c r="V451" s="3275"/>
      <c r="W451" s="3275"/>
      <c r="X451" s="3275"/>
      <c r="Y451" s="3275"/>
      <c r="Z451" s="3275"/>
      <c r="AA451" s="3275"/>
      <c r="AB451" s="3275"/>
      <c r="AC451" s="3264">
        <f t="shared" si="242"/>
        <v>0</v>
      </c>
      <c r="AD451" s="3285"/>
      <c r="AE451" s="3285"/>
      <c r="AF451" s="3285"/>
      <c r="AG451" s="3285"/>
      <c r="AH451" s="3285"/>
      <c r="AI451" s="3285"/>
      <c r="AJ451" s="3285"/>
      <c r="AK451" s="3285"/>
      <c r="AL451" s="3285"/>
      <c r="AM451" s="3285"/>
      <c r="AN451" s="3285"/>
      <c r="AO451" s="3285"/>
      <c r="AP451" s="3285"/>
      <c r="AQ451" s="3285"/>
      <c r="AR451" s="3285"/>
      <c r="AS451" s="3285"/>
      <c r="AT451" s="3295"/>
      <c r="AU451" s="3296"/>
      <c r="AV451" s="830">
        <f t="shared" si="243"/>
        <v>0</v>
      </c>
      <c r="AW451" s="830">
        <f t="shared" si="244"/>
        <v>0</v>
      </c>
      <c r="AX451" s="830">
        <f t="shared" si="245"/>
        <v>0</v>
      </c>
      <c r="AY451" s="3310">
        <f t="shared" si="246"/>
        <v>0</v>
      </c>
      <c r="AZ451" s="3264">
        <f t="shared" si="247"/>
        <v>0</v>
      </c>
      <c r="BA451" s="3264">
        <f t="shared" si="248"/>
        <v>0</v>
      </c>
      <c r="BB451" s="3264">
        <f t="shared" si="249"/>
        <v>0</v>
      </c>
      <c r="BC451" s="3264">
        <f t="shared" si="250"/>
        <v>0</v>
      </c>
      <c r="BD451" s="3264">
        <f t="shared" si="251"/>
        <v>0</v>
      </c>
      <c r="BE451" s="3264">
        <f t="shared" si="252"/>
        <v>0</v>
      </c>
      <c r="BF451" s="3264">
        <f t="shared" si="253"/>
        <v>0</v>
      </c>
      <c r="BG451" s="3264">
        <f t="shared" si="254"/>
        <v>0</v>
      </c>
      <c r="BH451" s="3264">
        <f t="shared" si="255"/>
        <v>0</v>
      </c>
      <c r="BI451" s="3264">
        <f t="shared" si="256"/>
        <v>0</v>
      </c>
      <c r="BJ451" s="3264">
        <f t="shared" si="257"/>
        <v>0</v>
      </c>
      <c r="BK451" s="3264">
        <f t="shared" si="258"/>
        <v>0</v>
      </c>
      <c r="BL451" s="3264">
        <f t="shared" si="259"/>
        <v>0</v>
      </c>
      <c r="BM451" s="3264">
        <f t="shared" si="260"/>
        <v>0</v>
      </c>
      <c r="BN451" s="3264">
        <f t="shared" si="261"/>
        <v>0</v>
      </c>
      <c r="BO451" s="3264">
        <f t="shared" si="262"/>
        <v>0</v>
      </c>
      <c r="BP451" s="3264">
        <f t="shared" si="263"/>
        <v>0</v>
      </c>
      <c r="BQ451" s="3264">
        <f t="shared" si="264"/>
        <v>0</v>
      </c>
      <c r="BR451" s="3264">
        <f t="shared" si="265"/>
        <v>0</v>
      </c>
      <c r="BS451" s="3264">
        <f t="shared" si="266"/>
        <v>0</v>
      </c>
      <c r="BT451" s="3317">
        <f t="shared" si="267"/>
        <v>0</v>
      </c>
    </row>
    <row r="452" spans="1:72">
      <c r="A452" s="3262"/>
      <c r="B452" s="3263"/>
      <c r="C452" s="3263"/>
      <c r="D452" s="3268"/>
      <c r="E452" s="3264">
        <f t="shared" si="239"/>
        <v>0</v>
      </c>
      <c r="F452" s="3265"/>
      <c r="G452" s="3266">
        <f t="shared" si="240"/>
        <v>0</v>
      </c>
      <c r="H452" s="3267">
        <f t="shared" si="241"/>
        <v>0</v>
      </c>
      <c r="I452" s="3275"/>
      <c r="J452" s="3275"/>
      <c r="K452" s="3275"/>
      <c r="L452" s="3275"/>
      <c r="M452" s="3275"/>
      <c r="N452" s="3275"/>
      <c r="O452" s="3275"/>
      <c r="P452" s="3275"/>
      <c r="Q452" s="3275"/>
      <c r="R452" s="3275"/>
      <c r="S452" s="3275"/>
      <c r="T452" s="3275"/>
      <c r="U452" s="3275"/>
      <c r="V452" s="3275"/>
      <c r="W452" s="3275"/>
      <c r="X452" s="3275"/>
      <c r="Y452" s="3275"/>
      <c r="Z452" s="3275"/>
      <c r="AA452" s="3275"/>
      <c r="AB452" s="3275"/>
      <c r="AC452" s="3264">
        <f t="shared" si="242"/>
        <v>0</v>
      </c>
      <c r="AD452" s="3285"/>
      <c r="AE452" s="3285"/>
      <c r="AF452" s="3285"/>
      <c r="AG452" s="3285"/>
      <c r="AH452" s="3285"/>
      <c r="AI452" s="3285"/>
      <c r="AJ452" s="3285"/>
      <c r="AK452" s="3285"/>
      <c r="AL452" s="3285"/>
      <c r="AM452" s="3285"/>
      <c r="AN452" s="3285"/>
      <c r="AO452" s="3285"/>
      <c r="AP452" s="3285"/>
      <c r="AQ452" s="3285"/>
      <c r="AR452" s="3285"/>
      <c r="AS452" s="3285"/>
      <c r="AT452" s="3295"/>
      <c r="AU452" s="3296"/>
      <c r="AV452" s="830">
        <f t="shared" si="243"/>
        <v>0</v>
      </c>
      <c r="AW452" s="830">
        <f t="shared" si="244"/>
        <v>0</v>
      </c>
      <c r="AX452" s="830">
        <f t="shared" si="245"/>
        <v>0</v>
      </c>
      <c r="AY452" s="3310">
        <f t="shared" si="246"/>
        <v>0</v>
      </c>
      <c r="AZ452" s="3264">
        <f t="shared" si="247"/>
        <v>0</v>
      </c>
      <c r="BA452" s="3264">
        <f t="shared" si="248"/>
        <v>0</v>
      </c>
      <c r="BB452" s="3264">
        <f t="shared" si="249"/>
        <v>0</v>
      </c>
      <c r="BC452" s="3264">
        <f t="shared" si="250"/>
        <v>0</v>
      </c>
      <c r="BD452" s="3264">
        <f t="shared" si="251"/>
        <v>0</v>
      </c>
      <c r="BE452" s="3264">
        <f t="shared" si="252"/>
        <v>0</v>
      </c>
      <c r="BF452" s="3264">
        <f t="shared" si="253"/>
        <v>0</v>
      </c>
      <c r="BG452" s="3264">
        <f t="shared" si="254"/>
        <v>0</v>
      </c>
      <c r="BH452" s="3264">
        <f t="shared" si="255"/>
        <v>0</v>
      </c>
      <c r="BI452" s="3264">
        <f t="shared" si="256"/>
        <v>0</v>
      </c>
      <c r="BJ452" s="3264">
        <f t="shared" si="257"/>
        <v>0</v>
      </c>
      <c r="BK452" s="3264">
        <f t="shared" si="258"/>
        <v>0</v>
      </c>
      <c r="BL452" s="3264">
        <f t="shared" si="259"/>
        <v>0</v>
      </c>
      <c r="BM452" s="3264">
        <f t="shared" si="260"/>
        <v>0</v>
      </c>
      <c r="BN452" s="3264">
        <f t="shared" si="261"/>
        <v>0</v>
      </c>
      <c r="BO452" s="3264">
        <f t="shared" si="262"/>
        <v>0</v>
      </c>
      <c r="BP452" s="3264">
        <f t="shared" si="263"/>
        <v>0</v>
      </c>
      <c r="BQ452" s="3264">
        <f t="shared" si="264"/>
        <v>0</v>
      </c>
      <c r="BR452" s="3264">
        <f t="shared" si="265"/>
        <v>0</v>
      </c>
      <c r="BS452" s="3264">
        <f t="shared" si="266"/>
        <v>0</v>
      </c>
      <c r="BT452" s="3317">
        <f t="shared" si="267"/>
        <v>0</v>
      </c>
    </row>
    <row r="453" spans="1:72">
      <c r="A453" s="3262"/>
      <c r="B453" s="3263"/>
      <c r="C453" s="3263"/>
      <c r="D453" s="3268"/>
      <c r="E453" s="3264">
        <f t="shared" si="239"/>
        <v>0</v>
      </c>
      <c r="F453" s="3265"/>
      <c r="G453" s="3266">
        <f t="shared" si="240"/>
        <v>0</v>
      </c>
      <c r="H453" s="3267">
        <f t="shared" si="241"/>
        <v>0</v>
      </c>
      <c r="I453" s="3275"/>
      <c r="J453" s="3275"/>
      <c r="K453" s="3275"/>
      <c r="L453" s="3275"/>
      <c r="M453" s="3275"/>
      <c r="N453" s="3275"/>
      <c r="O453" s="3275"/>
      <c r="P453" s="3275"/>
      <c r="Q453" s="3275"/>
      <c r="R453" s="3275"/>
      <c r="S453" s="3275"/>
      <c r="T453" s="3275"/>
      <c r="U453" s="3275"/>
      <c r="V453" s="3275"/>
      <c r="W453" s="3275"/>
      <c r="X453" s="3275"/>
      <c r="Y453" s="3275"/>
      <c r="Z453" s="3275"/>
      <c r="AA453" s="3275"/>
      <c r="AB453" s="3275"/>
      <c r="AC453" s="3264">
        <f t="shared" si="242"/>
        <v>0</v>
      </c>
      <c r="AD453" s="3285"/>
      <c r="AE453" s="3285"/>
      <c r="AF453" s="3285"/>
      <c r="AG453" s="3285"/>
      <c r="AH453" s="3285"/>
      <c r="AI453" s="3285"/>
      <c r="AJ453" s="3285"/>
      <c r="AK453" s="3285"/>
      <c r="AL453" s="3285"/>
      <c r="AM453" s="3285"/>
      <c r="AN453" s="3285"/>
      <c r="AO453" s="3285"/>
      <c r="AP453" s="3285"/>
      <c r="AQ453" s="3285"/>
      <c r="AR453" s="3285"/>
      <c r="AS453" s="3285"/>
      <c r="AT453" s="3295"/>
      <c r="AU453" s="3296"/>
      <c r="AV453" s="830">
        <f t="shared" si="243"/>
        <v>0</v>
      </c>
      <c r="AW453" s="830">
        <f t="shared" si="244"/>
        <v>0</v>
      </c>
      <c r="AX453" s="830">
        <f t="shared" si="245"/>
        <v>0</v>
      </c>
      <c r="AY453" s="3310">
        <f t="shared" si="246"/>
        <v>0</v>
      </c>
      <c r="AZ453" s="3264">
        <f t="shared" si="247"/>
        <v>0</v>
      </c>
      <c r="BA453" s="3264">
        <f t="shared" si="248"/>
        <v>0</v>
      </c>
      <c r="BB453" s="3264">
        <f t="shared" si="249"/>
        <v>0</v>
      </c>
      <c r="BC453" s="3264">
        <f t="shared" si="250"/>
        <v>0</v>
      </c>
      <c r="BD453" s="3264">
        <f t="shared" si="251"/>
        <v>0</v>
      </c>
      <c r="BE453" s="3264">
        <f t="shared" si="252"/>
        <v>0</v>
      </c>
      <c r="BF453" s="3264">
        <f t="shared" si="253"/>
        <v>0</v>
      </c>
      <c r="BG453" s="3264">
        <f t="shared" si="254"/>
        <v>0</v>
      </c>
      <c r="BH453" s="3264">
        <f t="shared" si="255"/>
        <v>0</v>
      </c>
      <c r="BI453" s="3264">
        <f t="shared" si="256"/>
        <v>0</v>
      </c>
      <c r="BJ453" s="3264">
        <f t="shared" si="257"/>
        <v>0</v>
      </c>
      <c r="BK453" s="3264">
        <f t="shared" si="258"/>
        <v>0</v>
      </c>
      <c r="BL453" s="3264">
        <f t="shared" si="259"/>
        <v>0</v>
      </c>
      <c r="BM453" s="3264">
        <f t="shared" si="260"/>
        <v>0</v>
      </c>
      <c r="BN453" s="3264">
        <f t="shared" si="261"/>
        <v>0</v>
      </c>
      <c r="BO453" s="3264">
        <f t="shared" si="262"/>
        <v>0</v>
      </c>
      <c r="BP453" s="3264">
        <f t="shared" si="263"/>
        <v>0</v>
      </c>
      <c r="BQ453" s="3264">
        <f t="shared" si="264"/>
        <v>0</v>
      </c>
      <c r="BR453" s="3264">
        <f t="shared" si="265"/>
        <v>0</v>
      </c>
      <c r="BS453" s="3264">
        <f t="shared" si="266"/>
        <v>0</v>
      </c>
      <c r="BT453" s="3317">
        <f t="shared" si="267"/>
        <v>0</v>
      </c>
    </row>
    <row r="454" spans="1:72">
      <c r="A454" s="3262"/>
      <c r="B454" s="3263"/>
      <c r="C454" s="3263"/>
      <c r="D454" s="3268"/>
      <c r="E454" s="3264">
        <f t="shared" si="239"/>
        <v>0</v>
      </c>
      <c r="F454" s="3265"/>
      <c r="G454" s="3266">
        <f t="shared" si="240"/>
        <v>0</v>
      </c>
      <c r="H454" s="3267">
        <f t="shared" si="241"/>
        <v>0</v>
      </c>
      <c r="I454" s="3275"/>
      <c r="J454" s="3275"/>
      <c r="K454" s="3275"/>
      <c r="L454" s="3275"/>
      <c r="M454" s="3275"/>
      <c r="N454" s="3275"/>
      <c r="O454" s="3275"/>
      <c r="P454" s="3275"/>
      <c r="Q454" s="3275"/>
      <c r="R454" s="3275"/>
      <c r="S454" s="3275"/>
      <c r="T454" s="3275"/>
      <c r="U454" s="3275"/>
      <c r="V454" s="3275"/>
      <c r="W454" s="3275"/>
      <c r="X454" s="3275"/>
      <c r="Y454" s="3275"/>
      <c r="Z454" s="3275"/>
      <c r="AA454" s="3275"/>
      <c r="AB454" s="3275"/>
      <c r="AC454" s="3264">
        <f t="shared" si="242"/>
        <v>0</v>
      </c>
      <c r="AD454" s="3285"/>
      <c r="AE454" s="3285"/>
      <c r="AF454" s="3285"/>
      <c r="AG454" s="3285"/>
      <c r="AH454" s="3285"/>
      <c r="AI454" s="3285"/>
      <c r="AJ454" s="3285"/>
      <c r="AK454" s="3285"/>
      <c r="AL454" s="3285"/>
      <c r="AM454" s="3285"/>
      <c r="AN454" s="3285"/>
      <c r="AO454" s="3285"/>
      <c r="AP454" s="3285"/>
      <c r="AQ454" s="3285"/>
      <c r="AR454" s="3285"/>
      <c r="AS454" s="3285"/>
      <c r="AT454" s="3295"/>
      <c r="AU454" s="3296"/>
      <c r="AV454" s="830">
        <f t="shared" si="243"/>
        <v>0</v>
      </c>
      <c r="AW454" s="830">
        <f t="shared" si="244"/>
        <v>0</v>
      </c>
      <c r="AX454" s="830">
        <f t="shared" si="245"/>
        <v>0</v>
      </c>
      <c r="AY454" s="3310">
        <f t="shared" si="246"/>
        <v>0</v>
      </c>
      <c r="AZ454" s="3264">
        <f t="shared" si="247"/>
        <v>0</v>
      </c>
      <c r="BA454" s="3264">
        <f t="shared" si="248"/>
        <v>0</v>
      </c>
      <c r="BB454" s="3264">
        <f t="shared" si="249"/>
        <v>0</v>
      </c>
      <c r="BC454" s="3264">
        <f t="shared" si="250"/>
        <v>0</v>
      </c>
      <c r="BD454" s="3264">
        <f t="shared" si="251"/>
        <v>0</v>
      </c>
      <c r="BE454" s="3264">
        <f t="shared" si="252"/>
        <v>0</v>
      </c>
      <c r="BF454" s="3264">
        <f t="shared" si="253"/>
        <v>0</v>
      </c>
      <c r="BG454" s="3264">
        <f t="shared" si="254"/>
        <v>0</v>
      </c>
      <c r="BH454" s="3264">
        <f t="shared" si="255"/>
        <v>0</v>
      </c>
      <c r="BI454" s="3264">
        <f t="shared" si="256"/>
        <v>0</v>
      </c>
      <c r="BJ454" s="3264">
        <f t="shared" si="257"/>
        <v>0</v>
      </c>
      <c r="BK454" s="3264">
        <f t="shared" si="258"/>
        <v>0</v>
      </c>
      <c r="BL454" s="3264">
        <f t="shared" si="259"/>
        <v>0</v>
      </c>
      <c r="BM454" s="3264">
        <f t="shared" si="260"/>
        <v>0</v>
      </c>
      <c r="BN454" s="3264">
        <f t="shared" si="261"/>
        <v>0</v>
      </c>
      <c r="BO454" s="3264">
        <f t="shared" si="262"/>
        <v>0</v>
      </c>
      <c r="BP454" s="3264">
        <f t="shared" si="263"/>
        <v>0</v>
      </c>
      <c r="BQ454" s="3264">
        <f t="shared" si="264"/>
        <v>0</v>
      </c>
      <c r="BR454" s="3264">
        <f t="shared" si="265"/>
        <v>0</v>
      </c>
      <c r="BS454" s="3264">
        <f t="shared" si="266"/>
        <v>0</v>
      </c>
      <c r="BT454" s="3317">
        <f t="shared" si="267"/>
        <v>0</v>
      </c>
    </row>
    <row r="455" spans="1:72">
      <c r="A455" s="3262"/>
      <c r="B455" s="3263"/>
      <c r="C455" s="3263"/>
      <c r="D455" s="3268"/>
      <c r="E455" s="3264">
        <f t="shared" si="239"/>
        <v>0</v>
      </c>
      <c r="F455" s="3265"/>
      <c r="G455" s="3266">
        <f t="shared" si="240"/>
        <v>0</v>
      </c>
      <c r="H455" s="3267">
        <f t="shared" si="241"/>
        <v>0</v>
      </c>
      <c r="I455" s="3275"/>
      <c r="J455" s="3275"/>
      <c r="K455" s="3275"/>
      <c r="L455" s="3275"/>
      <c r="M455" s="3275"/>
      <c r="N455" s="3275"/>
      <c r="O455" s="3275"/>
      <c r="P455" s="3275"/>
      <c r="Q455" s="3275"/>
      <c r="R455" s="3275"/>
      <c r="S455" s="3275"/>
      <c r="T455" s="3275"/>
      <c r="U455" s="3275"/>
      <c r="V455" s="3275"/>
      <c r="W455" s="3275"/>
      <c r="X455" s="3275"/>
      <c r="Y455" s="3275"/>
      <c r="Z455" s="3275"/>
      <c r="AA455" s="3275"/>
      <c r="AB455" s="3275"/>
      <c r="AC455" s="3264">
        <f t="shared" si="242"/>
        <v>0</v>
      </c>
      <c r="AD455" s="3285"/>
      <c r="AE455" s="3285"/>
      <c r="AF455" s="3285"/>
      <c r="AG455" s="3285"/>
      <c r="AH455" s="3285"/>
      <c r="AI455" s="3285"/>
      <c r="AJ455" s="3285"/>
      <c r="AK455" s="3285"/>
      <c r="AL455" s="3285"/>
      <c r="AM455" s="3285"/>
      <c r="AN455" s="3285"/>
      <c r="AO455" s="3285"/>
      <c r="AP455" s="3285"/>
      <c r="AQ455" s="3285"/>
      <c r="AR455" s="3285"/>
      <c r="AS455" s="3285"/>
      <c r="AT455" s="3295"/>
      <c r="AU455" s="3296"/>
      <c r="AV455" s="830">
        <f t="shared" si="243"/>
        <v>0</v>
      </c>
      <c r="AW455" s="830">
        <f t="shared" si="244"/>
        <v>0</v>
      </c>
      <c r="AX455" s="830">
        <f t="shared" si="245"/>
        <v>0</v>
      </c>
      <c r="AY455" s="3310">
        <f t="shared" si="246"/>
        <v>0</v>
      </c>
      <c r="AZ455" s="3264">
        <f t="shared" si="247"/>
        <v>0</v>
      </c>
      <c r="BA455" s="3264">
        <f t="shared" si="248"/>
        <v>0</v>
      </c>
      <c r="BB455" s="3264">
        <f t="shared" si="249"/>
        <v>0</v>
      </c>
      <c r="BC455" s="3264">
        <f t="shared" si="250"/>
        <v>0</v>
      </c>
      <c r="BD455" s="3264">
        <f t="shared" si="251"/>
        <v>0</v>
      </c>
      <c r="BE455" s="3264">
        <f t="shared" si="252"/>
        <v>0</v>
      </c>
      <c r="BF455" s="3264">
        <f t="shared" si="253"/>
        <v>0</v>
      </c>
      <c r="BG455" s="3264">
        <f t="shared" si="254"/>
        <v>0</v>
      </c>
      <c r="BH455" s="3264">
        <f t="shared" si="255"/>
        <v>0</v>
      </c>
      <c r="BI455" s="3264">
        <f t="shared" si="256"/>
        <v>0</v>
      </c>
      <c r="BJ455" s="3264">
        <f t="shared" si="257"/>
        <v>0</v>
      </c>
      <c r="BK455" s="3264">
        <f t="shared" si="258"/>
        <v>0</v>
      </c>
      <c r="BL455" s="3264">
        <f t="shared" si="259"/>
        <v>0</v>
      </c>
      <c r="BM455" s="3264">
        <f t="shared" si="260"/>
        <v>0</v>
      </c>
      <c r="BN455" s="3264">
        <f t="shared" si="261"/>
        <v>0</v>
      </c>
      <c r="BO455" s="3264">
        <f t="shared" si="262"/>
        <v>0</v>
      </c>
      <c r="BP455" s="3264">
        <f t="shared" si="263"/>
        <v>0</v>
      </c>
      <c r="BQ455" s="3264">
        <f t="shared" si="264"/>
        <v>0</v>
      </c>
      <c r="BR455" s="3264">
        <f t="shared" si="265"/>
        <v>0</v>
      </c>
      <c r="BS455" s="3264">
        <f t="shared" si="266"/>
        <v>0</v>
      </c>
      <c r="BT455" s="3317">
        <f t="shared" si="267"/>
        <v>0</v>
      </c>
    </row>
    <row r="456" spans="1:72">
      <c r="A456" s="3262"/>
      <c r="B456" s="3263"/>
      <c r="C456" s="3263"/>
      <c r="D456" s="3268"/>
      <c r="E456" s="3264">
        <f t="shared" si="239"/>
        <v>0</v>
      </c>
      <c r="F456" s="3265"/>
      <c r="G456" s="3266">
        <f t="shared" si="240"/>
        <v>0</v>
      </c>
      <c r="H456" s="3267">
        <f t="shared" si="241"/>
        <v>0</v>
      </c>
      <c r="I456" s="3275"/>
      <c r="J456" s="3275"/>
      <c r="K456" s="3275"/>
      <c r="L456" s="3275"/>
      <c r="M456" s="3275"/>
      <c r="N456" s="3275"/>
      <c r="O456" s="3275"/>
      <c r="P456" s="3275"/>
      <c r="Q456" s="3275"/>
      <c r="R456" s="3275"/>
      <c r="S456" s="3275"/>
      <c r="T456" s="3275"/>
      <c r="U456" s="3275"/>
      <c r="V456" s="3275"/>
      <c r="W456" s="3275"/>
      <c r="X456" s="3275"/>
      <c r="Y456" s="3275"/>
      <c r="Z456" s="3275"/>
      <c r="AA456" s="3275"/>
      <c r="AB456" s="3275"/>
      <c r="AC456" s="3264">
        <f t="shared" si="242"/>
        <v>0</v>
      </c>
      <c r="AD456" s="3285"/>
      <c r="AE456" s="3285"/>
      <c r="AF456" s="3285"/>
      <c r="AG456" s="3285"/>
      <c r="AH456" s="3285"/>
      <c r="AI456" s="3285"/>
      <c r="AJ456" s="3285"/>
      <c r="AK456" s="3285"/>
      <c r="AL456" s="3285"/>
      <c r="AM456" s="3285"/>
      <c r="AN456" s="3285"/>
      <c r="AO456" s="3285"/>
      <c r="AP456" s="3285"/>
      <c r="AQ456" s="3285"/>
      <c r="AR456" s="3285"/>
      <c r="AS456" s="3285"/>
      <c r="AT456" s="3295"/>
      <c r="AU456" s="3296"/>
      <c r="AV456" s="830">
        <f t="shared" si="243"/>
        <v>0</v>
      </c>
      <c r="AW456" s="830">
        <f t="shared" si="244"/>
        <v>0</v>
      </c>
      <c r="AX456" s="830">
        <f t="shared" si="245"/>
        <v>0</v>
      </c>
      <c r="AY456" s="3310">
        <f t="shared" si="246"/>
        <v>0</v>
      </c>
      <c r="AZ456" s="3264">
        <f t="shared" si="247"/>
        <v>0</v>
      </c>
      <c r="BA456" s="3264">
        <f t="shared" si="248"/>
        <v>0</v>
      </c>
      <c r="BB456" s="3264">
        <f t="shared" si="249"/>
        <v>0</v>
      </c>
      <c r="BC456" s="3264">
        <f t="shared" si="250"/>
        <v>0</v>
      </c>
      <c r="BD456" s="3264">
        <f t="shared" si="251"/>
        <v>0</v>
      </c>
      <c r="BE456" s="3264">
        <f t="shared" si="252"/>
        <v>0</v>
      </c>
      <c r="BF456" s="3264">
        <f t="shared" si="253"/>
        <v>0</v>
      </c>
      <c r="BG456" s="3264">
        <f t="shared" si="254"/>
        <v>0</v>
      </c>
      <c r="BH456" s="3264">
        <f t="shared" si="255"/>
        <v>0</v>
      </c>
      <c r="BI456" s="3264">
        <f t="shared" si="256"/>
        <v>0</v>
      </c>
      <c r="BJ456" s="3264">
        <f t="shared" si="257"/>
        <v>0</v>
      </c>
      <c r="BK456" s="3264">
        <f t="shared" si="258"/>
        <v>0</v>
      </c>
      <c r="BL456" s="3264">
        <f t="shared" si="259"/>
        <v>0</v>
      </c>
      <c r="BM456" s="3264">
        <f t="shared" si="260"/>
        <v>0</v>
      </c>
      <c r="BN456" s="3264">
        <f t="shared" si="261"/>
        <v>0</v>
      </c>
      <c r="BO456" s="3264">
        <f t="shared" si="262"/>
        <v>0</v>
      </c>
      <c r="BP456" s="3264">
        <f t="shared" si="263"/>
        <v>0</v>
      </c>
      <c r="BQ456" s="3264">
        <f t="shared" si="264"/>
        <v>0</v>
      </c>
      <c r="BR456" s="3264">
        <f t="shared" si="265"/>
        <v>0</v>
      </c>
      <c r="BS456" s="3264">
        <f t="shared" si="266"/>
        <v>0</v>
      </c>
      <c r="BT456" s="3317">
        <f t="shared" si="267"/>
        <v>0</v>
      </c>
    </row>
    <row r="457" spans="1:72">
      <c r="A457" s="3262"/>
      <c r="B457" s="3263"/>
      <c r="C457" s="3263"/>
      <c r="D457" s="3268"/>
      <c r="E457" s="3264">
        <f t="shared" si="239"/>
        <v>0</v>
      </c>
      <c r="F457" s="3265"/>
      <c r="G457" s="3266">
        <f t="shared" si="240"/>
        <v>0</v>
      </c>
      <c r="H457" s="3267">
        <f t="shared" si="241"/>
        <v>0</v>
      </c>
      <c r="I457" s="3275"/>
      <c r="J457" s="3275"/>
      <c r="K457" s="3275"/>
      <c r="L457" s="3275"/>
      <c r="M457" s="3275"/>
      <c r="N457" s="3275"/>
      <c r="O457" s="3275"/>
      <c r="P457" s="3275"/>
      <c r="Q457" s="3275"/>
      <c r="R457" s="3275"/>
      <c r="S457" s="3275"/>
      <c r="T457" s="3275"/>
      <c r="U457" s="3275"/>
      <c r="V457" s="3275"/>
      <c r="W457" s="3275"/>
      <c r="X457" s="3275"/>
      <c r="Y457" s="3275"/>
      <c r="Z457" s="3275"/>
      <c r="AA457" s="3275"/>
      <c r="AB457" s="3275"/>
      <c r="AC457" s="3264">
        <f t="shared" si="242"/>
        <v>0</v>
      </c>
      <c r="AD457" s="3285"/>
      <c r="AE457" s="3285"/>
      <c r="AF457" s="3285"/>
      <c r="AG457" s="3285"/>
      <c r="AH457" s="3285"/>
      <c r="AI457" s="3285"/>
      <c r="AJ457" s="3285"/>
      <c r="AK457" s="3285"/>
      <c r="AL457" s="3285"/>
      <c r="AM457" s="3285"/>
      <c r="AN457" s="3285"/>
      <c r="AO457" s="3285"/>
      <c r="AP457" s="3285"/>
      <c r="AQ457" s="3285"/>
      <c r="AR457" s="3285"/>
      <c r="AS457" s="3285"/>
      <c r="AT457" s="3295"/>
      <c r="AU457" s="3296"/>
      <c r="AV457" s="830">
        <f t="shared" si="243"/>
        <v>0</v>
      </c>
      <c r="AW457" s="830">
        <f t="shared" si="244"/>
        <v>0</v>
      </c>
      <c r="AX457" s="830">
        <f t="shared" si="245"/>
        <v>0</v>
      </c>
      <c r="AY457" s="3310">
        <f t="shared" si="246"/>
        <v>0</v>
      </c>
      <c r="AZ457" s="3264">
        <f t="shared" si="247"/>
        <v>0</v>
      </c>
      <c r="BA457" s="3264">
        <f t="shared" si="248"/>
        <v>0</v>
      </c>
      <c r="BB457" s="3264">
        <f t="shared" si="249"/>
        <v>0</v>
      </c>
      <c r="BC457" s="3264">
        <f t="shared" si="250"/>
        <v>0</v>
      </c>
      <c r="BD457" s="3264">
        <f t="shared" si="251"/>
        <v>0</v>
      </c>
      <c r="BE457" s="3264">
        <f t="shared" si="252"/>
        <v>0</v>
      </c>
      <c r="BF457" s="3264">
        <f t="shared" si="253"/>
        <v>0</v>
      </c>
      <c r="BG457" s="3264">
        <f t="shared" si="254"/>
        <v>0</v>
      </c>
      <c r="BH457" s="3264">
        <f t="shared" si="255"/>
        <v>0</v>
      </c>
      <c r="BI457" s="3264">
        <f t="shared" si="256"/>
        <v>0</v>
      </c>
      <c r="BJ457" s="3264">
        <f t="shared" si="257"/>
        <v>0</v>
      </c>
      <c r="BK457" s="3264">
        <f t="shared" si="258"/>
        <v>0</v>
      </c>
      <c r="BL457" s="3264">
        <f t="shared" si="259"/>
        <v>0</v>
      </c>
      <c r="BM457" s="3264">
        <f t="shared" si="260"/>
        <v>0</v>
      </c>
      <c r="BN457" s="3264">
        <f t="shared" si="261"/>
        <v>0</v>
      </c>
      <c r="BO457" s="3264">
        <f t="shared" si="262"/>
        <v>0</v>
      </c>
      <c r="BP457" s="3264">
        <f t="shared" si="263"/>
        <v>0</v>
      </c>
      <c r="BQ457" s="3264">
        <f t="shared" si="264"/>
        <v>0</v>
      </c>
      <c r="BR457" s="3264">
        <f t="shared" si="265"/>
        <v>0</v>
      </c>
      <c r="BS457" s="3264">
        <f t="shared" si="266"/>
        <v>0</v>
      </c>
      <c r="BT457" s="3317">
        <f t="shared" si="267"/>
        <v>0</v>
      </c>
    </row>
    <row r="458" spans="1:72">
      <c r="A458" s="3262"/>
      <c r="B458" s="3263"/>
      <c r="C458" s="3263"/>
      <c r="D458" s="3268"/>
      <c r="E458" s="3264">
        <f t="shared" si="239"/>
        <v>0</v>
      </c>
      <c r="F458" s="3265"/>
      <c r="G458" s="3266">
        <f t="shared" si="240"/>
        <v>0</v>
      </c>
      <c r="H458" s="3267">
        <f t="shared" si="241"/>
        <v>0</v>
      </c>
      <c r="I458" s="3275"/>
      <c r="J458" s="3275"/>
      <c r="K458" s="3275"/>
      <c r="L458" s="3275"/>
      <c r="M458" s="3275"/>
      <c r="N458" s="3275"/>
      <c r="O458" s="3275"/>
      <c r="P458" s="3275"/>
      <c r="Q458" s="3275"/>
      <c r="R458" s="3275"/>
      <c r="S458" s="3275"/>
      <c r="T458" s="3275"/>
      <c r="U458" s="3275"/>
      <c r="V458" s="3275"/>
      <c r="W458" s="3275"/>
      <c r="X458" s="3275"/>
      <c r="Y458" s="3275"/>
      <c r="Z458" s="3275"/>
      <c r="AA458" s="3275"/>
      <c r="AB458" s="3275"/>
      <c r="AC458" s="3264">
        <f t="shared" si="242"/>
        <v>0</v>
      </c>
      <c r="AD458" s="3285"/>
      <c r="AE458" s="3285"/>
      <c r="AF458" s="3285"/>
      <c r="AG458" s="3285"/>
      <c r="AH458" s="3285"/>
      <c r="AI458" s="3285"/>
      <c r="AJ458" s="3285"/>
      <c r="AK458" s="3285"/>
      <c r="AL458" s="3285"/>
      <c r="AM458" s="3285"/>
      <c r="AN458" s="3285"/>
      <c r="AO458" s="3285"/>
      <c r="AP458" s="3285"/>
      <c r="AQ458" s="3285"/>
      <c r="AR458" s="3285"/>
      <c r="AS458" s="3285"/>
      <c r="AT458" s="3295"/>
      <c r="AU458" s="3296"/>
      <c r="AV458" s="830">
        <f t="shared" si="243"/>
        <v>0</v>
      </c>
      <c r="AW458" s="830">
        <f t="shared" si="244"/>
        <v>0</v>
      </c>
      <c r="AX458" s="830">
        <f t="shared" si="245"/>
        <v>0</v>
      </c>
      <c r="AY458" s="3310">
        <f t="shared" si="246"/>
        <v>0</v>
      </c>
      <c r="AZ458" s="3264">
        <f t="shared" si="247"/>
        <v>0</v>
      </c>
      <c r="BA458" s="3264">
        <f t="shared" si="248"/>
        <v>0</v>
      </c>
      <c r="BB458" s="3264">
        <f t="shared" si="249"/>
        <v>0</v>
      </c>
      <c r="BC458" s="3264">
        <f t="shared" si="250"/>
        <v>0</v>
      </c>
      <c r="BD458" s="3264">
        <f t="shared" si="251"/>
        <v>0</v>
      </c>
      <c r="BE458" s="3264">
        <f t="shared" si="252"/>
        <v>0</v>
      </c>
      <c r="BF458" s="3264">
        <f t="shared" si="253"/>
        <v>0</v>
      </c>
      <c r="BG458" s="3264">
        <f t="shared" si="254"/>
        <v>0</v>
      </c>
      <c r="BH458" s="3264">
        <f t="shared" si="255"/>
        <v>0</v>
      </c>
      <c r="BI458" s="3264">
        <f t="shared" si="256"/>
        <v>0</v>
      </c>
      <c r="BJ458" s="3264">
        <f t="shared" si="257"/>
        <v>0</v>
      </c>
      <c r="BK458" s="3264">
        <f t="shared" si="258"/>
        <v>0</v>
      </c>
      <c r="BL458" s="3264">
        <f t="shared" si="259"/>
        <v>0</v>
      </c>
      <c r="BM458" s="3264">
        <f t="shared" si="260"/>
        <v>0</v>
      </c>
      <c r="BN458" s="3264">
        <f t="shared" si="261"/>
        <v>0</v>
      </c>
      <c r="BO458" s="3264">
        <f t="shared" si="262"/>
        <v>0</v>
      </c>
      <c r="BP458" s="3264">
        <f t="shared" si="263"/>
        <v>0</v>
      </c>
      <c r="BQ458" s="3264">
        <f t="shared" si="264"/>
        <v>0</v>
      </c>
      <c r="BR458" s="3264">
        <f t="shared" si="265"/>
        <v>0</v>
      </c>
      <c r="BS458" s="3264">
        <f t="shared" si="266"/>
        <v>0</v>
      </c>
      <c r="BT458" s="3317">
        <f t="shared" si="267"/>
        <v>0</v>
      </c>
    </row>
    <row r="459" spans="1:72">
      <c r="A459" s="3262"/>
      <c r="B459" s="3263"/>
      <c r="C459" s="3263"/>
      <c r="D459" s="3268"/>
      <c r="E459" s="3264">
        <f t="shared" si="239"/>
        <v>0</v>
      </c>
      <c r="F459" s="3265"/>
      <c r="G459" s="3266">
        <f t="shared" si="240"/>
        <v>0</v>
      </c>
      <c r="H459" s="3267">
        <f t="shared" si="241"/>
        <v>0</v>
      </c>
      <c r="I459" s="3275"/>
      <c r="J459" s="3275"/>
      <c r="K459" s="3275"/>
      <c r="L459" s="3275"/>
      <c r="M459" s="3275"/>
      <c r="N459" s="3275"/>
      <c r="O459" s="3275"/>
      <c r="P459" s="3275"/>
      <c r="Q459" s="3275"/>
      <c r="R459" s="3275"/>
      <c r="S459" s="3275"/>
      <c r="T459" s="3275"/>
      <c r="U459" s="3275"/>
      <c r="V459" s="3275"/>
      <c r="W459" s="3275"/>
      <c r="X459" s="3275"/>
      <c r="Y459" s="3275"/>
      <c r="Z459" s="3275"/>
      <c r="AA459" s="3275"/>
      <c r="AB459" s="3275"/>
      <c r="AC459" s="3264">
        <f t="shared" si="242"/>
        <v>0</v>
      </c>
      <c r="AD459" s="3285"/>
      <c r="AE459" s="3285"/>
      <c r="AF459" s="3285"/>
      <c r="AG459" s="3285"/>
      <c r="AH459" s="3285"/>
      <c r="AI459" s="3285"/>
      <c r="AJ459" s="3285"/>
      <c r="AK459" s="3285"/>
      <c r="AL459" s="3285"/>
      <c r="AM459" s="3285"/>
      <c r="AN459" s="3285"/>
      <c r="AO459" s="3285"/>
      <c r="AP459" s="3285"/>
      <c r="AQ459" s="3285"/>
      <c r="AR459" s="3285"/>
      <c r="AS459" s="3285"/>
      <c r="AT459" s="3295"/>
      <c r="AU459" s="3296"/>
      <c r="AV459" s="830">
        <f t="shared" si="243"/>
        <v>0</v>
      </c>
      <c r="AW459" s="830">
        <f t="shared" si="244"/>
        <v>0</v>
      </c>
      <c r="AX459" s="830">
        <f t="shared" si="245"/>
        <v>0</v>
      </c>
      <c r="AY459" s="3310">
        <f t="shared" si="246"/>
        <v>0</v>
      </c>
      <c r="AZ459" s="3264">
        <f t="shared" si="247"/>
        <v>0</v>
      </c>
      <c r="BA459" s="3264">
        <f t="shared" si="248"/>
        <v>0</v>
      </c>
      <c r="BB459" s="3264">
        <f t="shared" si="249"/>
        <v>0</v>
      </c>
      <c r="BC459" s="3264">
        <f t="shared" si="250"/>
        <v>0</v>
      </c>
      <c r="BD459" s="3264">
        <f t="shared" si="251"/>
        <v>0</v>
      </c>
      <c r="BE459" s="3264">
        <f t="shared" si="252"/>
        <v>0</v>
      </c>
      <c r="BF459" s="3264">
        <f t="shared" si="253"/>
        <v>0</v>
      </c>
      <c r="BG459" s="3264">
        <f t="shared" si="254"/>
        <v>0</v>
      </c>
      <c r="BH459" s="3264">
        <f t="shared" si="255"/>
        <v>0</v>
      </c>
      <c r="BI459" s="3264">
        <f t="shared" si="256"/>
        <v>0</v>
      </c>
      <c r="BJ459" s="3264">
        <f t="shared" si="257"/>
        <v>0</v>
      </c>
      <c r="BK459" s="3264">
        <f t="shared" si="258"/>
        <v>0</v>
      </c>
      <c r="BL459" s="3264">
        <f t="shared" si="259"/>
        <v>0</v>
      </c>
      <c r="BM459" s="3264">
        <f t="shared" si="260"/>
        <v>0</v>
      </c>
      <c r="BN459" s="3264">
        <f t="shared" si="261"/>
        <v>0</v>
      </c>
      <c r="BO459" s="3264">
        <f t="shared" si="262"/>
        <v>0</v>
      </c>
      <c r="BP459" s="3264">
        <f t="shared" si="263"/>
        <v>0</v>
      </c>
      <c r="BQ459" s="3264">
        <f t="shared" si="264"/>
        <v>0</v>
      </c>
      <c r="BR459" s="3264">
        <f t="shared" si="265"/>
        <v>0</v>
      </c>
      <c r="BS459" s="3264">
        <f t="shared" si="266"/>
        <v>0</v>
      </c>
      <c r="BT459" s="3317">
        <f t="shared" si="267"/>
        <v>0</v>
      </c>
    </row>
    <row r="460" spans="1:72">
      <c r="A460" s="3262"/>
      <c r="B460" s="3263"/>
      <c r="C460" s="3263"/>
      <c r="D460" s="3268"/>
      <c r="E460" s="3264">
        <f t="shared" si="239"/>
        <v>0</v>
      </c>
      <c r="F460" s="3265"/>
      <c r="G460" s="3266">
        <f t="shared" si="240"/>
        <v>0</v>
      </c>
      <c r="H460" s="3267">
        <f t="shared" si="241"/>
        <v>0</v>
      </c>
      <c r="I460" s="3275"/>
      <c r="J460" s="3275"/>
      <c r="K460" s="3275"/>
      <c r="L460" s="3275"/>
      <c r="M460" s="3275"/>
      <c r="N460" s="3275"/>
      <c r="O460" s="3275"/>
      <c r="P460" s="3275"/>
      <c r="Q460" s="3275"/>
      <c r="R460" s="3275"/>
      <c r="S460" s="3275"/>
      <c r="T460" s="3275"/>
      <c r="U460" s="3275"/>
      <c r="V460" s="3275"/>
      <c r="W460" s="3275"/>
      <c r="X460" s="3275"/>
      <c r="Y460" s="3275"/>
      <c r="Z460" s="3275"/>
      <c r="AA460" s="3275"/>
      <c r="AB460" s="3275"/>
      <c r="AC460" s="3264">
        <f t="shared" si="242"/>
        <v>0</v>
      </c>
      <c r="AD460" s="3285"/>
      <c r="AE460" s="3285"/>
      <c r="AF460" s="3285"/>
      <c r="AG460" s="3285"/>
      <c r="AH460" s="3285"/>
      <c r="AI460" s="3285"/>
      <c r="AJ460" s="3285"/>
      <c r="AK460" s="3285"/>
      <c r="AL460" s="3285"/>
      <c r="AM460" s="3285"/>
      <c r="AN460" s="3285"/>
      <c r="AO460" s="3285"/>
      <c r="AP460" s="3285"/>
      <c r="AQ460" s="3285"/>
      <c r="AR460" s="3285"/>
      <c r="AS460" s="3285"/>
      <c r="AT460" s="3295"/>
      <c r="AU460" s="3296"/>
      <c r="AV460" s="830">
        <f t="shared" si="243"/>
        <v>0</v>
      </c>
      <c r="AW460" s="830">
        <f t="shared" si="244"/>
        <v>0</v>
      </c>
      <c r="AX460" s="830">
        <f t="shared" si="245"/>
        <v>0</v>
      </c>
      <c r="AY460" s="3310">
        <f t="shared" si="246"/>
        <v>0</v>
      </c>
      <c r="AZ460" s="3264">
        <f t="shared" si="247"/>
        <v>0</v>
      </c>
      <c r="BA460" s="3264">
        <f t="shared" si="248"/>
        <v>0</v>
      </c>
      <c r="BB460" s="3264">
        <f t="shared" si="249"/>
        <v>0</v>
      </c>
      <c r="BC460" s="3264">
        <f t="shared" si="250"/>
        <v>0</v>
      </c>
      <c r="BD460" s="3264">
        <f t="shared" si="251"/>
        <v>0</v>
      </c>
      <c r="BE460" s="3264">
        <f t="shared" si="252"/>
        <v>0</v>
      </c>
      <c r="BF460" s="3264">
        <f t="shared" si="253"/>
        <v>0</v>
      </c>
      <c r="BG460" s="3264">
        <f t="shared" si="254"/>
        <v>0</v>
      </c>
      <c r="BH460" s="3264">
        <f t="shared" si="255"/>
        <v>0</v>
      </c>
      <c r="BI460" s="3264">
        <f t="shared" si="256"/>
        <v>0</v>
      </c>
      <c r="BJ460" s="3264">
        <f t="shared" si="257"/>
        <v>0</v>
      </c>
      <c r="BK460" s="3264">
        <f t="shared" si="258"/>
        <v>0</v>
      </c>
      <c r="BL460" s="3264">
        <f t="shared" si="259"/>
        <v>0</v>
      </c>
      <c r="BM460" s="3264">
        <f t="shared" si="260"/>
        <v>0</v>
      </c>
      <c r="BN460" s="3264">
        <f t="shared" si="261"/>
        <v>0</v>
      </c>
      <c r="BO460" s="3264">
        <f t="shared" si="262"/>
        <v>0</v>
      </c>
      <c r="BP460" s="3264">
        <f t="shared" si="263"/>
        <v>0</v>
      </c>
      <c r="BQ460" s="3264">
        <f t="shared" si="264"/>
        <v>0</v>
      </c>
      <c r="BR460" s="3264">
        <f t="shared" si="265"/>
        <v>0</v>
      </c>
      <c r="BS460" s="3264">
        <f t="shared" si="266"/>
        <v>0</v>
      </c>
      <c r="BT460" s="3317">
        <f t="shared" si="267"/>
        <v>0</v>
      </c>
    </row>
    <row r="461" spans="1:72">
      <c r="A461" s="3262"/>
      <c r="B461" s="3263"/>
      <c r="C461" s="3263"/>
      <c r="D461" s="3268"/>
      <c r="E461" s="3264">
        <f t="shared" si="239"/>
        <v>0</v>
      </c>
      <c r="F461" s="3265"/>
      <c r="G461" s="3266">
        <f t="shared" si="240"/>
        <v>0</v>
      </c>
      <c r="H461" s="3267">
        <f t="shared" si="241"/>
        <v>0</v>
      </c>
      <c r="I461" s="3275"/>
      <c r="J461" s="3275"/>
      <c r="K461" s="3275"/>
      <c r="L461" s="3275"/>
      <c r="M461" s="3275"/>
      <c r="N461" s="3275"/>
      <c r="O461" s="3275"/>
      <c r="P461" s="3275"/>
      <c r="Q461" s="3275"/>
      <c r="R461" s="3275"/>
      <c r="S461" s="3275"/>
      <c r="T461" s="3275"/>
      <c r="U461" s="3275"/>
      <c r="V461" s="3275"/>
      <c r="W461" s="3275"/>
      <c r="X461" s="3275"/>
      <c r="Y461" s="3275"/>
      <c r="Z461" s="3275"/>
      <c r="AA461" s="3275"/>
      <c r="AB461" s="3275"/>
      <c r="AC461" s="3264">
        <f t="shared" si="242"/>
        <v>0</v>
      </c>
      <c r="AD461" s="3285"/>
      <c r="AE461" s="3285"/>
      <c r="AF461" s="3285"/>
      <c r="AG461" s="3285"/>
      <c r="AH461" s="3285"/>
      <c r="AI461" s="3285"/>
      <c r="AJ461" s="3285"/>
      <c r="AK461" s="3285"/>
      <c r="AL461" s="3285"/>
      <c r="AM461" s="3285"/>
      <c r="AN461" s="3285"/>
      <c r="AO461" s="3285"/>
      <c r="AP461" s="3285"/>
      <c r="AQ461" s="3285"/>
      <c r="AR461" s="3285"/>
      <c r="AS461" s="3285"/>
      <c r="AT461" s="3295"/>
      <c r="AU461" s="3296"/>
      <c r="AV461" s="830">
        <f t="shared" si="243"/>
        <v>0</v>
      </c>
      <c r="AW461" s="830">
        <f t="shared" si="244"/>
        <v>0</v>
      </c>
      <c r="AX461" s="830">
        <f t="shared" si="245"/>
        <v>0</v>
      </c>
      <c r="AY461" s="3310">
        <f t="shared" si="246"/>
        <v>0</v>
      </c>
      <c r="AZ461" s="3264">
        <f t="shared" si="247"/>
        <v>0</v>
      </c>
      <c r="BA461" s="3264">
        <f t="shared" si="248"/>
        <v>0</v>
      </c>
      <c r="BB461" s="3264">
        <f t="shared" si="249"/>
        <v>0</v>
      </c>
      <c r="BC461" s="3264">
        <f t="shared" si="250"/>
        <v>0</v>
      </c>
      <c r="BD461" s="3264">
        <f t="shared" si="251"/>
        <v>0</v>
      </c>
      <c r="BE461" s="3264">
        <f t="shared" si="252"/>
        <v>0</v>
      </c>
      <c r="BF461" s="3264">
        <f t="shared" si="253"/>
        <v>0</v>
      </c>
      <c r="BG461" s="3264">
        <f t="shared" si="254"/>
        <v>0</v>
      </c>
      <c r="BH461" s="3264">
        <f t="shared" si="255"/>
        <v>0</v>
      </c>
      <c r="BI461" s="3264">
        <f t="shared" si="256"/>
        <v>0</v>
      </c>
      <c r="BJ461" s="3264">
        <f t="shared" si="257"/>
        <v>0</v>
      </c>
      <c r="BK461" s="3264">
        <f t="shared" si="258"/>
        <v>0</v>
      </c>
      <c r="BL461" s="3264">
        <f t="shared" si="259"/>
        <v>0</v>
      </c>
      <c r="BM461" s="3264">
        <f t="shared" si="260"/>
        <v>0</v>
      </c>
      <c r="BN461" s="3264">
        <f t="shared" si="261"/>
        <v>0</v>
      </c>
      <c r="BO461" s="3264">
        <f t="shared" si="262"/>
        <v>0</v>
      </c>
      <c r="BP461" s="3264">
        <f t="shared" si="263"/>
        <v>0</v>
      </c>
      <c r="BQ461" s="3264">
        <f t="shared" si="264"/>
        <v>0</v>
      </c>
      <c r="BR461" s="3264">
        <f t="shared" si="265"/>
        <v>0</v>
      </c>
      <c r="BS461" s="3264">
        <f t="shared" si="266"/>
        <v>0</v>
      </c>
      <c r="BT461" s="3317">
        <f t="shared" si="267"/>
        <v>0</v>
      </c>
    </row>
    <row r="462" spans="1:72">
      <c r="A462" s="3262"/>
      <c r="B462" s="3263"/>
      <c r="C462" s="3263"/>
      <c r="D462" s="3268"/>
      <c r="E462" s="3264">
        <f t="shared" si="239"/>
        <v>0</v>
      </c>
      <c r="F462" s="3265"/>
      <c r="G462" s="3266">
        <f t="shared" si="240"/>
        <v>0</v>
      </c>
      <c r="H462" s="3267">
        <f t="shared" si="241"/>
        <v>0</v>
      </c>
      <c r="I462" s="3275"/>
      <c r="J462" s="3275"/>
      <c r="K462" s="3275"/>
      <c r="L462" s="3275"/>
      <c r="M462" s="3275"/>
      <c r="N462" s="3275"/>
      <c r="O462" s="3275"/>
      <c r="P462" s="3275"/>
      <c r="Q462" s="3275"/>
      <c r="R462" s="3275"/>
      <c r="S462" s="3275"/>
      <c r="T462" s="3275"/>
      <c r="U462" s="3275"/>
      <c r="V462" s="3275"/>
      <c r="W462" s="3275"/>
      <c r="X462" s="3275"/>
      <c r="Y462" s="3275"/>
      <c r="Z462" s="3275"/>
      <c r="AA462" s="3275"/>
      <c r="AB462" s="3275"/>
      <c r="AC462" s="3264">
        <f t="shared" si="242"/>
        <v>0</v>
      </c>
      <c r="AD462" s="3285"/>
      <c r="AE462" s="3285"/>
      <c r="AF462" s="3285"/>
      <c r="AG462" s="3285"/>
      <c r="AH462" s="3285"/>
      <c r="AI462" s="3285"/>
      <c r="AJ462" s="3285"/>
      <c r="AK462" s="3285"/>
      <c r="AL462" s="3285"/>
      <c r="AM462" s="3285"/>
      <c r="AN462" s="3285"/>
      <c r="AO462" s="3285"/>
      <c r="AP462" s="3285"/>
      <c r="AQ462" s="3285"/>
      <c r="AR462" s="3285"/>
      <c r="AS462" s="3285"/>
      <c r="AT462" s="3295"/>
      <c r="AU462" s="3296"/>
      <c r="AV462" s="830">
        <f t="shared" si="243"/>
        <v>0</v>
      </c>
      <c r="AW462" s="830">
        <f t="shared" si="244"/>
        <v>0</v>
      </c>
      <c r="AX462" s="830">
        <f t="shared" si="245"/>
        <v>0</v>
      </c>
      <c r="AY462" s="3310">
        <f t="shared" si="246"/>
        <v>0</v>
      </c>
      <c r="AZ462" s="3264">
        <f t="shared" si="247"/>
        <v>0</v>
      </c>
      <c r="BA462" s="3264">
        <f t="shared" si="248"/>
        <v>0</v>
      </c>
      <c r="BB462" s="3264">
        <f t="shared" si="249"/>
        <v>0</v>
      </c>
      <c r="BC462" s="3264">
        <f t="shared" si="250"/>
        <v>0</v>
      </c>
      <c r="BD462" s="3264">
        <f t="shared" si="251"/>
        <v>0</v>
      </c>
      <c r="BE462" s="3264">
        <f t="shared" si="252"/>
        <v>0</v>
      </c>
      <c r="BF462" s="3264">
        <f t="shared" si="253"/>
        <v>0</v>
      </c>
      <c r="BG462" s="3264">
        <f t="shared" si="254"/>
        <v>0</v>
      </c>
      <c r="BH462" s="3264">
        <f t="shared" si="255"/>
        <v>0</v>
      </c>
      <c r="BI462" s="3264">
        <f t="shared" si="256"/>
        <v>0</v>
      </c>
      <c r="BJ462" s="3264">
        <f t="shared" si="257"/>
        <v>0</v>
      </c>
      <c r="BK462" s="3264">
        <f t="shared" si="258"/>
        <v>0</v>
      </c>
      <c r="BL462" s="3264">
        <f t="shared" si="259"/>
        <v>0</v>
      </c>
      <c r="BM462" s="3264">
        <f t="shared" si="260"/>
        <v>0</v>
      </c>
      <c r="BN462" s="3264">
        <f t="shared" si="261"/>
        <v>0</v>
      </c>
      <c r="BO462" s="3264">
        <f t="shared" si="262"/>
        <v>0</v>
      </c>
      <c r="BP462" s="3264">
        <f t="shared" si="263"/>
        <v>0</v>
      </c>
      <c r="BQ462" s="3264">
        <f t="shared" si="264"/>
        <v>0</v>
      </c>
      <c r="BR462" s="3264">
        <f t="shared" si="265"/>
        <v>0</v>
      </c>
      <c r="BS462" s="3264">
        <f t="shared" si="266"/>
        <v>0</v>
      </c>
      <c r="BT462" s="3317">
        <f t="shared" si="267"/>
        <v>0</v>
      </c>
    </row>
    <row r="463" spans="1:72">
      <c r="A463" s="3262"/>
      <c r="B463" s="3263"/>
      <c r="C463" s="3263"/>
      <c r="D463" s="3268"/>
      <c r="E463" s="3264">
        <f t="shared" si="239"/>
        <v>0</v>
      </c>
      <c r="F463" s="3265"/>
      <c r="G463" s="3266">
        <f t="shared" si="240"/>
        <v>0</v>
      </c>
      <c r="H463" s="3267">
        <f t="shared" si="241"/>
        <v>0</v>
      </c>
      <c r="I463" s="3275"/>
      <c r="J463" s="3275"/>
      <c r="K463" s="3275"/>
      <c r="L463" s="3275"/>
      <c r="M463" s="3275"/>
      <c r="N463" s="3275"/>
      <c r="O463" s="3275"/>
      <c r="P463" s="3275"/>
      <c r="Q463" s="3275"/>
      <c r="R463" s="3275"/>
      <c r="S463" s="3275"/>
      <c r="T463" s="3275"/>
      <c r="U463" s="3275"/>
      <c r="V463" s="3275"/>
      <c r="W463" s="3275"/>
      <c r="X463" s="3275"/>
      <c r="Y463" s="3275"/>
      <c r="Z463" s="3275"/>
      <c r="AA463" s="3275"/>
      <c r="AB463" s="3275"/>
      <c r="AC463" s="3264">
        <f t="shared" si="242"/>
        <v>0</v>
      </c>
      <c r="AD463" s="3285"/>
      <c r="AE463" s="3285"/>
      <c r="AF463" s="3285"/>
      <c r="AG463" s="3285"/>
      <c r="AH463" s="3285"/>
      <c r="AI463" s="3285"/>
      <c r="AJ463" s="3285"/>
      <c r="AK463" s="3285"/>
      <c r="AL463" s="3285"/>
      <c r="AM463" s="3285"/>
      <c r="AN463" s="3285"/>
      <c r="AO463" s="3285"/>
      <c r="AP463" s="3285"/>
      <c r="AQ463" s="3285"/>
      <c r="AR463" s="3285"/>
      <c r="AS463" s="3285"/>
      <c r="AT463" s="3295"/>
      <c r="AU463" s="3296"/>
      <c r="AV463" s="830">
        <f t="shared" si="243"/>
        <v>0</v>
      </c>
      <c r="AW463" s="830">
        <f t="shared" si="244"/>
        <v>0</v>
      </c>
      <c r="AX463" s="830">
        <f t="shared" si="245"/>
        <v>0</v>
      </c>
      <c r="AY463" s="3310">
        <f t="shared" si="246"/>
        <v>0</v>
      </c>
      <c r="AZ463" s="3264">
        <f t="shared" si="247"/>
        <v>0</v>
      </c>
      <c r="BA463" s="3264">
        <f t="shared" si="248"/>
        <v>0</v>
      </c>
      <c r="BB463" s="3264">
        <f t="shared" si="249"/>
        <v>0</v>
      </c>
      <c r="BC463" s="3264">
        <f t="shared" si="250"/>
        <v>0</v>
      </c>
      <c r="BD463" s="3264">
        <f t="shared" si="251"/>
        <v>0</v>
      </c>
      <c r="BE463" s="3264">
        <f t="shared" si="252"/>
        <v>0</v>
      </c>
      <c r="BF463" s="3264">
        <f t="shared" si="253"/>
        <v>0</v>
      </c>
      <c r="BG463" s="3264">
        <f t="shared" si="254"/>
        <v>0</v>
      </c>
      <c r="BH463" s="3264">
        <f t="shared" si="255"/>
        <v>0</v>
      </c>
      <c r="BI463" s="3264">
        <f t="shared" si="256"/>
        <v>0</v>
      </c>
      <c r="BJ463" s="3264">
        <f t="shared" si="257"/>
        <v>0</v>
      </c>
      <c r="BK463" s="3264">
        <f t="shared" si="258"/>
        <v>0</v>
      </c>
      <c r="BL463" s="3264">
        <f t="shared" si="259"/>
        <v>0</v>
      </c>
      <c r="BM463" s="3264">
        <f t="shared" si="260"/>
        <v>0</v>
      </c>
      <c r="BN463" s="3264">
        <f t="shared" si="261"/>
        <v>0</v>
      </c>
      <c r="BO463" s="3264">
        <f t="shared" si="262"/>
        <v>0</v>
      </c>
      <c r="BP463" s="3264">
        <f t="shared" si="263"/>
        <v>0</v>
      </c>
      <c r="BQ463" s="3264">
        <f t="shared" si="264"/>
        <v>0</v>
      </c>
      <c r="BR463" s="3264">
        <f t="shared" si="265"/>
        <v>0</v>
      </c>
      <c r="BS463" s="3264">
        <f t="shared" si="266"/>
        <v>0</v>
      </c>
      <c r="BT463" s="3317">
        <f t="shared" si="267"/>
        <v>0</v>
      </c>
    </row>
    <row r="464" spans="1:72">
      <c r="A464" s="3262"/>
      <c r="B464" s="3263"/>
      <c r="C464" s="3263"/>
      <c r="D464" s="3268"/>
      <c r="E464" s="3264">
        <f t="shared" si="239"/>
        <v>0</v>
      </c>
      <c r="F464" s="3265"/>
      <c r="G464" s="3266">
        <f t="shared" si="240"/>
        <v>0</v>
      </c>
      <c r="H464" s="3267">
        <f t="shared" si="241"/>
        <v>0</v>
      </c>
      <c r="I464" s="3275"/>
      <c r="J464" s="3275"/>
      <c r="K464" s="3275"/>
      <c r="L464" s="3275"/>
      <c r="M464" s="3275"/>
      <c r="N464" s="3275"/>
      <c r="O464" s="3275"/>
      <c r="P464" s="3275"/>
      <c r="Q464" s="3275"/>
      <c r="R464" s="3275"/>
      <c r="S464" s="3275"/>
      <c r="T464" s="3275"/>
      <c r="U464" s="3275"/>
      <c r="V464" s="3275"/>
      <c r="W464" s="3275"/>
      <c r="X464" s="3275"/>
      <c r="Y464" s="3275"/>
      <c r="Z464" s="3275"/>
      <c r="AA464" s="3275"/>
      <c r="AB464" s="3275"/>
      <c r="AC464" s="3264">
        <f t="shared" si="242"/>
        <v>0</v>
      </c>
      <c r="AD464" s="3285"/>
      <c r="AE464" s="3285"/>
      <c r="AF464" s="3285"/>
      <c r="AG464" s="3285"/>
      <c r="AH464" s="3285"/>
      <c r="AI464" s="3285"/>
      <c r="AJ464" s="3285"/>
      <c r="AK464" s="3285"/>
      <c r="AL464" s="3285"/>
      <c r="AM464" s="3285"/>
      <c r="AN464" s="3285"/>
      <c r="AO464" s="3285"/>
      <c r="AP464" s="3285"/>
      <c r="AQ464" s="3285"/>
      <c r="AR464" s="3285"/>
      <c r="AS464" s="3285"/>
      <c r="AT464" s="3295"/>
      <c r="AU464" s="3296"/>
      <c r="AV464" s="830">
        <f t="shared" si="243"/>
        <v>0</v>
      </c>
      <c r="AW464" s="830">
        <f t="shared" si="244"/>
        <v>0</v>
      </c>
      <c r="AX464" s="830">
        <f t="shared" si="245"/>
        <v>0</v>
      </c>
      <c r="AY464" s="3310">
        <f t="shared" si="246"/>
        <v>0</v>
      </c>
      <c r="AZ464" s="3264">
        <f t="shared" si="247"/>
        <v>0</v>
      </c>
      <c r="BA464" s="3264">
        <f t="shared" si="248"/>
        <v>0</v>
      </c>
      <c r="BB464" s="3264">
        <f t="shared" si="249"/>
        <v>0</v>
      </c>
      <c r="BC464" s="3264">
        <f t="shared" si="250"/>
        <v>0</v>
      </c>
      <c r="BD464" s="3264">
        <f t="shared" si="251"/>
        <v>0</v>
      </c>
      <c r="BE464" s="3264">
        <f t="shared" si="252"/>
        <v>0</v>
      </c>
      <c r="BF464" s="3264">
        <f t="shared" si="253"/>
        <v>0</v>
      </c>
      <c r="BG464" s="3264">
        <f t="shared" si="254"/>
        <v>0</v>
      </c>
      <c r="BH464" s="3264">
        <f t="shared" si="255"/>
        <v>0</v>
      </c>
      <c r="BI464" s="3264">
        <f t="shared" si="256"/>
        <v>0</v>
      </c>
      <c r="BJ464" s="3264">
        <f t="shared" si="257"/>
        <v>0</v>
      </c>
      <c r="BK464" s="3264">
        <f t="shared" si="258"/>
        <v>0</v>
      </c>
      <c r="BL464" s="3264">
        <f t="shared" si="259"/>
        <v>0</v>
      </c>
      <c r="BM464" s="3264">
        <f t="shared" si="260"/>
        <v>0</v>
      </c>
      <c r="BN464" s="3264">
        <f t="shared" si="261"/>
        <v>0</v>
      </c>
      <c r="BO464" s="3264">
        <f t="shared" si="262"/>
        <v>0</v>
      </c>
      <c r="BP464" s="3264">
        <f t="shared" si="263"/>
        <v>0</v>
      </c>
      <c r="BQ464" s="3264">
        <f t="shared" si="264"/>
        <v>0</v>
      </c>
      <c r="BR464" s="3264">
        <f t="shared" si="265"/>
        <v>0</v>
      </c>
      <c r="BS464" s="3264">
        <f t="shared" si="266"/>
        <v>0</v>
      </c>
      <c r="BT464" s="3317">
        <f t="shared" si="267"/>
        <v>0</v>
      </c>
    </row>
    <row r="465" spans="1:72">
      <c r="A465" s="3262"/>
      <c r="B465" s="3263"/>
      <c r="C465" s="3263"/>
      <c r="D465" s="3268"/>
      <c r="E465" s="3264">
        <f t="shared" si="239"/>
        <v>0</v>
      </c>
      <c r="F465" s="3265"/>
      <c r="G465" s="3266">
        <f t="shared" si="240"/>
        <v>0</v>
      </c>
      <c r="H465" s="3267">
        <f t="shared" si="241"/>
        <v>0</v>
      </c>
      <c r="I465" s="3275"/>
      <c r="J465" s="3275"/>
      <c r="K465" s="3275"/>
      <c r="L465" s="3275"/>
      <c r="M465" s="3275"/>
      <c r="N465" s="3275"/>
      <c r="O465" s="3275"/>
      <c r="P465" s="3275"/>
      <c r="Q465" s="3275"/>
      <c r="R465" s="3275"/>
      <c r="S465" s="3275"/>
      <c r="T465" s="3275"/>
      <c r="U465" s="3275"/>
      <c r="V465" s="3275"/>
      <c r="W465" s="3275"/>
      <c r="X465" s="3275"/>
      <c r="Y465" s="3275"/>
      <c r="Z465" s="3275"/>
      <c r="AA465" s="3275"/>
      <c r="AB465" s="3275"/>
      <c r="AC465" s="3264">
        <f t="shared" si="242"/>
        <v>0</v>
      </c>
      <c r="AD465" s="3285"/>
      <c r="AE465" s="3285"/>
      <c r="AF465" s="3285"/>
      <c r="AG465" s="3285"/>
      <c r="AH465" s="3285"/>
      <c r="AI465" s="3285"/>
      <c r="AJ465" s="3285"/>
      <c r="AK465" s="3285"/>
      <c r="AL465" s="3285"/>
      <c r="AM465" s="3285"/>
      <c r="AN465" s="3285"/>
      <c r="AO465" s="3285"/>
      <c r="AP465" s="3285"/>
      <c r="AQ465" s="3285"/>
      <c r="AR465" s="3285"/>
      <c r="AS465" s="3285"/>
      <c r="AT465" s="3295"/>
      <c r="AU465" s="3296"/>
      <c r="AV465" s="830">
        <f t="shared" si="243"/>
        <v>0</v>
      </c>
      <c r="AW465" s="830">
        <f t="shared" si="244"/>
        <v>0</v>
      </c>
      <c r="AX465" s="830">
        <f t="shared" si="245"/>
        <v>0</v>
      </c>
      <c r="AY465" s="3310">
        <f t="shared" si="246"/>
        <v>0</v>
      </c>
      <c r="AZ465" s="3264">
        <f t="shared" si="247"/>
        <v>0</v>
      </c>
      <c r="BA465" s="3264">
        <f t="shared" si="248"/>
        <v>0</v>
      </c>
      <c r="BB465" s="3264">
        <f t="shared" si="249"/>
        <v>0</v>
      </c>
      <c r="BC465" s="3264">
        <f t="shared" si="250"/>
        <v>0</v>
      </c>
      <c r="BD465" s="3264">
        <f t="shared" si="251"/>
        <v>0</v>
      </c>
      <c r="BE465" s="3264">
        <f t="shared" si="252"/>
        <v>0</v>
      </c>
      <c r="BF465" s="3264">
        <f t="shared" si="253"/>
        <v>0</v>
      </c>
      <c r="BG465" s="3264">
        <f t="shared" si="254"/>
        <v>0</v>
      </c>
      <c r="BH465" s="3264">
        <f t="shared" si="255"/>
        <v>0</v>
      </c>
      <c r="BI465" s="3264">
        <f t="shared" si="256"/>
        <v>0</v>
      </c>
      <c r="BJ465" s="3264">
        <f t="shared" si="257"/>
        <v>0</v>
      </c>
      <c r="BK465" s="3264">
        <f t="shared" si="258"/>
        <v>0</v>
      </c>
      <c r="BL465" s="3264">
        <f t="shared" si="259"/>
        <v>0</v>
      </c>
      <c r="BM465" s="3264">
        <f t="shared" si="260"/>
        <v>0</v>
      </c>
      <c r="BN465" s="3264">
        <f t="shared" si="261"/>
        <v>0</v>
      </c>
      <c r="BO465" s="3264">
        <f t="shared" si="262"/>
        <v>0</v>
      </c>
      <c r="BP465" s="3264">
        <f t="shared" si="263"/>
        <v>0</v>
      </c>
      <c r="BQ465" s="3264">
        <f t="shared" si="264"/>
        <v>0</v>
      </c>
      <c r="BR465" s="3264">
        <f t="shared" si="265"/>
        <v>0</v>
      </c>
      <c r="BS465" s="3264">
        <f t="shared" si="266"/>
        <v>0</v>
      </c>
      <c r="BT465" s="3317">
        <f t="shared" si="267"/>
        <v>0</v>
      </c>
    </row>
    <row r="466" spans="1:72">
      <c r="A466" s="3262"/>
      <c r="B466" s="3263"/>
      <c r="C466" s="3263"/>
      <c r="D466" s="3268"/>
      <c r="E466" s="3264">
        <f t="shared" si="239"/>
        <v>0</v>
      </c>
      <c r="F466" s="3265"/>
      <c r="G466" s="3266">
        <f t="shared" si="240"/>
        <v>0</v>
      </c>
      <c r="H466" s="3267">
        <f t="shared" si="241"/>
        <v>0</v>
      </c>
      <c r="I466" s="3275"/>
      <c r="J466" s="3275"/>
      <c r="K466" s="3275"/>
      <c r="L466" s="3275"/>
      <c r="M466" s="3275"/>
      <c r="N466" s="3275"/>
      <c r="O466" s="3275"/>
      <c r="P466" s="3275"/>
      <c r="Q466" s="3275"/>
      <c r="R466" s="3275"/>
      <c r="S466" s="3275"/>
      <c r="T466" s="3275"/>
      <c r="U466" s="3275"/>
      <c r="V466" s="3275"/>
      <c r="W466" s="3275"/>
      <c r="X466" s="3275"/>
      <c r="Y466" s="3275"/>
      <c r="Z466" s="3275"/>
      <c r="AA466" s="3275"/>
      <c r="AB466" s="3275"/>
      <c r="AC466" s="3264">
        <f t="shared" si="242"/>
        <v>0</v>
      </c>
      <c r="AD466" s="3285"/>
      <c r="AE466" s="3285"/>
      <c r="AF466" s="3285"/>
      <c r="AG466" s="3285"/>
      <c r="AH466" s="3285"/>
      <c r="AI466" s="3285"/>
      <c r="AJ466" s="3285"/>
      <c r="AK466" s="3285"/>
      <c r="AL466" s="3285"/>
      <c r="AM466" s="3285"/>
      <c r="AN466" s="3285"/>
      <c r="AO466" s="3285"/>
      <c r="AP466" s="3285"/>
      <c r="AQ466" s="3285"/>
      <c r="AR466" s="3285"/>
      <c r="AS466" s="3285"/>
      <c r="AT466" s="3295"/>
      <c r="AU466" s="3296"/>
      <c r="AV466" s="830">
        <f t="shared" si="243"/>
        <v>0</v>
      </c>
      <c r="AW466" s="830">
        <f t="shared" si="244"/>
        <v>0</v>
      </c>
      <c r="AX466" s="830">
        <f t="shared" si="245"/>
        <v>0</v>
      </c>
      <c r="AY466" s="3310">
        <f t="shared" si="246"/>
        <v>0</v>
      </c>
      <c r="AZ466" s="3264">
        <f t="shared" si="247"/>
        <v>0</v>
      </c>
      <c r="BA466" s="3264">
        <f t="shared" si="248"/>
        <v>0</v>
      </c>
      <c r="BB466" s="3264">
        <f t="shared" si="249"/>
        <v>0</v>
      </c>
      <c r="BC466" s="3264">
        <f t="shared" si="250"/>
        <v>0</v>
      </c>
      <c r="BD466" s="3264">
        <f t="shared" si="251"/>
        <v>0</v>
      </c>
      <c r="BE466" s="3264">
        <f t="shared" si="252"/>
        <v>0</v>
      </c>
      <c r="BF466" s="3264">
        <f t="shared" si="253"/>
        <v>0</v>
      </c>
      <c r="BG466" s="3264">
        <f t="shared" si="254"/>
        <v>0</v>
      </c>
      <c r="BH466" s="3264">
        <f t="shared" si="255"/>
        <v>0</v>
      </c>
      <c r="BI466" s="3264">
        <f t="shared" si="256"/>
        <v>0</v>
      </c>
      <c r="BJ466" s="3264">
        <f t="shared" si="257"/>
        <v>0</v>
      </c>
      <c r="BK466" s="3264">
        <f t="shared" si="258"/>
        <v>0</v>
      </c>
      <c r="BL466" s="3264">
        <f t="shared" si="259"/>
        <v>0</v>
      </c>
      <c r="BM466" s="3264">
        <f t="shared" si="260"/>
        <v>0</v>
      </c>
      <c r="BN466" s="3264">
        <f t="shared" si="261"/>
        <v>0</v>
      </c>
      <c r="BO466" s="3264">
        <f t="shared" si="262"/>
        <v>0</v>
      </c>
      <c r="BP466" s="3264">
        <f t="shared" si="263"/>
        <v>0</v>
      </c>
      <c r="BQ466" s="3264">
        <f t="shared" si="264"/>
        <v>0</v>
      </c>
      <c r="BR466" s="3264">
        <f t="shared" si="265"/>
        <v>0</v>
      </c>
      <c r="BS466" s="3264">
        <f t="shared" si="266"/>
        <v>0</v>
      </c>
      <c r="BT466" s="3317">
        <f t="shared" si="267"/>
        <v>0</v>
      </c>
    </row>
    <row r="467" spans="1:72">
      <c r="A467" s="3262"/>
      <c r="B467" s="3263"/>
      <c r="C467" s="3263"/>
      <c r="D467" s="3268"/>
      <c r="E467" s="3264">
        <f t="shared" si="239"/>
        <v>0</v>
      </c>
      <c r="F467" s="3265"/>
      <c r="G467" s="3266">
        <f t="shared" si="240"/>
        <v>0</v>
      </c>
      <c r="H467" s="3267">
        <f t="shared" si="241"/>
        <v>0</v>
      </c>
      <c r="I467" s="3275"/>
      <c r="J467" s="3275"/>
      <c r="K467" s="3275"/>
      <c r="L467" s="3275"/>
      <c r="M467" s="3275"/>
      <c r="N467" s="3275"/>
      <c r="O467" s="3275"/>
      <c r="P467" s="3275"/>
      <c r="Q467" s="3275"/>
      <c r="R467" s="3275"/>
      <c r="S467" s="3275"/>
      <c r="T467" s="3275"/>
      <c r="U467" s="3275"/>
      <c r="V467" s="3275"/>
      <c r="W467" s="3275"/>
      <c r="X467" s="3275"/>
      <c r="Y467" s="3275"/>
      <c r="Z467" s="3275"/>
      <c r="AA467" s="3275"/>
      <c r="AB467" s="3275"/>
      <c r="AC467" s="3264">
        <f t="shared" si="242"/>
        <v>0</v>
      </c>
      <c r="AD467" s="3285"/>
      <c r="AE467" s="3285"/>
      <c r="AF467" s="3285"/>
      <c r="AG467" s="3285"/>
      <c r="AH467" s="3285"/>
      <c r="AI467" s="3285"/>
      <c r="AJ467" s="3285"/>
      <c r="AK467" s="3285"/>
      <c r="AL467" s="3285"/>
      <c r="AM467" s="3285"/>
      <c r="AN467" s="3285"/>
      <c r="AO467" s="3285"/>
      <c r="AP467" s="3285"/>
      <c r="AQ467" s="3285"/>
      <c r="AR467" s="3285"/>
      <c r="AS467" s="3285"/>
      <c r="AT467" s="3295"/>
      <c r="AU467" s="3296"/>
      <c r="AV467" s="830">
        <f t="shared" si="243"/>
        <v>0</v>
      </c>
      <c r="AW467" s="830">
        <f t="shared" si="244"/>
        <v>0</v>
      </c>
      <c r="AX467" s="830">
        <f t="shared" si="245"/>
        <v>0</v>
      </c>
      <c r="AY467" s="3310">
        <f t="shared" si="246"/>
        <v>0</v>
      </c>
      <c r="AZ467" s="3264">
        <f t="shared" si="247"/>
        <v>0</v>
      </c>
      <c r="BA467" s="3264">
        <f t="shared" si="248"/>
        <v>0</v>
      </c>
      <c r="BB467" s="3264">
        <f t="shared" si="249"/>
        <v>0</v>
      </c>
      <c r="BC467" s="3264">
        <f t="shared" si="250"/>
        <v>0</v>
      </c>
      <c r="BD467" s="3264">
        <f t="shared" si="251"/>
        <v>0</v>
      </c>
      <c r="BE467" s="3264">
        <f t="shared" si="252"/>
        <v>0</v>
      </c>
      <c r="BF467" s="3264">
        <f t="shared" si="253"/>
        <v>0</v>
      </c>
      <c r="BG467" s="3264">
        <f t="shared" si="254"/>
        <v>0</v>
      </c>
      <c r="BH467" s="3264">
        <f t="shared" si="255"/>
        <v>0</v>
      </c>
      <c r="BI467" s="3264">
        <f t="shared" si="256"/>
        <v>0</v>
      </c>
      <c r="BJ467" s="3264">
        <f t="shared" si="257"/>
        <v>0</v>
      </c>
      <c r="BK467" s="3264">
        <f t="shared" si="258"/>
        <v>0</v>
      </c>
      <c r="BL467" s="3264">
        <f t="shared" si="259"/>
        <v>0</v>
      </c>
      <c r="BM467" s="3264">
        <f t="shared" si="260"/>
        <v>0</v>
      </c>
      <c r="BN467" s="3264">
        <f t="shared" si="261"/>
        <v>0</v>
      </c>
      <c r="BO467" s="3264">
        <f t="shared" si="262"/>
        <v>0</v>
      </c>
      <c r="BP467" s="3264">
        <f t="shared" si="263"/>
        <v>0</v>
      </c>
      <c r="BQ467" s="3264">
        <f t="shared" si="264"/>
        <v>0</v>
      </c>
      <c r="BR467" s="3264">
        <f t="shared" si="265"/>
        <v>0</v>
      </c>
      <c r="BS467" s="3264">
        <f t="shared" si="266"/>
        <v>0</v>
      </c>
      <c r="BT467" s="3317">
        <f t="shared" si="267"/>
        <v>0</v>
      </c>
    </row>
    <row r="468" spans="1:72">
      <c r="A468" s="3262"/>
      <c r="B468" s="3263"/>
      <c r="C468" s="3263"/>
      <c r="D468" s="3268"/>
      <c r="E468" s="3264">
        <f t="shared" si="239"/>
        <v>0</v>
      </c>
      <c r="F468" s="3265"/>
      <c r="G468" s="3266">
        <f t="shared" si="240"/>
        <v>0</v>
      </c>
      <c r="H468" s="3267">
        <f t="shared" si="241"/>
        <v>0</v>
      </c>
      <c r="I468" s="3275"/>
      <c r="J468" s="3275"/>
      <c r="K468" s="3275"/>
      <c r="L468" s="3275"/>
      <c r="M468" s="3275"/>
      <c r="N468" s="3275"/>
      <c r="O468" s="3275"/>
      <c r="P468" s="3275"/>
      <c r="Q468" s="3275"/>
      <c r="R468" s="3275"/>
      <c r="S468" s="3275"/>
      <c r="T468" s="3275"/>
      <c r="U468" s="3275"/>
      <c r="V468" s="3275"/>
      <c r="W468" s="3275"/>
      <c r="X468" s="3275"/>
      <c r="Y468" s="3275"/>
      <c r="Z468" s="3275"/>
      <c r="AA468" s="3275"/>
      <c r="AB468" s="3275"/>
      <c r="AC468" s="3264">
        <f t="shared" si="242"/>
        <v>0</v>
      </c>
      <c r="AD468" s="3285"/>
      <c r="AE468" s="3285"/>
      <c r="AF468" s="3285"/>
      <c r="AG468" s="3285"/>
      <c r="AH468" s="3285"/>
      <c r="AI468" s="3285"/>
      <c r="AJ468" s="3285"/>
      <c r="AK468" s="3285"/>
      <c r="AL468" s="3285"/>
      <c r="AM468" s="3285"/>
      <c r="AN468" s="3285"/>
      <c r="AO468" s="3285"/>
      <c r="AP468" s="3285"/>
      <c r="AQ468" s="3285"/>
      <c r="AR468" s="3285"/>
      <c r="AS468" s="3285"/>
      <c r="AT468" s="3295"/>
      <c r="AU468" s="3296"/>
      <c r="AV468" s="830">
        <f t="shared" si="243"/>
        <v>0</v>
      </c>
      <c r="AW468" s="830">
        <f t="shared" si="244"/>
        <v>0</v>
      </c>
      <c r="AX468" s="830">
        <f t="shared" si="245"/>
        <v>0</v>
      </c>
      <c r="AY468" s="3310">
        <f t="shared" si="246"/>
        <v>0</v>
      </c>
      <c r="AZ468" s="3264">
        <f t="shared" si="247"/>
        <v>0</v>
      </c>
      <c r="BA468" s="3264">
        <f t="shared" si="248"/>
        <v>0</v>
      </c>
      <c r="BB468" s="3264">
        <f t="shared" si="249"/>
        <v>0</v>
      </c>
      <c r="BC468" s="3264">
        <f t="shared" si="250"/>
        <v>0</v>
      </c>
      <c r="BD468" s="3264">
        <f t="shared" si="251"/>
        <v>0</v>
      </c>
      <c r="BE468" s="3264">
        <f t="shared" si="252"/>
        <v>0</v>
      </c>
      <c r="BF468" s="3264">
        <f t="shared" si="253"/>
        <v>0</v>
      </c>
      <c r="BG468" s="3264">
        <f t="shared" si="254"/>
        <v>0</v>
      </c>
      <c r="BH468" s="3264">
        <f t="shared" si="255"/>
        <v>0</v>
      </c>
      <c r="BI468" s="3264">
        <f t="shared" si="256"/>
        <v>0</v>
      </c>
      <c r="BJ468" s="3264">
        <f t="shared" si="257"/>
        <v>0</v>
      </c>
      <c r="BK468" s="3264">
        <f t="shared" si="258"/>
        <v>0</v>
      </c>
      <c r="BL468" s="3264">
        <f t="shared" si="259"/>
        <v>0</v>
      </c>
      <c r="BM468" s="3264">
        <f t="shared" si="260"/>
        <v>0</v>
      </c>
      <c r="BN468" s="3264">
        <f t="shared" si="261"/>
        <v>0</v>
      </c>
      <c r="BO468" s="3264">
        <f t="shared" si="262"/>
        <v>0</v>
      </c>
      <c r="BP468" s="3264">
        <f t="shared" si="263"/>
        <v>0</v>
      </c>
      <c r="BQ468" s="3264">
        <f t="shared" si="264"/>
        <v>0</v>
      </c>
      <c r="BR468" s="3264">
        <f t="shared" si="265"/>
        <v>0</v>
      </c>
      <c r="BS468" s="3264">
        <f t="shared" si="266"/>
        <v>0</v>
      </c>
      <c r="BT468" s="3317">
        <f t="shared" si="267"/>
        <v>0</v>
      </c>
    </row>
    <row r="469" spans="1:72">
      <c r="A469" s="3262"/>
      <c r="B469" s="3263"/>
      <c r="C469" s="3263"/>
      <c r="D469" s="3268"/>
      <c r="E469" s="3264">
        <f t="shared" si="239"/>
        <v>0</v>
      </c>
      <c r="F469" s="3265"/>
      <c r="G469" s="3266">
        <f t="shared" si="240"/>
        <v>0</v>
      </c>
      <c r="H469" s="3267">
        <f t="shared" si="241"/>
        <v>0</v>
      </c>
      <c r="I469" s="3275"/>
      <c r="J469" s="3275"/>
      <c r="K469" s="3275"/>
      <c r="L469" s="3275"/>
      <c r="M469" s="3275"/>
      <c r="N469" s="3275"/>
      <c r="O469" s="3275"/>
      <c r="P469" s="3275"/>
      <c r="Q469" s="3275"/>
      <c r="R469" s="3275"/>
      <c r="S469" s="3275"/>
      <c r="T469" s="3275"/>
      <c r="U469" s="3275"/>
      <c r="V469" s="3275"/>
      <c r="W469" s="3275"/>
      <c r="X469" s="3275"/>
      <c r="Y469" s="3275"/>
      <c r="Z469" s="3275"/>
      <c r="AA469" s="3275"/>
      <c r="AB469" s="3275"/>
      <c r="AC469" s="3264">
        <f t="shared" si="242"/>
        <v>0</v>
      </c>
      <c r="AD469" s="3285"/>
      <c r="AE469" s="3285"/>
      <c r="AF469" s="3285"/>
      <c r="AG469" s="3285"/>
      <c r="AH469" s="3285"/>
      <c r="AI469" s="3285"/>
      <c r="AJ469" s="3285"/>
      <c r="AK469" s="3285"/>
      <c r="AL469" s="3285"/>
      <c r="AM469" s="3285"/>
      <c r="AN469" s="3285"/>
      <c r="AO469" s="3285"/>
      <c r="AP469" s="3285"/>
      <c r="AQ469" s="3285"/>
      <c r="AR469" s="3285"/>
      <c r="AS469" s="3285"/>
      <c r="AT469" s="3295"/>
      <c r="AU469" s="3296"/>
      <c r="AV469" s="830">
        <f t="shared" si="243"/>
        <v>0</v>
      </c>
      <c r="AW469" s="830">
        <f t="shared" si="244"/>
        <v>0</v>
      </c>
      <c r="AX469" s="830">
        <f t="shared" si="245"/>
        <v>0</v>
      </c>
      <c r="AY469" s="3310">
        <f t="shared" si="246"/>
        <v>0</v>
      </c>
      <c r="AZ469" s="3264">
        <f t="shared" si="247"/>
        <v>0</v>
      </c>
      <c r="BA469" s="3264">
        <f t="shared" si="248"/>
        <v>0</v>
      </c>
      <c r="BB469" s="3264">
        <f t="shared" si="249"/>
        <v>0</v>
      </c>
      <c r="BC469" s="3264">
        <f t="shared" si="250"/>
        <v>0</v>
      </c>
      <c r="BD469" s="3264">
        <f t="shared" si="251"/>
        <v>0</v>
      </c>
      <c r="BE469" s="3264">
        <f t="shared" si="252"/>
        <v>0</v>
      </c>
      <c r="BF469" s="3264">
        <f t="shared" si="253"/>
        <v>0</v>
      </c>
      <c r="BG469" s="3264">
        <f t="shared" si="254"/>
        <v>0</v>
      </c>
      <c r="BH469" s="3264">
        <f t="shared" si="255"/>
        <v>0</v>
      </c>
      <c r="BI469" s="3264">
        <f t="shared" si="256"/>
        <v>0</v>
      </c>
      <c r="BJ469" s="3264">
        <f t="shared" si="257"/>
        <v>0</v>
      </c>
      <c r="BK469" s="3264">
        <f t="shared" si="258"/>
        <v>0</v>
      </c>
      <c r="BL469" s="3264">
        <f t="shared" si="259"/>
        <v>0</v>
      </c>
      <c r="BM469" s="3264">
        <f t="shared" si="260"/>
        <v>0</v>
      </c>
      <c r="BN469" s="3264">
        <f t="shared" si="261"/>
        <v>0</v>
      </c>
      <c r="BO469" s="3264">
        <f t="shared" si="262"/>
        <v>0</v>
      </c>
      <c r="BP469" s="3264">
        <f t="shared" si="263"/>
        <v>0</v>
      </c>
      <c r="BQ469" s="3264">
        <f t="shared" si="264"/>
        <v>0</v>
      </c>
      <c r="BR469" s="3264">
        <f t="shared" si="265"/>
        <v>0</v>
      </c>
      <c r="BS469" s="3264">
        <f t="shared" si="266"/>
        <v>0</v>
      </c>
      <c r="BT469" s="3317">
        <f t="shared" si="267"/>
        <v>0</v>
      </c>
    </row>
    <row r="470" spans="1:72">
      <c r="A470" s="3262"/>
      <c r="B470" s="3263"/>
      <c r="C470" s="3263"/>
      <c r="D470" s="3268"/>
      <c r="E470" s="3264">
        <f t="shared" si="239"/>
        <v>0</v>
      </c>
      <c r="F470" s="3265"/>
      <c r="G470" s="3266">
        <f t="shared" si="240"/>
        <v>0</v>
      </c>
      <c r="H470" s="3267">
        <f t="shared" si="241"/>
        <v>0</v>
      </c>
      <c r="I470" s="3275"/>
      <c r="J470" s="3275"/>
      <c r="K470" s="3275"/>
      <c r="L470" s="3275"/>
      <c r="M470" s="3275"/>
      <c r="N470" s="3275"/>
      <c r="O470" s="3275"/>
      <c r="P470" s="3275"/>
      <c r="Q470" s="3275"/>
      <c r="R470" s="3275"/>
      <c r="S470" s="3275"/>
      <c r="T470" s="3275"/>
      <c r="U470" s="3275"/>
      <c r="V470" s="3275"/>
      <c r="W470" s="3275"/>
      <c r="X470" s="3275"/>
      <c r="Y470" s="3275"/>
      <c r="Z470" s="3275"/>
      <c r="AA470" s="3275"/>
      <c r="AB470" s="3275"/>
      <c r="AC470" s="3264">
        <f t="shared" si="242"/>
        <v>0</v>
      </c>
      <c r="AD470" s="3285"/>
      <c r="AE470" s="3285"/>
      <c r="AF470" s="3285"/>
      <c r="AG470" s="3285"/>
      <c r="AH470" s="3285"/>
      <c r="AI470" s="3285"/>
      <c r="AJ470" s="3285"/>
      <c r="AK470" s="3285"/>
      <c r="AL470" s="3285"/>
      <c r="AM470" s="3285"/>
      <c r="AN470" s="3285"/>
      <c r="AO470" s="3285"/>
      <c r="AP470" s="3285"/>
      <c r="AQ470" s="3285"/>
      <c r="AR470" s="3285"/>
      <c r="AS470" s="3285"/>
      <c r="AT470" s="3295"/>
      <c r="AU470" s="3296"/>
      <c r="AV470" s="830">
        <f t="shared" si="243"/>
        <v>0</v>
      </c>
      <c r="AW470" s="830">
        <f t="shared" si="244"/>
        <v>0</v>
      </c>
      <c r="AX470" s="830">
        <f t="shared" si="245"/>
        <v>0</v>
      </c>
      <c r="AY470" s="3310">
        <f t="shared" si="246"/>
        <v>0</v>
      </c>
      <c r="AZ470" s="3264">
        <f t="shared" si="247"/>
        <v>0</v>
      </c>
      <c r="BA470" s="3264">
        <f t="shared" si="248"/>
        <v>0</v>
      </c>
      <c r="BB470" s="3264">
        <f t="shared" si="249"/>
        <v>0</v>
      </c>
      <c r="BC470" s="3264">
        <f t="shared" si="250"/>
        <v>0</v>
      </c>
      <c r="BD470" s="3264">
        <f t="shared" si="251"/>
        <v>0</v>
      </c>
      <c r="BE470" s="3264">
        <f t="shared" si="252"/>
        <v>0</v>
      </c>
      <c r="BF470" s="3264">
        <f t="shared" si="253"/>
        <v>0</v>
      </c>
      <c r="BG470" s="3264">
        <f t="shared" si="254"/>
        <v>0</v>
      </c>
      <c r="BH470" s="3264">
        <f t="shared" si="255"/>
        <v>0</v>
      </c>
      <c r="BI470" s="3264">
        <f t="shared" si="256"/>
        <v>0</v>
      </c>
      <c r="BJ470" s="3264">
        <f t="shared" si="257"/>
        <v>0</v>
      </c>
      <c r="BK470" s="3264">
        <f t="shared" si="258"/>
        <v>0</v>
      </c>
      <c r="BL470" s="3264">
        <f t="shared" si="259"/>
        <v>0</v>
      </c>
      <c r="BM470" s="3264">
        <f t="shared" si="260"/>
        <v>0</v>
      </c>
      <c r="BN470" s="3264">
        <f t="shared" si="261"/>
        <v>0</v>
      </c>
      <c r="BO470" s="3264">
        <f t="shared" si="262"/>
        <v>0</v>
      </c>
      <c r="BP470" s="3264">
        <f t="shared" si="263"/>
        <v>0</v>
      </c>
      <c r="BQ470" s="3264">
        <f t="shared" si="264"/>
        <v>0</v>
      </c>
      <c r="BR470" s="3264">
        <f t="shared" si="265"/>
        <v>0</v>
      </c>
      <c r="BS470" s="3264">
        <f t="shared" si="266"/>
        <v>0</v>
      </c>
      <c r="BT470" s="3317">
        <f t="shared" si="267"/>
        <v>0</v>
      </c>
    </row>
    <row r="471" spans="1:72">
      <c r="A471" s="3262"/>
      <c r="B471" s="3263"/>
      <c r="C471" s="3263"/>
      <c r="D471" s="3268"/>
      <c r="E471" s="3264">
        <f t="shared" si="239"/>
        <v>0</v>
      </c>
      <c r="F471" s="3265"/>
      <c r="G471" s="3266">
        <f t="shared" si="240"/>
        <v>0</v>
      </c>
      <c r="H471" s="3267">
        <f t="shared" si="241"/>
        <v>0</v>
      </c>
      <c r="I471" s="3275"/>
      <c r="J471" s="3275"/>
      <c r="K471" s="3275"/>
      <c r="L471" s="3275"/>
      <c r="M471" s="3275"/>
      <c r="N471" s="3275"/>
      <c r="O471" s="3275"/>
      <c r="P471" s="3275"/>
      <c r="Q471" s="3275"/>
      <c r="R471" s="3275"/>
      <c r="S471" s="3275"/>
      <c r="T471" s="3275"/>
      <c r="U471" s="3275"/>
      <c r="V471" s="3275"/>
      <c r="W471" s="3275"/>
      <c r="X471" s="3275"/>
      <c r="Y471" s="3275"/>
      <c r="Z471" s="3275"/>
      <c r="AA471" s="3275"/>
      <c r="AB471" s="3275"/>
      <c r="AC471" s="3264">
        <f t="shared" si="242"/>
        <v>0</v>
      </c>
      <c r="AD471" s="3285"/>
      <c r="AE471" s="3285"/>
      <c r="AF471" s="3285"/>
      <c r="AG471" s="3285"/>
      <c r="AH471" s="3285"/>
      <c r="AI471" s="3285"/>
      <c r="AJ471" s="3285"/>
      <c r="AK471" s="3285"/>
      <c r="AL471" s="3285"/>
      <c r="AM471" s="3285"/>
      <c r="AN471" s="3285"/>
      <c r="AO471" s="3285"/>
      <c r="AP471" s="3285"/>
      <c r="AQ471" s="3285"/>
      <c r="AR471" s="3285"/>
      <c r="AS471" s="3285"/>
      <c r="AT471" s="3295"/>
      <c r="AU471" s="3296"/>
      <c r="AV471" s="830">
        <f t="shared" si="243"/>
        <v>0</v>
      </c>
      <c r="AW471" s="830">
        <f t="shared" si="244"/>
        <v>0</v>
      </c>
      <c r="AX471" s="830">
        <f t="shared" si="245"/>
        <v>0</v>
      </c>
      <c r="AY471" s="3310">
        <f t="shared" si="246"/>
        <v>0</v>
      </c>
      <c r="AZ471" s="3264">
        <f t="shared" si="247"/>
        <v>0</v>
      </c>
      <c r="BA471" s="3264">
        <f t="shared" si="248"/>
        <v>0</v>
      </c>
      <c r="BB471" s="3264">
        <f t="shared" si="249"/>
        <v>0</v>
      </c>
      <c r="BC471" s="3264">
        <f t="shared" si="250"/>
        <v>0</v>
      </c>
      <c r="BD471" s="3264">
        <f t="shared" si="251"/>
        <v>0</v>
      </c>
      <c r="BE471" s="3264">
        <f t="shared" si="252"/>
        <v>0</v>
      </c>
      <c r="BF471" s="3264">
        <f t="shared" si="253"/>
        <v>0</v>
      </c>
      <c r="BG471" s="3264">
        <f t="shared" si="254"/>
        <v>0</v>
      </c>
      <c r="BH471" s="3264">
        <f t="shared" si="255"/>
        <v>0</v>
      </c>
      <c r="BI471" s="3264">
        <f t="shared" si="256"/>
        <v>0</v>
      </c>
      <c r="BJ471" s="3264">
        <f t="shared" si="257"/>
        <v>0</v>
      </c>
      <c r="BK471" s="3264">
        <f t="shared" si="258"/>
        <v>0</v>
      </c>
      <c r="BL471" s="3264">
        <f t="shared" si="259"/>
        <v>0</v>
      </c>
      <c r="BM471" s="3264">
        <f t="shared" si="260"/>
        <v>0</v>
      </c>
      <c r="BN471" s="3264">
        <f t="shared" si="261"/>
        <v>0</v>
      </c>
      <c r="BO471" s="3264">
        <f t="shared" si="262"/>
        <v>0</v>
      </c>
      <c r="BP471" s="3264">
        <f t="shared" si="263"/>
        <v>0</v>
      </c>
      <c r="BQ471" s="3264">
        <f t="shared" si="264"/>
        <v>0</v>
      </c>
      <c r="BR471" s="3264">
        <f t="shared" si="265"/>
        <v>0</v>
      </c>
      <c r="BS471" s="3264">
        <f t="shared" si="266"/>
        <v>0</v>
      </c>
      <c r="BT471" s="3317">
        <f t="shared" si="267"/>
        <v>0</v>
      </c>
    </row>
    <row r="472" spans="1:72">
      <c r="A472" s="3262"/>
      <c r="B472" s="3263"/>
      <c r="C472" s="3263"/>
      <c r="D472" s="3268"/>
      <c r="E472" s="3264">
        <f t="shared" si="239"/>
        <v>0</v>
      </c>
      <c r="F472" s="3265"/>
      <c r="G472" s="3266">
        <f t="shared" si="240"/>
        <v>0</v>
      </c>
      <c r="H472" s="3267">
        <f t="shared" si="241"/>
        <v>0</v>
      </c>
      <c r="I472" s="3275"/>
      <c r="J472" s="3275"/>
      <c r="K472" s="3275"/>
      <c r="L472" s="3275"/>
      <c r="M472" s="3275"/>
      <c r="N472" s="3275"/>
      <c r="O472" s="3275"/>
      <c r="P472" s="3275"/>
      <c r="Q472" s="3275"/>
      <c r="R472" s="3275"/>
      <c r="S472" s="3275"/>
      <c r="T472" s="3275"/>
      <c r="U472" s="3275"/>
      <c r="V472" s="3275"/>
      <c r="W472" s="3275"/>
      <c r="X472" s="3275"/>
      <c r="Y472" s="3275"/>
      <c r="Z472" s="3275"/>
      <c r="AA472" s="3275"/>
      <c r="AB472" s="3275"/>
      <c r="AC472" s="3264">
        <f t="shared" si="242"/>
        <v>0</v>
      </c>
      <c r="AD472" s="3285"/>
      <c r="AE472" s="3285"/>
      <c r="AF472" s="3285"/>
      <c r="AG472" s="3285"/>
      <c r="AH472" s="3285"/>
      <c r="AI472" s="3285"/>
      <c r="AJ472" s="3285"/>
      <c r="AK472" s="3285"/>
      <c r="AL472" s="3285"/>
      <c r="AM472" s="3285"/>
      <c r="AN472" s="3285"/>
      <c r="AO472" s="3285"/>
      <c r="AP472" s="3285"/>
      <c r="AQ472" s="3285"/>
      <c r="AR472" s="3285"/>
      <c r="AS472" s="3285"/>
      <c r="AT472" s="3295"/>
      <c r="AU472" s="3296"/>
      <c r="AV472" s="830">
        <f t="shared" si="243"/>
        <v>0</v>
      </c>
      <c r="AW472" s="830">
        <f t="shared" si="244"/>
        <v>0</v>
      </c>
      <c r="AX472" s="830">
        <f t="shared" si="245"/>
        <v>0</v>
      </c>
      <c r="AY472" s="3310">
        <f t="shared" si="246"/>
        <v>0</v>
      </c>
      <c r="AZ472" s="3264">
        <f t="shared" si="247"/>
        <v>0</v>
      </c>
      <c r="BA472" s="3264">
        <f t="shared" si="248"/>
        <v>0</v>
      </c>
      <c r="BB472" s="3264">
        <f t="shared" si="249"/>
        <v>0</v>
      </c>
      <c r="BC472" s="3264">
        <f t="shared" si="250"/>
        <v>0</v>
      </c>
      <c r="BD472" s="3264">
        <f t="shared" si="251"/>
        <v>0</v>
      </c>
      <c r="BE472" s="3264">
        <f t="shared" si="252"/>
        <v>0</v>
      </c>
      <c r="BF472" s="3264">
        <f t="shared" si="253"/>
        <v>0</v>
      </c>
      <c r="BG472" s="3264">
        <f t="shared" si="254"/>
        <v>0</v>
      </c>
      <c r="BH472" s="3264">
        <f t="shared" si="255"/>
        <v>0</v>
      </c>
      <c r="BI472" s="3264">
        <f t="shared" si="256"/>
        <v>0</v>
      </c>
      <c r="BJ472" s="3264">
        <f t="shared" si="257"/>
        <v>0</v>
      </c>
      <c r="BK472" s="3264">
        <f t="shared" si="258"/>
        <v>0</v>
      </c>
      <c r="BL472" s="3264">
        <f t="shared" si="259"/>
        <v>0</v>
      </c>
      <c r="BM472" s="3264">
        <f t="shared" si="260"/>
        <v>0</v>
      </c>
      <c r="BN472" s="3264">
        <f t="shared" si="261"/>
        <v>0</v>
      </c>
      <c r="BO472" s="3264">
        <f t="shared" si="262"/>
        <v>0</v>
      </c>
      <c r="BP472" s="3264">
        <f t="shared" si="263"/>
        <v>0</v>
      </c>
      <c r="BQ472" s="3264">
        <f t="shared" si="264"/>
        <v>0</v>
      </c>
      <c r="BR472" s="3264">
        <f t="shared" si="265"/>
        <v>0</v>
      </c>
      <c r="BS472" s="3264">
        <f t="shared" si="266"/>
        <v>0</v>
      </c>
      <c r="BT472" s="3317">
        <f t="shared" si="267"/>
        <v>0</v>
      </c>
    </row>
    <row r="473" spans="1:72">
      <c r="A473" s="3262"/>
      <c r="B473" s="3263"/>
      <c r="C473" s="3263"/>
      <c r="D473" s="3268"/>
      <c r="E473" s="3264">
        <f t="shared" si="239"/>
        <v>0</v>
      </c>
      <c r="F473" s="3265"/>
      <c r="G473" s="3266">
        <f t="shared" si="240"/>
        <v>0</v>
      </c>
      <c r="H473" s="3267">
        <f t="shared" si="241"/>
        <v>0</v>
      </c>
      <c r="I473" s="3275"/>
      <c r="J473" s="3275"/>
      <c r="K473" s="3275"/>
      <c r="L473" s="3275"/>
      <c r="M473" s="3275"/>
      <c r="N473" s="3275"/>
      <c r="O473" s="3275"/>
      <c r="P473" s="3275"/>
      <c r="Q473" s="3275"/>
      <c r="R473" s="3275"/>
      <c r="S473" s="3275"/>
      <c r="T473" s="3275"/>
      <c r="U473" s="3275"/>
      <c r="V473" s="3275"/>
      <c r="W473" s="3275"/>
      <c r="X473" s="3275"/>
      <c r="Y473" s="3275"/>
      <c r="Z473" s="3275"/>
      <c r="AA473" s="3275"/>
      <c r="AB473" s="3275"/>
      <c r="AC473" s="3264">
        <f t="shared" si="242"/>
        <v>0</v>
      </c>
      <c r="AD473" s="3285"/>
      <c r="AE473" s="3285"/>
      <c r="AF473" s="3285"/>
      <c r="AG473" s="3285"/>
      <c r="AH473" s="3285"/>
      <c r="AI473" s="3285"/>
      <c r="AJ473" s="3285"/>
      <c r="AK473" s="3285"/>
      <c r="AL473" s="3285"/>
      <c r="AM473" s="3285"/>
      <c r="AN473" s="3285"/>
      <c r="AO473" s="3285"/>
      <c r="AP473" s="3285"/>
      <c r="AQ473" s="3285"/>
      <c r="AR473" s="3285"/>
      <c r="AS473" s="3285"/>
      <c r="AT473" s="3295"/>
      <c r="AU473" s="3296"/>
      <c r="AV473" s="830">
        <f t="shared" si="243"/>
        <v>0</v>
      </c>
      <c r="AW473" s="830">
        <f t="shared" si="244"/>
        <v>0</v>
      </c>
      <c r="AX473" s="830">
        <f t="shared" si="245"/>
        <v>0</v>
      </c>
      <c r="AY473" s="3310">
        <f t="shared" si="246"/>
        <v>0</v>
      </c>
      <c r="AZ473" s="3264">
        <f t="shared" si="247"/>
        <v>0</v>
      </c>
      <c r="BA473" s="3264">
        <f t="shared" si="248"/>
        <v>0</v>
      </c>
      <c r="BB473" s="3264">
        <f t="shared" si="249"/>
        <v>0</v>
      </c>
      <c r="BC473" s="3264">
        <f t="shared" si="250"/>
        <v>0</v>
      </c>
      <c r="BD473" s="3264">
        <f t="shared" si="251"/>
        <v>0</v>
      </c>
      <c r="BE473" s="3264">
        <f t="shared" si="252"/>
        <v>0</v>
      </c>
      <c r="BF473" s="3264">
        <f t="shared" si="253"/>
        <v>0</v>
      </c>
      <c r="BG473" s="3264">
        <f t="shared" si="254"/>
        <v>0</v>
      </c>
      <c r="BH473" s="3264">
        <f t="shared" si="255"/>
        <v>0</v>
      </c>
      <c r="BI473" s="3264">
        <f t="shared" si="256"/>
        <v>0</v>
      </c>
      <c r="BJ473" s="3264">
        <f t="shared" si="257"/>
        <v>0</v>
      </c>
      <c r="BK473" s="3264">
        <f t="shared" si="258"/>
        <v>0</v>
      </c>
      <c r="BL473" s="3264">
        <f t="shared" si="259"/>
        <v>0</v>
      </c>
      <c r="BM473" s="3264">
        <f t="shared" si="260"/>
        <v>0</v>
      </c>
      <c r="BN473" s="3264">
        <f t="shared" si="261"/>
        <v>0</v>
      </c>
      <c r="BO473" s="3264">
        <f t="shared" si="262"/>
        <v>0</v>
      </c>
      <c r="BP473" s="3264">
        <f t="shared" si="263"/>
        <v>0</v>
      </c>
      <c r="BQ473" s="3264">
        <f t="shared" si="264"/>
        <v>0</v>
      </c>
      <c r="BR473" s="3264">
        <f t="shared" si="265"/>
        <v>0</v>
      </c>
      <c r="BS473" s="3264">
        <f t="shared" si="266"/>
        <v>0</v>
      </c>
      <c r="BT473" s="3317">
        <f t="shared" si="267"/>
        <v>0</v>
      </c>
    </row>
    <row r="474" spans="1:72">
      <c r="A474" s="3262"/>
      <c r="B474" s="3263"/>
      <c r="C474" s="3263"/>
      <c r="D474" s="3268"/>
      <c r="E474" s="3264">
        <f t="shared" si="239"/>
        <v>0</v>
      </c>
      <c r="F474" s="3265"/>
      <c r="G474" s="3266">
        <f t="shared" si="240"/>
        <v>0</v>
      </c>
      <c r="H474" s="3267">
        <f t="shared" si="241"/>
        <v>0</v>
      </c>
      <c r="I474" s="3275"/>
      <c r="J474" s="3275"/>
      <c r="K474" s="3275"/>
      <c r="L474" s="3275"/>
      <c r="M474" s="3275"/>
      <c r="N474" s="3275"/>
      <c r="O474" s="3275"/>
      <c r="P474" s="3275"/>
      <c r="Q474" s="3275"/>
      <c r="R474" s="3275"/>
      <c r="S474" s="3275"/>
      <c r="T474" s="3275"/>
      <c r="U474" s="3275"/>
      <c r="V474" s="3275"/>
      <c r="W474" s="3275"/>
      <c r="X474" s="3275"/>
      <c r="Y474" s="3275"/>
      <c r="Z474" s="3275"/>
      <c r="AA474" s="3275"/>
      <c r="AB474" s="3275"/>
      <c r="AC474" s="3264">
        <f t="shared" si="242"/>
        <v>0</v>
      </c>
      <c r="AD474" s="3285"/>
      <c r="AE474" s="3285"/>
      <c r="AF474" s="3285"/>
      <c r="AG474" s="3285"/>
      <c r="AH474" s="3285"/>
      <c r="AI474" s="3285"/>
      <c r="AJ474" s="3285"/>
      <c r="AK474" s="3285"/>
      <c r="AL474" s="3285"/>
      <c r="AM474" s="3285"/>
      <c r="AN474" s="3285"/>
      <c r="AO474" s="3285"/>
      <c r="AP474" s="3285"/>
      <c r="AQ474" s="3285"/>
      <c r="AR474" s="3285"/>
      <c r="AS474" s="3285"/>
      <c r="AT474" s="3295"/>
      <c r="AU474" s="3296"/>
      <c r="AV474" s="830">
        <f t="shared" si="243"/>
        <v>0</v>
      </c>
      <c r="AW474" s="830">
        <f t="shared" si="244"/>
        <v>0</v>
      </c>
      <c r="AX474" s="830">
        <f t="shared" si="245"/>
        <v>0</v>
      </c>
      <c r="AY474" s="3310">
        <f t="shared" si="246"/>
        <v>0</v>
      </c>
      <c r="AZ474" s="3264">
        <f t="shared" si="247"/>
        <v>0</v>
      </c>
      <c r="BA474" s="3264">
        <f t="shared" si="248"/>
        <v>0</v>
      </c>
      <c r="BB474" s="3264">
        <f t="shared" si="249"/>
        <v>0</v>
      </c>
      <c r="BC474" s="3264">
        <f t="shared" si="250"/>
        <v>0</v>
      </c>
      <c r="BD474" s="3264">
        <f t="shared" si="251"/>
        <v>0</v>
      </c>
      <c r="BE474" s="3264">
        <f t="shared" si="252"/>
        <v>0</v>
      </c>
      <c r="BF474" s="3264">
        <f t="shared" si="253"/>
        <v>0</v>
      </c>
      <c r="BG474" s="3264">
        <f t="shared" si="254"/>
        <v>0</v>
      </c>
      <c r="BH474" s="3264">
        <f t="shared" si="255"/>
        <v>0</v>
      </c>
      <c r="BI474" s="3264">
        <f t="shared" si="256"/>
        <v>0</v>
      </c>
      <c r="BJ474" s="3264">
        <f t="shared" si="257"/>
        <v>0</v>
      </c>
      <c r="BK474" s="3264">
        <f t="shared" si="258"/>
        <v>0</v>
      </c>
      <c r="BL474" s="3264">
        <f t="shared" si="259"/>
        <v>0</v>
      </c>
      <c r="BM474" s="3264">
        <f t="shared" si="260"/>
        <v>0</v>
      </c>
      <c r="BN474" s="3264">
        <f t="shared" si="261"/>
        <v>0</v>
      </c>
      <c r="BO474" s="3264">
        <f t="shared" si="262"/>
        <v>0</v>
      </c>
      <c r="BP474" s="3264">
        <f t="shared" si="263"/>
        <v>0</v>
      </c>
      <c r="BQ474" s="3264">
        <f t="shared" si="264"/>
        <v>0</v>
      </c>
      <c r="BR474" s="3264">
        <f t="shared" si="265"/>
        <v>0</v>
      </c>
      <c r="BS474" s="3264">
        <f t="shared" si="266"/>
        <v>0</v>
      </c>
      <c r="BT474" s="3317">
        <f t="shared" si="267"/>
        <v>0</v>
      </c>
    </row>
    <row r="475" spans="1:72">
      <c r="A475" s="3262"/>
      <c r="B475" s="3263"/>
      <c r="C475" s="3263"/>
      <c r="D475" s="3268"/>
      <c r="E475" s="3264">
        <f t="shared" si="239"/>
        <v>0</v>
      </c>
      <c r="F475" s="3265"/>
      <c r="G475" s="3266">
        <f t="shared" si="240"/>
        <v>0</v>
      </c>
      <c r="H475" s="3267">
        <f t="shared" si="241"/>
        <v>0</v>
      </c>
      <c r="I475" s="3275"/>
      <c r="J475" s="3275"/>
      <c r="K475" s="3275"/>
      <c r="L475" s="3275"/>
      <c r="M475" s="3275"/>
      <c r="N475" s="3275"/>
      <c r="O475" s="3275"/>
      <c r="P475" s="3275"/>
      <c r="Q475" s="3275"/>
      <c r="R475" s="3275"/>
      <c r="S475" s="3275"/>
      <c r="T475" s="3275"/>
      <c r="U475" s="3275"/>
      <c r="V475" s="3275"/>
      <c r="W475" s="3275"/>
      <c r="X475" s="3275"/>
      <c r="Y475" s="3275"/>
      <c r="Z475" s="3275"/>
      <c r="AA475" s="3275"/>
      <c r="AB475" s="3275"/>
      <c r="AC475" s="3264">
        <f t="shared" si="242"/>
        <v>0</v>
      </c>
      <c r="AD475" s="3285"/>
      <c r="AE475" s="3285"/>
      <c r="AF475" s="3285"/>
      <c r="AG475" s="3285"/>
      <c r="AH475" s="3285"/>
      <c r="AI475" s="3285"/>
      <c r="AJ475" s="3285"/>
      <c r="AK475" s="3285"/>
      <c r="AL475" s="3285"/>
      <c r="AM475" s="3285"/>
      <c r="AN475" s="3285"/>
      <c r="AO475" s="3285"/>
      <c r="AP475" s="3285"/>
      <c r="AQ475" s="3285"/>
      <c r="AR475" s="3285"/>
      <c r="AS475" s="3285"/>
      <c r="AT475" s="3295"/>
      <c r="AU475" s="3296"/>
      <c r="AV475" s="830">
        <f t="shared" si="243"/>
        <v>0</v>
      </c>
      <c r="AW475" s="830">
        <f t="shared" si="244"/>
        <v>0</v>
      </c>
      <c r="AX475" s="830">
        <f t="shared" si="245"/>
        <v>0</v>
      </c>
      <c r="AY475" s="3310">
        <f t="shared" si="246"/>
        <v>0</v>
      </c>
      <c r="AZ475" s="3264">
        <f t="shared" si="247"/>
        <v>0</v>
      </c>
      <c r="BA475" s="3264">
        <f t="shared" si="248"/>
        <v>0</v>
      </c>
      <c r="BB475" s="3264">
        <f t="shared" si="249"/>
        <v>0</v>
      </c>
      <c r="BC475" s="3264">
        <f t="shared" si="250"/>
        <v>0</v>
      </c>
      <c r="BD475" s="3264">
        <f t="shared" si="251"/>
        <v>0</v>
      </c>
      <c r="BE475" s="3264">
        <f t="shared" si="252"/>
        <v>0</v>
      </c>
      <c r="BF475" s="3264">
        <f t="shared" si="253"/>
        <v>0</v>
      </c>
      <c r="BG475" s="3264">
        <f t="shared" si="254"/>
        <v>0</v>
      </c>
      <c r="BH475" s="3264">
        <f t="shared" si="255"/>
        <v>0</v>
      </c>
      <c r="BI475" s="3264">
        <f t="shared" si="256"/>
        <v>0</v>
      </c>
      <c r="BJ475" s="3264">
        <f t="shared" si="257"/>
        <v>0</v>
      </c>
      <c r="BK475" s="3264">
        <f t="shared" si="258"/>
        <v>0</v>
      </c>
      <c r="BL475" s="3264">
        <f t="shared" si="259"/>
        <v>0</v>
      </c>
      <c r="BM475" s="3264">
        <f t="shared" si="260"/>
        <v>0</v>
      </c>
      <c r="BN475" s="3264">
        <f t="shared" si="261"/>
        <v>0</v>
      </c>
      <c r="BO475" s="3264">
        <f t="shared" si="262"/>
        <v>0</v>
      </c>
      <c r="BP475" s="3264">
        <f t="shared" si="263"/>
        <v>0</v>
      </c>
      <c r="BQ475" s="3264">
        <f t="shared" si="264"/>
        <v>0</v>
      </c>
      <c r="BR475" s="3264">
        <f t="shared" si="265"/>
        <v>0</v>
      </c>
      <c r="BS475" s="3264">
        <f t="shared" si="266"/>
        <v>0</v>
      </c>
      <c r="BT475" s="3317">
        <f t="shared" si="267"/>
        <v>0</v>
      </c>
    </row>
    <row r="476" spans="1:72">
      <c r="A476" s="3262"/>
      <c r="B476" s="3263"/>
      <c r="C476" s="3263"/>
      <c r="D476" s="3268"/>
      <c r="E476" s="3264">
        <f t="shared" si="239"/>
        <v>0</v>
      </c>
      <c r="F476" s="3265"/>
      <c r="G476" s="3266">
        <f t="shared" si="240"/>
        <v>0</v>
      </c>
      <c r="H476" s="3267">
        <f t="shared" si="241"/>
        <v>0</v>
      </c>
      <c r="I476" s="3275"/>
      <c r="J476" s="3275"/>
      <c r="K476" s="3275"/>
      <c r="L476" s="3275"/>
      <c r="M476" s="3275"/>
      <c r="N476" s="3275"/>
      <c r="O476" s="3275"/>
      <c r="P476" s="3275"/>
      <c r="Q476" s="3275"/>
      <c r="R476" s="3275"/>
      <c r="S476" s="3275"/>
      <c r="T476" s="3275"/>
      <c r="U476" s="3275"/>
      <c r="V476" s="3275"/>
      <c r="W476" s="3275"/>
      <c r="X476" s="3275"/>
      <c r="Y476" s="3275"/>
      <c r="Z476" s="3275"/>
      <c r="AA476" s="3275"/>
      <c r="AB476" s="3275"/>
      <c r="AC476" s="3264">
        <f t="shared" si="242"/>
        <v>0</v>
      </c>
      <c r="AD476" s="3285"/>
      <c r="AE476" s="3285"/>
      <c r="AF476" s="3285"/>
      <c r="AG476" s="3285"/>
      <c r="AH476" s="3285"/>
      <c r="AI476" s="3285"/>
      <c r="AJ476" s="3285"/>
      <c r="AK476" s="3285"/>
      <c r="AL476" s="3285"/>
      <c r="AM476" s="3285"/>
      <c r="AN476" s="3285"/>
      <c r="AO476" s="3285"/>
      <c r="AP476" s="3285"/>
      <c r="AQ476" s="3285"/>
      <c r="AR476" s="3285"/>
      <c r="AS476" s="3285"/>
      <c r="AT476" s="3295"/>
      <c r="AU476" s="3296"/>
      <c r="AV476" s="830">
        <f t="shared" si="243"/>
        <v>0</v>
      </c>
      <c r="AW476" s="830">
        <f t="shared" si="244"/>
        <v>0</v>
      </c>
      <c r="AX476" s="830">
        <f t="shared" si="245"/>
        <v>0</v>
      </c>
      <c r="AY476" s="3310">
        <f t="shared" si="246"/>
        <v>0</v>
      </c>
      <c r="AZ476" s="3264">
        <f t="shared" si="247"/>
        <v>0</v>
      </c>
      <c r="BA476" s="3264">
        <f t="shared" si="248"/>
        <v>0</v>
      </c>
      <c r="BB476" s="3264">
        <f t="shared" si="249"/>
        <v>0</v>
      </c>
      <c r="BC476" s="3264">
        <f t="shared" si="250"/>
        <v>0</v>
      </c>
      <c r="BD476" s="3264">
        <f t="shared" si="251"/>
        <v>0</v>
      </c>
      <c r="BE476" s="3264">
        <f t="shared" si="252"/>
        <v>0</v>
      </c>
      <c r="BF476" s="3264">
        <f t="shared" si="253"/>
        <v>0</v>
      </c>
      <c r="BG476" s="3264">
        <f t="shared" si="254"/>
        <v>0</v>
      </c>
      <c r="BH476" s="3264">
        <f t="shared" si="255"/>
        <v>0</v>
      </c>
      <c r="BI476" s="3264">
        <f t="shared" si="256"/>
        <v>0</v>
      </c>
      <c r="BJ476" s="3264">
        <f t="shared" si="257"/>
        <v>0</v>
      </c>
      <c r="BK476" s="3264">
        <f t="shared" si="258"/>
        <v>0</v>
      </c>
      <c r="BL476" s="3264">
        <f t="shared" si="259"/>
        <v>0</v>
      </c>
      <c r="BM476" s="3264">
        <f t="shared" si="260"/>
        <v>0</v>
      </c>
      <c r="BN476" s="3264">
        <f t="shared" si="261"/>
        <v>0</v>
      </c>
      <c r="BO476" s="3264">
        <f t="shared" si="262"/>
        <v>0</v>
      </c>
      <c r="BP476" s="3264">
        <f t="shared" si="263"/>
        <v>0</v>
      </c>
      <c r="BQ476" s="3264">
        <f t="shared" si="264"/>
        <v>0</v>
      </c>
      <c r="BR476" s="3264">
        <f t="shared" si="265"/>
        <v>0</v>
      </c>
      <c r="BS476" s="3264">
        <f t="shared" si="266"/>
        <v>0</v>
      </c>
      <c r="BT476" s="3317">
        <f t="shared" si="267"/>
        <v>0</v>
      </c>
    </row>
    <row r="477" spans="1:72">
      <c r="A477" s="3262"/>
      <c r="B477" s="3263"/>
      <c r="C477" s="3263"/>
      <c r="D477" s="3268"/>
      <c r="E477" s="3264">
        <f t="shared" si="239"/>
        <v>0</v>
      </c>
      <c r="F477" s="3265"/>
      <c r="G477" s="3266">
        <f t="shared" si="240"/>
        <v>0</v>
      </c>
      <c r="H477" s="3267">
        <f t="shared" si="241"/>
        <v>0</v>
      </c>
      <c r="I477" s="3275"/>
      <c r="J477" s="3275"/>
      <c r="K477" s="3275"/>
      <c r="L477" s="3275"/>
      <c r="M477" s="3275"/>
      <c r="N477" s="3275"/>
      <c r="O477" s="3275"/>
      <c r="P477" s="3275"/>
      <c r="Q477" s="3275"/>
      <c r="R477" s="3275"/>
      <c r="S477" s="3275"/>
      <c r="T477" s="3275"/>
      <c r="U477" s="3275"/>
      <c r="V477" s="3275"/>
      <c r="W477" s="3275"/>
      <c r="X477" s="3275"/>
      <c r="Y477" s="3275"/>
      <c r="Z477" s="3275"/>
      <c r="AA477" s="3275"/>
      <c r="AB477" s="3275"/>
      <c r="AC477" s="3264">
        <f t="shared" si="242"/>
        <v>0</v>
      </c>
      <c r="AD477" s="3285"/>
      <c r="AE477" s="3285"/>
      <c r="AF477" s="3285"/>
      <c r="AG477" s="3285"/>
      <c r="AH477" s="3285"/>
      <c r="AI477" s="3285"/>
      <c r="AJ477" s="3285"/>
      <c r="AK477" s="3285"/>
      <c r="AL477" s="3285"/>
      <c r="AM477" s="3285"/>
      <c r="AN477" s="3285"/>
      <c r="AO477" s="3285"/>
      <c r="AP477" s="3285"/>
      <c r="AQ477" s="3285"/>
      <c r="AR477" s="3285"/>
      <c r="AS477" s="3285"/>
      <c r="AT477" s="3295"/>
      <c r="AU477" s="3296"/>
      <c r="AV477" s="830">
        <f t="shared" si="243"/>
        <v>0</v>
      </c>
      <c r="AW477" s="830">
        <f t="shared" si="244"/>
        <v>0</v>
      </c>
      <c r="AX477" s="830">
        <f t="shared" si="245"/>
        <v>0</v>
      </c>
      <c r="AY477" s="3310">
        <f t="shared" si="246"/>
        <v>0</v>
      </c>
      <c r="AZ477" s="3264">
        <f t="shared" si="247"/>
        <v>0</v>
      </c>
      <c r="BA477" s="3264">
        <f t="shared" si="248"/>
        <v>0</v>
      </c>
      <c r="BB477" s="3264">
        <f t="shared" si="249"/>
        <v>0</v>
      </c>
      <c r="BC477" s="3264">
        <f t="shared" si="250"/>
        <v>0</v>
      </c>
      <c r="BD477" s="3264">
        <f t="shared" si="251"/>
        <v>0</v>
      </c>
      <c r="BE477" s="3264">
        <f t="shared" si="252"/>
        <v>0</v>
      </c>
      <c r="BF477" s="3264">
        <f t="shared" si="253"/>
        <v>0</v>
      </c>
      <c r="BG477" s="3264">
        <f t="shared" si="254"/>
        <v>0</v>
      </c>
      <c r="BH477" s="3264">
        <f t="shared" si="255"/>
        <v>0</v>
      </c>
      <c r="BI477" s="3264">
        <f t="shared" si="256"/>
        <v>0</v>
      </c>
      <c r="BJ477" s="3264">
        <f t="shared" si="257"/>
        <v>0</v>
      </c>
      <c r="BK477" s="3264">
        <f t="shared" si="258"/>
        <v>0</v>
      </c>
      <c r="BL477" s="3264">
        <f t="shared" si="259"/>
        <v>0</v>
      </c>
      <c r="BM477" s="3264">
        <f t="shared" si="260"/>
        <v>0</v>
      </c>
      <c r="BN477" s="3264">
        <f t="shared" si="261"/>
        <v>0</v>
      </c>
      <c r="BO477" s="3264">
        <f t="shared" si="262"/>
        <v>0</v>
      </c>
      <c r="BP477" s="3264">
        <f t="shared" si="263"/>
        <v>0</v>
      </c>
      <c r="BQ477" s="3264">
        <f t="shared" si="264"/>
        <v>0</v>
      </c>
      <c r="BR477" s="3264">
        <f t="shared" si="265"/>
        <v>0</v>
      </c>
      <c r="BS477" s="3264">
        <f t="shared" si="266"/>
        <v>0</v>
      </c>
      <c r="BT477" s="3317">
        <f t="shared" si="267"/>
        <v>0</v>
      </c>
    </row>
    <row r="478" spans="1:72">
      <c r="A478" s="3262"/>
      <c r="B478" s="3263"/>
      <c r="C478" s="3263"/>
      <c r="D478" s="3268"/>
      <c r="E478" s="3264">
        <f t="shared" si="239"/>
        <v>0</v>
      </c>
      <c r="F478" s="3265"/>
      <c r="G478" s="3266">
        <f t="shared" si="240"/>
        <v>0</v>
      </c>
      <c r="H478" s="3267">
        <f t="shared" si="241"/>
        <v>0</v>
      </c>
      <c r="I478" s="3275"/>
      <c r="J478" s="3275"/>
      <c r="K478" s="3275"/>
      <c r="L478" s="3275"/>
      <c r="M478" s="3275"/>
      <c r="N478" s="3275"/>
      <c r="O478" s="3275"/>
      <c r="P478" s="3275"/>
      <c r="Q478" s="3275"/>
      <c r="R478" s="3275"/>
      <c r="S478" s="3275"/>
      <c r="T478" s="3275"/>
      <c r="U478" s="3275"/>
      <c r="V478" s="3275"/>
      <c r="W478" s="3275"/>
      <c r="X478" s="3275"/>
      <c r="Y478" s="3275"/>
      <c r="Z478" s="3275"/>
      <c r="AA478" s="3275"/>
      <c r="AB478" s="3275"/>
      <c r="AC478" s="3264">
        <f t="shared" si="242"/>
        <v>0</v>
      </c>
      <c r="AD478" s="3285"/>
      <c r="AE478" s="3285"/>
      <c r="AF478" s="3285"/>
      <c r="AG478" s="3285"/>
      <c r="AH478" s="3285"/>
      <c r="AI478" s="3285"/>
      <c r="AJ478" s="3285"/>
      <c r="AK478" s="3285"/>
      <c r="AL478" s="3285"/>
      <c r="AM478" s="3285"/>
      <c r="AN478" s="3285"/>
      <c r="AO478" s="3285"/>
      <c r="AP478" s="3285"/>
      <c r="AQ478" s="3285"/>
      <c r="AR478" s="3285"/>
      <c r="AS478" s="3285"/>
      <c r="AT478" s="3295"/>
      <c r="AU478" s="3296"/>
      <c r="AV478" s="830">
        <f t="shared" si="243"/>
        <v>0</v>
      </c>
      <c r="AW478" s="830">
        <f t="shared" si="244"/>
        <v>0</v>
      </c>
      <c r="AX478" s="830">
        <f t="shared" si="245"/>
        <v>0</v>
      </c>
      <c r="AY478" s="3310">
        <f t="shared" si="246"/>
        <v>0</v>
      </c>
      <c r="AZ478" s="3264">
        <f t="shared" si="247"/>
        <v>0</v>
      </c>
      <c r="BA478" s="3264">
        <f t="shared" si="248"/>
        <v>0</v>
      </c>
      <c r="BB478" s="3264">
        <f t="shared" si="249"/>
        <v>0</v>
      </c>
      <c r="BC478" s="3264">
        <f t="shared" si="250"/>
        <v>0</v>
      </c>
      <c r="BD478" s="3264">
        <f t="shared" si="251"/>
        <v>0</v>
      </c>
      <c r="BE478" s="3264">
        <f t="shared" si="252"/>
        <v>0</v>
      </c>
      <c r="BF478" s="3264">
        <f t="shared" si="253"/>
        <v>0</v>
      </c>
      <c r="BG478" s="3264">
        <f t="shared" si="254"/>
        <v>0</v>
      </c>
      <c r="BH478" s="3264">
        <f t="shared" si="255"/>
        <v>0</v>
      </c>
      <c r="BI478" s="3264">
        <f t="shared" si="256"/>
        <v>0</v>
      </c>
      <c r="BJ478" s="3264">
        <f t="shared" si="257"/>
        <v>0</v>
      </c>
      <c r="BK478" s="3264">
        <f t="shared" si="258"/>
        <v>0</v>
      </c>
      <c r="BL478" s="3264">
        <f t="shared" si="259"/>
        <v>0</v>
      </c>
      <c r="BM478" s="3264">
        <f t="shared" si="260"/>
        <v>0</v>
      </c>
      <c r="BN478" s="3264">
        <f t="shared" si="261"/>
        <v>0</v>
      </c>
      <c r="BO478" s="3264">
        <f t="shared" si="262"/>
        <v>0</v>
      </c>
      <c r="BP478" s="3264">
        <f t="shared" si="263"/>
        <v>0</v>
      </c>
      <c r="BQ478" s="3264">
        <f t="shared" si="264"/>
        <v>0</v>
      </c>
      <c r="BR478" s="3264">
        <f t="shared" si="265"/>
        <v>0</v>
      </c>
      <c r="BS478" s="3264">
        <f t="shared" si="266"/>
        <v>0</v>
      </c>
      <c r="BT478" s="3317">
        <f t="shared" si="267"/>
        <v>0</v>
      </c>
    </row>
    <row r="479" spans="1:72">
      <c r="A479" s="3262"/>
      <c r="B479" s="3263"/>
      <c r="C479" s="3263"/>
      <c r="D479" s="3268"/>
      <c r="E479" s="3264">
        <f t="shared" si="239"/>
        <v>0</v>
      </c>
      <c r="F479" s="3265"/>
      <c r="G479" s="3266">
        <f t="shared" si="240"/>
        <v>0</v>
      </c>
      <c r="H479" s="3267">
        <f t="shared" si="241"/>
        <v>0</v>
      </c>
      <c r="I479" s="3275"/>
      <c r="J479" s="3275"/>
      <c r="K479" s="3275"/>
      <c r="L479" s="3275"/>
      <c r="M479" s="3275"/>
      <c r="N479" s="3275"/>
      <c r="O479" s="3275"/>
      <c r="P479" s="3275"/>
      <c r="Q479" s="3275"/>
      <c r="R479" s="3275"/>
      <c r="S479" s="3275"/>
      <c r="T479" s="3275"/>
      <c r="U479" s="3275"/>
      <c r="V479" s="3275"/>
      <c r="W479" s="3275"/>
      <c r="X479" s="3275"/>
      <c r="Y479" s="3275"/>
      <c r="Z479" s="3275"/>
      <c r="AA479" s="3275"/>
      <c r="AB479" s="3275"/>
      <c r="AC479" s="3264">
        <f t="shared" si="242"/>
        <v>0</v>
      </c>
      <c r="AD479" s="3285"/>
      <c r="AE479" s="3285"/>
      <c r="AF479" s="3285"/>
      <c r="AG479" s="3285"/>
      <c r="AH479" s="3285"/>
      <c r="AI479" s="3285"/>
      <c r="AJ479" s="3285"/>
      <c r="AK479" s="3285"/>
      <c r="AL479" s="3285"/>
      <c r="AM479" s="3285"/>
      <c r="AN479" s="3285"/>
      <c r="AO479" s="3285"/>
      <c r="AP479" s="3285"/>
      <c r="AQ479" s="3285"/>
      <c r="AR479" s="3285"/>
      <c r="AS479" s="3285"/>
      <c r="AT479" s="3295"/>
      <c r="AU479" s="3296"/>
      <c r="AV479" s="830">
        <f t="shared" si="243"/>
        <v>0</v>
      </c>
      <c r="AW479" s="830">
        <f t="shared" si="244"/>
        <v>0</v>
      </c>
      <c r="AX479" s="830">
        <f t="shared" si="245"/>
        <v>0</v>
      </c>
      <c r="AY479" s="3310">
        <f t="shared" si="246"/>
        <v>0</v>
      </c>
      <c r="AZ479" s="3264">
        <f t="shared" si="247"/>
        <v>0</v>
      </c>
      <c r="BA479" s="3264">
        <f t="shared" si="248"/>
        <v>0</v>
      </c>
      <c r="BB479" s="3264">
        <f t="shared" si="249"/>
        <v>0</v>
      </c>
      <c r="BC479" s="3264">
        <f t="shared" si="250"/>
        <v>0</v>
      </c>
      <c r="BD479" s="3264">
        <f t="shared" si="251"/>
        <v>0</v>
      </c>
      <c r="BE479" s="3264">
        <f t="shared" si="252"/>
        <v>0</v>
      </c>
      <c r="BF479" s="3264">
        <f t="shared" si="253"/>
        <v>0</v>
      </c>
      <c r="BG479" s="3264">
        <f t="shared" si="254"/>
        <v>0</v>
      </c>
      <c r="BH479" s="3264">
        <f t="shared" si="255"/>
        <v>0</v>
      </c>
      <c r="BI479" s="3264">
        <f t="shared" si="256"/>
        <v>0</v>
      </c>
      <c r="BJ479" s="3264">
        <f t="shared" si="257"/>
        <v>0</v>
      </c>
      <c r="BK479" s="3264">
        <f t="shared" si="258"/>
        <v>0</v>
      </c>
      <c r="BL479" s="3264">
        <f t="shared" si="259"/>
        <v>0</v>
      </c>
      <c r="BM479" s="3264">
        <f t="shared" si="260"/>
        <v>0</v>
      </c>
      <c r="BN479" s="3264">
        <f t="shared" si="261"/>
        <v>0</v>
      </c>
      <c r="BO479" s="3264">
        <f t="shared" si="262"/>
        <v>0</v>
      </c>
      <c r="BP479" s="3264">
        <f t="shared" si="263"/>
        <v>0</v>
      </c>
      <c r="BQ479" s="3264">
        <f t="shared" si="264"/>
        <v>0</v>
      </c>
      <c r="BR479" s="3264">
        <f t="shared" si="265"/>
        <v>0</v>
      </c>
      <c r="BS479" s="3264">
        <f t="shared" si="266"/>
        <v>0</v>
      </c>
      <c r="BT479" s="3317">
        <f t="shared" si="267"/>
        <v>0</v>
      </c>
    </row>
    <row r="480" spans="1:72">
      <c r="A480" s="3262"/>
      <c r="B480" s="3263"/>
      <c r="C480" s="3263"/>
      <c r="D480" s="3268"/>
      <c r="E480" s="3264">
        <f t="shared" si="239"/>
        <v>0</v>
      </c>
      <c r="F480" s="3265"/>
      <c r="G480" s="3266">
        <f t="shared" si="240"/>
        <v>0</v>
      </c>
      <c r="H480" s="3267">
        <f t="shared" si="241"/>
        <v>0</v>
      </c>
      <c r="I480" s="3275"/>
      <c r="J480" s="3275"/>
      <c r="K480" s="3275"/>
      <c r="L480" s="3275"/>
      <c r="M480" s="3275"/>
      <c r="N480" s="3275"/>
      <c r="O480" s="3275"/>
      <c r="P480" s="3275"/>
      <c r="Q480" s="3275"/>
      <c r="R480" s="3275"/>
      <c r="S480" s="3275"/>
      <c r="T480" s="3275"/>
      <c r="U480" s="3275"/>
      <c r="V480" s="3275"/>
      <c r="W480" s="3275"/>
      <c r="X480" s="3275"/>
      <c r="Y480" s="3275"/>
      <c r="Z480" s="3275"/>
      <c r="AA480" s="3275"/>
      <c r="AB480" s="3275"/>
      <c r="AC480" s="3264">
        <f t="shared" si="242"/>
        <v>0</v>
      </c>
      <c r="AD480" s="3285"/>
      <c r="AE480" s="3285"/>
      <c r="AF480" s="3285"/>
      <c r="AG480" s="3285"/>
      <c r="AH480" s="3285"/>
      <c r="AI480" s="3285"/>
      <c r="AJ480" s="3285"/>
      <c r="AK480" s="3285"/>
      <c r="AL480" s="3285"/>
      <c r="AM480" s="3285"/>
      <c r="AN480" s="3285"/>
      <c r="AO480" s="3285"/>
      <c r="AP480" s="3285"/>
      <c r="AQ480" s="3285"/>
      <c r="AR480" s="3285"/>
      <c r="AS480" s="3285"/>
      <c r="AT480" s="3295"/>
      <c r="AU480" s="3296"/>
      <c r="AV480" s="830">
        <f t="shared" si="243"/>
        <v>0</v>
      </c>
      <c r="AW480" s="830">
        <f t="shared" si="244"/>
        <v>0</v>
      </c>
      <c r="AX480" s="830">
        <f t="shared" si="245"/>
        <v>0</v>
      </c>
      <c r="AY480" s="3310">
        <f t="shared" si="246"/>
        <v>0</v>
      </c>
      <c r="AZ480" s="3264">
        <f t="shared" si="247"/>
        <v>0</v>
      </c>
      <c r="BA480" s="3264">
        <f t="shared" si="248"/>
        <v>0</v>
      </c>
      <c r="BB480" s="3264">
        <f t="shared" si="249"/>
        <v>0</v>
      </c>
      <c r="BC480" s="3264">
        <f t="shared" si="250"/>
        <v>0</v>
      </c>
      <c r="BD480" s="3264">
        <f t="shared" si="251"/>
        <v>0</v>
      </c>
      <c r="BE480" s="3264">
        <f t="shared" si="252"/>
        <v>0</v>
      </c>
      <c r="BF480" s="3264">
        <f t="shared" si="253"/>
        <v>0</v>
      </c>
      <c r="BG480" s="3264">
        <f t="shared" si="254"/>
        <v>0</v>
      </c>
      <c r="BH480" s="3264">
        <f t="shared" si="255"/>
        <v>0</v>
      </c>
      <c r="BI480" s="3264">
        <f t="shared" si="256"/>
        <v>0</v>
      </c>
      <c r="BJ480" s="3264">
        <f t="shared" si="257"/>
        <v>0</v>
      </c>
      <c r="BK480" s="3264">
        <f t="shared" si="258"/>
        <v>0</v>
      </c>
      <c r="BL480" s="3264">
        <f t="shared" si="259"/>
        <v>0</v>
      </c>
      <c r="BM480" s="3264">
        <f t="shared" si="260"/>
        <v>0</v>
      </c>
      <c r="BN480" s="3264">
        <f t="shared" si="261"/>
        <v>0</v>
      </c>
      <c r="BO480" s="3264">
        <f t="shared" si="262"/>
        <v>0</v>
      </c>
      <c r="BP480" s="3264">
        <f t="shared" si="263"/>
        <v>0</v>
      </c>
      <c r="BQ480" s="3264">
        <f t="shared" si="264"/>
        <v>0</v>
      </c>
      <c r="BR480" s="3264">
        <f t="shared" si="265"/>
        <v>0</v>
      </c>
      <c r="BS480" s="3264">
        <f t="shared" si="266"/>
        <v>0</v>
      </c>
      <c r="BT480" s="3317">
        <f t="shared" si="267"/>
        <v>0</v>
      </c>
    </row>
    <row r="481" spans="1:72">
      <c r="A481" s="3262"/>
      <c r="B481" s="3263"/>
      <c r="C481" s="3263"/>
      <c r="D481" s="3268"/>
      <c r="E481" s="3264">
        <f t="shared" si="239"/>
        <v>0</v>
      </c>
      <c r="F481" s="3265"/>
      <c r="G481" s="3266">
        <f t="shared" si="240"/>
        <v>0</v>
      </c>
      <c r="H481" s="3267">
        <f t="shared" si="241"/>
        <v>0</v>
      </c>
      <c r="I481" s="3275"/>
      <c r="J481" s="3275"/>
      <c r="K481" s="3275"/>
      <c r="L481" s="3275"/>
      <c r="M481" s="3275"/>
      <c r="N481" s="3275"/>
      <c r="O481" s="3275"/>
      <c r="P481" s="3275"/>
      <c r="Q481" s="3275"/>
      <c r="R481" s="3275"/>
      <c r="S481" s="3275"/>
      <c r="T481" s="3275"/>
      <c r="U481" s="3275"/>
      <c r="V481" s="3275"/>
      <c r="W481" s="3275"/>
      <c r="X481" s="3275"/>
      <c r="Y481" s="3275"/>
      <c r="Z481" s="3275"/>
      <c r="AA481" s="3275"/>
      <c r="AB481" s="3275"/>
      <c r="AC481" s="3264">
        <f t="shared" si="242"/>
        <v>0</v>
      </c>
      <c r="AD481" s="3285"/>
      <c r="AE481" s="3285"/>
      <c r="AF481" s="3285"/>
      <c r="AG481" s="3285"/>
      <c r="AH481" s="3285"/>
      <c r="AI481" s="3285"/>
      <c r="AJ481" s="3285"/>
      <c r="AK481" s="3285"/>
      <c r="AL481" s="3285"/>
      <c r="AM481" s="3285"/>
      <c r="AN481" s="3285"/>
      <c r="AO481" s="3285"/>
      <c r="AP481" s="3285"/>
      <c r="AQ481" s="3285"/>
      <c r="AR481" s="3285"/>
      <c r="AS481" s="3285"/>
      <c r="AT481" s="3295"/>
      <c r="AU481" s="3296"/>
      <c r="AV481" s="830">
        <f t="shared" si="243"/>
        <v>0</v>
      </c>
      <c r="AW481" s="830">
        <f t="shared" si="244"/>
        <v>0</v>
      </c>
      <c r="AX481" s="830">
        <f t="shared" si="245"/>
        <v>0</v>
      </c>
      <c r="AY481" s="3310">
        <f t="shared" si="246"/>
        <v>0</v>
      </c>
      <c r="AZ481" s="3264">
        <f t="shared" si="247"/>
        <v>0</v>
      </c>
      <c r="BA481" s="3264">
        <f t="shared" si="248"/>
        <v>0</v>
      </c>
      <c r="BB481" s="3264">
        <f t="shared" si="249"/>
        <v>0</v>
      </c>
      <c r="BC481" s="3264">
        <f t="shared" si="250"/>
        <v>0</v>
      </c>
      <c r="BD481" s="3264">
        <f t="shared" si="251"/>
        <v>0</v>
      </c>
      <c r="BE481" s="3264">
        <f t="shared" si="252"/>
        <v>0</v>
      </c>
      <c r="BF481" s="3264">
        <f t="shared" si="253"/>
        <v>0</v>
      </c>
      <c r="BG481" s="3264">
        <f t="shared" si="254"/>
        <v>0</v>
      </c>
      <c r="BH481" s="3264">
        <f t="shared" si="255"/>
        <v>0</v>
      </c>
      <c r="BI481" s="3264">
        <f t="shared" si="256"/>
        <v>0</v>
      </c>
      <c r="BJ481" s="3264">
        <f t="shared" si="257"/>
        <v>0</v>
      </c>
      <c r="BK481" s="3264">
        <f t="shared" si="258"/>
        <v>0</v>
      </c>
      <c r="BL481" s="3264">
        <f t="shared" si="259"/>
        <v>0</v>
      </c>
      <c r="BM481" s="3264">
        <f t="shared" si="260"/>
        <v>0</v>
      </c>
      <c r="BN481" s="3264">
        <f t="shared" si="261"/>
        <v>0</v>
      </c>
      <c r="BO481" s="3264">
        <f t="shared" si="262"/>
        <v>0</v>
      </c>
      <c r="BP481" s="3264">
        <f t="shared" si="263"/>
        <v>0</v>
      </c>
      <c r="BQ481" s="3264">
        <f t="shared" si="264"/>
        <v>0</v>
      </c>
      <c r="BR481" s="3264">
        <f t="shared" si="265"/>
        <v>0</v>
      </c>
      <c r="BS481" s="3264">
        <f t="shared" si="266"/>
        <v>0</v>
      </c>
      <c r="BT481" s="3317">
        <f t="shared" si="267"/>
        <v>0</v>
      </c>
    </row>
    <row r="482" spans="1:72">
      <c r="A482" s="3262"/>
      <c r="B482" s="3263"/>
      <c r="C482" s="3263"/>
      <c r="D482" s="3268"/>
      <c r="E482" s="3264">
        <f t="shared" si="239"/>
        <v>0</v>
      </c>
      <c r="F482" s="3265"/>
      <c r="G482" s="3266">
        <f t="shared" si="240"/>
        <v>0</v>
      </c>
      <c r="H482" s="3267">
        <f t="shared" si="241"/>
        <v>0</v>
      </c>
      <c r="I482" s="3275"/>
      <c r="J482" s="3275"/>
      <c r="K482" s="3275"/>
      <c r="L482" s="3275"/>
      <c r="M482" s="3275"/>
      <c r="N482" s="3275"/>
      <c r="O482" s="3275"/>
      <c r="P482" s="3275"/>
      <c r="Q482" s="3275"/>
      <c r="R482" s="3275"/>
      <c r="S482" s="3275"/>
      <c r="T482" s="3275"/>
      <c r="U482" s="3275"/>
      <c r="V482" s="3275"/>
      <c r="W482" s="3275"/>
      <c r="X482" s="3275"/>
      <c r="Y482" s="3275"/>
      <c r="Z482" s="3275"/>
      <c r="AA482" s="3275"/>
      <c r="AB482" s="3275"/>
      <c r="AC482" s="3264">
        <f t="shared" si="242"/>
        <v>0</v>
      </c>
      <c r="AD482" s="3285"/>
      <c r="AE482" s="3285"/>
      <c r="AF482" s="3285"/>
      <c r="AG482" s="3285"/>
      <c r="AH482" s="3285"/>
      <c r="AI482" s="3285"/>
      <c r="AJ482" s="3285"/>
      <c r="AK482" s="3285"/>
      <c r="AL482" s="3285"/>
      <c r="AM482" s="3285"/>
      <c r="AN482" s="3285"/>
      <c r="AO482" s="3285"/>
      <c r="AP482" s="3285"/>
      <c r="AQ482" s="3285"/>
      <c r="AR482" s="3285"/>
      <c r="AS482" s="3285"/>
      <c r="AT482" s="3295"/>
      <c r="AU482" s="3296"/>
      <c r="AV482" s="830">
        <f t="shared" si="243"/>
        <v>0</v>
      </c>
      <c r="AW482" s="830">
        <f t="shared" si="244"/>
        <v>0</v>
      </c>
      <c r="AX482" s="830">
        <f t="shared" si="245"/>
        <v>0</v>
      </c>
      <c r="AY482" s="3310">
        <f t="shared" si="246"/>
        <v>0</v>
      </c>
      <c r="AZ482" s="3264">
        <f t="shared" si="247"/>
        <v>0</v>
      </c>
      <c r="BA482" s="3264">
        <f t="shared" si="248"/>
        <v>0</v>
      </c>
      <c r="BB482" s="3264">
        <f t="shared" si="249"/>
        <v>0</v>
      </c>
      <c r="BC482" s="3264">
        <f t="shared" si="250"/>
        <v>0</v>
      </c>
      <c r="BD482" s="3264">
        <f t="shared" si="251"/>
        <v>0</v>
      </c>
      <c r="BE482" s="3264">
        <f t="shared" si="252"/>
        <v>0</v>
      </c>
      <c r="BF482" s="3264">
        <f t="shared" si="253"/>
        <v>0</v>
      </c>
      <c r="BG482" s="3264">
        <f t="shared" si="254"/>
        <v>0</v>
      </c>
      <c r="BH482" s="3264">
        <f t="shared" si="255"/>
        <v>0</v>
      </c>
      <c r="BI482" s="3264">
        <f t="shared" si="256"/>
        <v>0</v>
      </c>
      <c r="BJ482" s="3264">
        <f t="shared" si="257"/>
        <v>0</v>
      </c>
      <c r="BK482" s="3264">
        <f t="shared" si="258"/>
        <v>0</v>
      </c>
      <c r="BL482" s="3264">
        <f t="shared" si="259"/>
        <v>0</v>
      </c>
      <c r="BM482" s="3264">
        <f t="shared" si="260"/>
        <v>0</v>
      </c>
      <c r="BN482" s="3264">
        <f t="shared" si="261"/>
        <v>0</v>
      </c>
      <c r="BO482" s="3264">
        <f t="shared" si="262"/>
        <v>0</v>
      </c>
      <c r="BP482" s="3264">
        <f t="shared" si="263"/>
        <v>0</v>
      </c>
      <c r="BQ482" s="3264">
        <f t="shared" si="264"/>
        <v>0</v>
      </c>
      <c r="BR482" s="3264">
        <f t="shared" si="265"/>
        <v>0</v>
      </c>
      <c r="BS482" s="3264">
        <f t="shared" si="266"/>
        <v>0</v>
      </c>
      <c r="BT482" s="3317">
        <f t="shared" si="267"/>
        <v>0</v>
      </c>
    </row>
    <row r="483" spans="1:72">
      <c r="A483" s="3262"/>
      <c r="B483" s="3263"/>
      <c r="C483" s="3263"/>
      <c r="D483" s="3268"/>
      <c r="E483" s="3264">
        <f t="shared" si="239"/>
        <v>0</v>
      </c>
      <c r="F483" s="3265"/>
      <c r="G483" s="3266">
        <f t="shared" si="240"/>
        <v>0</v>
      </c>
      <c r="H483" s="3267">
        <f t="shared" si="241"/>
        <v>0</v>
      </c>
      <c r="I483" s="3275"/>
      <c r="J483" s="3275"/>
      <c r="K483" s="3275"/>
      <c r="L483" s="3275"/>
      <c r="M483" s="3275"/>
      <c r="N483" s="3275"/>
      <c r="O483" s="3275"/>
      <c r="P483" s="3275"/>
      <c r="Q483" s="3275"/>
      <c r="R483" s="3275"/>
      <c r="S483" s="3275"/>
      <c r="T483" s="3275"/>
      <c r="U483" s="3275"/>
      <c r="V483" s="3275"/>
      <c r="W483" s="3275"/>
      <c r="X483" s="3275"/>
      <c r="Y483" s="3275"/>
      <c r="Z483" s="3275"/>
      <c r="AA483" s="3275"/>
      <c r="AB483" s="3275"/>
      <c r="AC483" s="3264">
        <f t="shared" si="242"/>
        <v>0</v>
      </c>
      <c r="AD483" s="3285"/>
      <c r="AE483" s="3285"/>
      <c r="AF483" s="3285"/>
      <c r="AG483" s="3285"/>
      <c r="AH483" s="3285"/>
      <c r="AI483" s="3285"/>
      <c r="AJ483" s="3285"/>
      <c r="AK483" s="3285"/>
      <c r="AL483" s="3285"/>
      <c r="AM483" s="3285"/>
      <c r="AN483" s="3285"/>
      <c r="AO483" s="3285"/>
      <c r="AP483" s="3285"/>
      <c r="AQ483" s="3285"/>
      <c r="AR483" s="3285"/>
      <c r="AS483" s="3285"/>
      <c r="AT483" s="3295"/>
      <c r="AU483" s="3296"/>
      <c r="AV483" s="830">
        <f t="shared" si="243"/>
        <v>0</v>
      </c>
      <c r="AW483" s="830">
        <f t="shared" si="244"/>
        <v>0</v>
      </c>
      <c r="AX483" s="830">
        <f t="shared" si="245"/>
        <v>0</v>
      </c>
      <c r="AY483" s="3310">
        <f t="shared" si="246"/>
        <v>0</v>
      </c>
      <c r="AZ483" s="3264">
        <f t="shared" si="247"/>
        <v>0</v>
      </c>
      <c r="BA483" s="3264">
        <f t="shared" si="248"/>
        <v>0</v>
      </c>
      <c r="BB483" s="3264">
        <f t="shared" si="249"/>
        <v>0</v>
      </c>
      <c r="BC483" s="3264">
        <f t="shared" si="250"/>
        <v>0</v>
      </c>
      <c r="BD483" s="3264">
        <f t="shared" si="251"/>
        <v>0</v>
      </c>
      <c r="BE483" s="3264">
        <f t="shared" si="252"/>
        <v>0</v>
      </c>
      <c r="BF483" s="3264">
        <f t="shared" si="253"/>
        <v>0</v>
      </c>
      <c r="BG483" s="3264">
        <f t="shared" si="254"/>
        <v>0</v>
      </c>
      <c r="BH483" s="3264">
        <f t="shared" si="255"/>
        <v>0</v>
      </c>
      <c r="BI483" s="3264">
        <f t="shared" si="256"/>
        <v>0</v>
      </c>
      <c r="BJ483" s="3264">
        <f t="shared" si="257"/>
        <v>0</v>
      </c>
      <c r="BK483" s="3264">
        <f t="shared" si="258"/>
        <v>0</v>
      </c>
      <c r="BL483" s="3264">
        <f t="shared" si="259"/>
        <v>0</v>
      </c>
      <c r="BM483" s="3264">
        <f t="shared" si="260"/>
        <v>0</v>
      </c>
      <c r="BN483" s="3264">
        <f t="shared" si="261"/>
        <v>0</v>
      </c>
      <c r="BO483" s="3264">
        <f t="shared" si="262"/>
        <v>0</v>
      </c>
      <c r="BP483" s="3264">
        <f t="shared" si="263"/>
        <v>0</v>
      </c>
      <c r="BQ483" s="3264">
        <f t="shared" si="264"/>
        <v>0</v>
      </c>
      <c r="BR483" s="3264">
        <f t="shared" si="265"/>
        <v>0</v>
      </c>
      <c r="BS483" s="3264">
        <f t="shared" si="266"/>
        <v>0</v>
      </c>
      <c r="BT483" s="3317">
        <f t="shared" si="267"/>
        <v>0</v>
      </c>
    </row>
    <row r="484" spans="1:72">
      <c r="A484" s="3262"/>
      <c r="B484" s="3263"/>
      <c r="C484" s="3263"/>
      <c r="D484" s="3268"/>
      <c r="E484" s="3264">
        <f t="shared" si="239"/>
        <v>0</v>
      </c>
      <c r="F484" s="3265"/>
      <c r="G484" s="3266">
        <f t="shared" si="240"/>
        <v>0</v>
      </c>
      <c r="H484" s="3267">
        <f t="shared" si="241"/>
        <v>0</v>
      </c>
      <c r="I484" s="3275"/>
      <c r="J484" s="3275"/>
      <c r="K484" s="3275"/>
      <c r="L484" s="3275"/>
      <c r="M484" s="3275"/>
      <c r="N484" s="3275"/>
      <c r="O484" s="3275"/>
      <c r="P484" s="3275"/>
      <c r="Q484" s="3275"/>
      <c r="R484" s="3275"/>
      <c r="S484" s="3275"/>
      <c r="T484" s="3275"/>
      <c r="U484" s="3275"/>
      <c r="V484" s="3275"/>
      <c r="W484" s="3275"/>
      <c r="X484" s="3275"/>
      <c r="Y484" s="3275"/>
      <c r="Z484" s="3275"/>
      <c r="AA484" s="3275"/>
      <c r="AB484" s="3275"/>
      <c r="AC484" s="3264">
        <f t="shared" si="242"/>
        <v>0</v>
      </c>
      <c r="AD484" s="3285"/>
      <c r="AE484" s="3285"/>
      <c r="AF484" s="3285"/>
      <c r="AG484" s="3285"/>
      <c r="AH484" s="3285"/>
      <c r="AI484" s="3285"/>
      <c r="AJ484" s="3285"/>
      <c r="AK484" s="3285"/>
      <c r="AL484" s="3285"/>
      <c r="AM484" s="3285"/>
      <c r="AN484" s="3285"/>
      <c r="AO484" s="3285"/>
      <c r="AP484" s="3285"/>
      <c r="AQ484" s="3285"/>
      <c r="AR484" s="3285"/>
      <c r="AS484" s="3285"/>
      <c r="AT484" s="3295"/>
      <c r="AU484" s="3296"/>
      <c r="AV484" s="830">
        <f t="shared" si="243"/>
        <v>0</v>
      </c>
      <c r="AW484" s="830">
        <f t="shared" si="244"/>
        <v>0</v>
      </c>
      <c r="AX484" s="830">
        <f t="shared" si="245"/>
        <v>0</v>
      </c>
      <c r="AY484" s="3310">
        <f t="shared" si="246"/>
        <v>0</v>
      </c>
      <c r="AZ484" s="3264">
        <f t="shared" si="247"/>
        <v>0</v>
      </c>
      <c r="BA484" s="3264">
        <f t="shared" si="248"/>
        <v>0</v>
      </c>
      <c r="BB484" s="3264">
        <f t="shared" si="249"/>
        <v>0</v>
      </c>
      <c r="BC484" s="3264">
        <f t="shared" si="250"/>
        <v>0</v>
      </c>
      <c r="BD484" s="3264">
        <f t="shared" si="251"/>
        <v>0</v>
      </c>
      <c r="BE484" s="3264">
        <f t="shared" si="252"/>
        <v>0</v>
      </c>
      <c r="BF484" s="3264">
        <f t="shared" si="253"/>
        <v>0</v>
      </c>
      <c r="BG484" s="3264">
        <f t="shared" si="254"/>
        <v>0</v>
      </c>
      <c r="BH484" s="3264">
        <f t="shared" si="255"/>
        <v>0</v>
      </c>
      <c r="BI484" s="3264">
        <f t="shared" si="256"/>
        <v>0</v>
      </c>
      <c r="BJ484" s="3264">
        <f t="shared" si="257"/>
        <v>0</v>
      </c>
      <c r="BK484" s="3264">
        <f t="shared" si="258"/>
        <v>0</v>
      </c>
      <c r="BL484" s="3264">
        <f t="shared" si="259"/>
        <v>0</v>
      </c>
      <c r="BM484" s="3264">
        <f t="shared" si="260"/>
        <v>0</v>
      </c>
      <c r="BN484" s="3264">
        <f t="shared" si="261"/>
        <v>0</v>
      </c>
      <c r="BO484" s="3264">
        <f t="shared" si="262"/>
        <v>0</v>
      </c>
      <c r="BP484" s="3264">
        <f t="shared" si="263"/>
        <v>0</v>
      </c>
      <c r="BQ484" s="3264">
        <f t="shared" si="264"/>
        <v>0</v>
      </c>
      <c r="BR484" s="3264">
        <f t="shared" si="265"/>
        <v>0</v>
      </c>
      <c r="BS484" s="3264">
        <f t="shared" si="266"/>
        <v>0</v>
      </c>
      <c r="BT484" s="3317">
        <f t="shared" si="267"/>
        <v>0</v>
      </c>
    </row>
    <row r="485" spans="1:72">
      <c r="A485" s="3262"/>
      <c r="B485" s="3263"/>
      <c r="C485" s="3263"/>
      <c r="D485" s="3268"/>
      <c r="E485" s="3264">
        <f t="shared" si="239"/>
        <v>0</v>
      </c>
      <c r="F485" s="3265"/>
      <c r="G485" s="3266">
        <f t="shared" si="240"/>
        <v>0</v>
      </c>
      <c r="H485" s="3267">
        <f t="shared" si="241"/>
        <v>0</v>
      </c>
      <c r="I485" s="3275"/>
      <c r="J485" s="3275"/>
      <c r="K485" s="3275"/>
      <c r="L485" s="3275"/>
      <c r="M485" s="3275"/>
      <c r="N485" s="3275"/>
      <c r="O485" s="3275"/>
      <c r="P485" s="3275"/>
      <c r="Q485" s="3275"/>
      <c r="R485" s="3275"/>
      <c r="S485" s="3275"/>
      <c r="T485" s="3275"/>
      <c r="U485" s="3275"/>
      <c r="V485" s="3275"/>
      <c r="W485" s="3275"/>
      <c r="X485" s="3275"/>
      <c r="Y485" s="3275"/>
      <c r="Z485" s="3275"/>
      <c r="AA485" s="3275"/>
      <c r="AB485" s="3275"/>
      <c r="AC485" s="3264">
        <f t="shared" si="242"/>
        <v>0</v>
      </c>
      <c r="AD485" s="3285"/>
      <c r="AE485" s="3285"/>
      <c r="AF485" s="3285"/>
      <c r="AG485" s="3285"/>
      <c r="AH485" s="3285"/>
      <c r="AI485" s="3285"/>
      <c r="AJ485" s="3285"/>
      <c r="AK485" s="3285"/>
      <c r="AL485" s="3285"/>
      <c r="AM485" s="3285"/>
      <c r="AN485" s="3285"/>
      <c r="AO485" s="3285"/>
      <c r="AP485" s="3285"/>
      <c r="AQ485" s="3285"/>
      <c r="AR485" s="3285"/>
      <c r="AS485" s="3285"/>
      <c r="AT485" s="3295"/>
      <c r="AU485" s="3296"/>
      <c r="AV485" s="830">
        <f t="shared" si="243"/>
        <v>0</v>
      </c>
      <c r="AW485" s="830">
        <f t="shared" si="244"/>
        <v>0</v>
      </c>
      <c r="AX485" s="830">
        <f t="shared" si="245"/>
        <v>0</v>
      </c>
      <c r="AY485" s="3310">
        <f t="shared" si="246"/>
        <v>0</v>
      </c>
      <c r="AZ485" s="3264">
        <f t="shared" si="247"/>
        <v>0</v>
      </c>
      <c r="BA485" s="3264">
        <f t="shared" si="248"/>
        <v>0</v>
      </c>
      <c r="BB485" s="3264">
        <f t="shared" si="249"/>
        <v>0</v>
      </c>
      <c r="BC485" s="3264">
        <f t="shared" si="250"/>
        <v>0</v>
      </c>
      <c r="BD485" s="3264">
        <f t="shared" si="251"/>
        <v>0</v>
      </c>
      <c r="BE485" s="3264">
        <f t="shared" si="252"/>
        <v>0</v>
      </c>
      <c r="BF485" s="3264">
        <f t="shared" si="253"/>
        <v>0</v>
      </c>
      <c r="BG485" s="3264">
        <f t="shared" si="254"/>
        <v>0</v>
      </c>
      <c r="BH485" s="3264">
        <f t="shared" si="255"/>
        <v>0</v>
      </c>
      <c r="BI485" s="3264">
        <f t="shared" si="256"/>
        <v>0</v>
      </c>
      <c r="BJ485" s="3264">
        <f t="shared" si="257"/>
        <v>0</v>
      </c>
      <c r="BK485" s="3264">
        <f t="shared" si="258"/>
        <v>0</v>
      </c>
      <c r="BL485" s="3264">
        <f t="shared" si="259"/>
        <v>0</v>
      </c>
      <c r="BM485" s="3264">
        <f t="shared" si="260"/>
        <v>0</v>
      </c>
      <c r="BN485" s="3264">
        <f t="shared" si="261"/>
        <v>0</v>
      </c>
      <c r="BO485" s="3264">
        <f t="shared" si="262"/>
        <v>0</v>
      </c>
      <c r="BP485" s="3264">
        <f t="shared" si="263"/>
        <v>0</v>
      </c>
      <c r="BQ485" s="3264">
        <f t="shared" si="264"/>
        <v>0</v>
      </c>
      <c r="BR485" s="3264">
        <f t="shared" si="265"/>
        <v>0</v>
      </c>
      <c r="BS485" s="3264">
        <f t="shared" si="266"/>
        <v>0</v>
      </c>
      <c r="BT485" s="3317">
        <f t="shared" si="267"/>
        <v>0</v>
      </c>
    </row>
    <row r="486" spans="1:72">
      <c r="A486" s="3262"/>
      <c r="B486" s="3263"/>
      <c r="C486" s="3263"/>
      <c r="D486" s="3268"/>
      <c r="E486" s="3264">
        <f t="shared" si="239"/>
        <v>0</v>
      </c>
      <c r="F486" s="3265"/>
      <c r="G486" s="3266">
        <f t="shared" si="240"/>
        <v>0</v>
      </c>
      <c r="H486" s="3267">
        <f t="shared" si="241"/>
        <v>0</v>
      </c>
      <c r="I486" s="3275"/>
      <c r="J486" s="3275"/>
      <c r="K486" s="3275"/>
      <c r="L486" s="3275"/>
      <c r="M486" s="3275"/>
      <c r="N486" s="3275"/>
      <c r="O486" s="3275"/>
      <c r="P486" s="3275"/>
      <c r="Q486" s="3275"/>
      <c r="R486" s="3275"/>
      <c r="S486" s="3275"/>
      <c r="T486" s="3275"/>
      <c r="U486" s="3275"/>
      <c r="V486" s="3275"/>
      <c r="W486" s="3275"/>
      <c r="X486" s="3275"/>
      <c r="Y486" s="3275"/>
      <c r="Z486" s="3275"/>
      <c r="AA486" s="3275"/>
      <c r="AB486" s="3275"/>
      <c r="AC486" s="3264">
        <f t="shared" si="242"/>
        <v>0</v>
      </c>
      <c r="AD486" s="3285"/>
      <c r="AE486" s="3285"/>
      <c r="AF486" s="3285"/>
      <c r="AG486" s="3285"/>
      <c r="AH486" s="3285"/>
      <c r="AI486" s="3285"/>
      <c r="AJ486" s="3285"/>
      <c r="AK486" s="3285"/>
      <c r="AL486" s="3285"/>
      <c r="AM486" s="3285"/>
      <c r="AN486" s="3285"/>
      <c r="AO486" s="3285"/>
      <c r="AP486" s="3285"/>
      <c r="AQ486" s="3285"/>
      <c r="AR486" s="3285"/>
      <c r="AS486" s="3285"/>
      <c r="AT486" s="3295"/>
      <c r="AU486" s="3296"/>
      <c r="AV486" s="830">
        <f t="shared" si="243"/>
        <v>0</v>
      </c>
      <c r="AW486" s="830">
        <f t="shared" si="244"/>
        <v>0</v>
      </c>
      <c r="AX486" s="830">
        <f t="shared" si="245"/>
        <v>0</v>
      </c>
      <c r="AY486" s="3310">
        <f t="shared" si="246"/>
        <v>0</v>
      </c>
      <c r="AZ486" s="3264">
        <f t="shared" si="247"/>
        <v>0</v>
      </c>
      <c r="BA486" s="3264">
        <f t="shared" si="248"/>
        <v>0</v>
      </c>
      <c r="BB486" s="3264">
        <f t="shared" si="249"/>
        <v>0</v>
      </c>
      <c r="BC486" s="3264">
        <f t="shared" si="250"/>
        <v>0</v>
      </c>
      <c r="BD486" s="3264">
        <f t="shared" si="251"/>
        <v>0</v>
      </c>
      <c r="BE486" s="3264">
        <f t="shared" si="252"/>
        <v>0</v>
      </c>
      <c r="BF486" s="3264">
        <f t="shared" si="253"/>
        <v>0</v>
      </c>
      <c r="BG486" s="3264">
        <f t="shared" si="254"/>
        <v>0</v>
      </c>
      <c r="BH486" s="3264">
        <f t="shared" si="255"/>
        <v>0</v>
      </c>
      <c r="BI486" s="3264">
        <f t="shared" si="256"/>
        <v>0</v>
      </c>
      <c r="BJ486" s="3264">
        <f t="shared" si="257"/>
        <v>0</v>
      </c>
      <c r="BK486" s="3264">
        <f t="shared" si="258"/>
        <v>0</v>
      </c>
      <c r="BL486" s="3264">
        <f t="shared" si="259"/>
        <v>0</v>
      </c>
      <c r="BM486" s="3264">
        <f t="shared" si="260"/>
        <v>0</v>
      </c>
      <c r="BN486" s="3264">
        <f t="shared" si="261"/>
        <v>0</v>
      </c>
      <c r="BO486" s="3264">
        <f t="shared" si="262"/>
        <v>0</v>
      </c>
      <c r="BP486" s="3264">
        <f t="shared" si="263"/>
        <v>0</v>
      </c>
      <c r="BQ486" s="3264">
        <f t="shared" si="264"/>
        <v>0</v>
      </c>
      <c r="BR486" s="3264">
        <f t="shared" si="265"/>
        <v>0</v>
      </c>
      <c r="BS486" s="3264">
        <f t="shared" si="266"/>
        <v>0</v>
      </c>
      <c r="BT486" s="3317">
        <f t="shared" si="267"/>
        <v>0</v>
      </c>
    </row>
    <row r="487" spans="1:72">
      <c r="A487" s="3262"/>
      <c r="B487" s="3263"/>
      <c r="C487" s="3263"/>
      <c r="D487" s="3268"/>
      <c r="E487" s="3264">
        <f t="shared" si="239"/>
        <v>0</v>
      </c>
      <c r="F487" s="3265"/>
      <c r="G487" s="3266">
        <f t="shared" si="240"/>
        <v>0</v>
      </c>
      <c r="H487" s="3267">
        <f t="shared" si="241"/>
        <v>0</v>
      </c>
      <c r="I487" s="3275"/>
      <c r="J487" s="3275"/>
      <c r="K487" s="3275"/>
      <c r="L487" s="3275"/>
      <c r="M487" s="3275"/>
      <c r="N487" s="3275"/>
      <c r="O487" s="3275"/>
      <c r="P487" s="3275"/>
      <c r="Q487" s="3275"/>
      <c r="R487" s="3275"/>
      <c r="S487" s="3275"/>
      <c r="T487" s="3275"/>
      <c r="U487" s="3275"/>
      <c r="V487" s="3275"/>
      <c r="W487" s="3275"/>
      <c r="X487" s="3275"/>
      <c r="Y487" s="3275"/>
      <c r="Z487" s="3275"/>
      <c r="AA487" s="3275"/>
      <c r="AB487" s="3275"/>
      <c r="AC487" s="3264">
        <f t="shared" si="242"/>
        <v>0</v>
      </c>
      <c r="AD487" s="3285"/>
      <c r="AE487" s="3285"/>
      <c r="AF487" s="3285"/>
      <c r="AG487" s="3285"/>
      <c r="AH487" s="3285"/>
      <c r="AI487" s="3285"/>
      <c r="AJ487" s="3285"/>
      <c r="AK487" s="3285"/>
      <c r="AL487" s="3285"/>
      <c r="AM487" s="3285"/>
      <c r="AN487" s="3285"/>
      <c r="AO487" s="3285"/>
      <c r="AP487" s="3285"/>
      <c r="AQ487" s="3285"/>
      <c r="AR487" s="3285"/>
      <c r="AS487" s="3285"/>
      <c r="AT487" s="3295"/>
      <c r="AU487" s="3296"/>
      <c r="AV487" s="830">
        <f t="shared" si="243"/>
        <v>0</v>
      </c>
      <c r="AW487" s="830">
        <f t="shared" si="244"/>
        <v>0</v>
      </c>
      <c r="AX487" s="830">
        <f t="shared" si="245"/>
        <v>0</v>
      </c>
      <c r="AY487" s="3310">
        <f t="shared" si="246"/>
        <v>0</v>
      </c>
      <c r="AZ487" s="3264">
        <f t="shared" si="247"/>
        <v>0</v>
      </c>
      <c r="BA487" s="3264">
        <f t="shared" si="248"/>
        <v>0</v>
      </c>
      <c r="BB487" s="3264">
        <f t="shared" si="249"/>
        <v>0</v>
      </c>
      <c r="BC487" s="3264">
        <f t="shared" si="250"/>
        <v>0</v>
      </c>
      <c r="BD487" s="3264">
        <f t="shared" si="251"/>
        <v>0</v>
      </c>
      <c r="BE487" s="3264">
        <f t="shared" si="252"/>
        <v>0</v>
      </c>
      <c r="BF487" s="3264">
        <f t="shared" si="253"/>
        <v>0</v>
      </c>
      <c r="BG487" s="3264">
        <f t="shared" si="254"/>
        <v>0</v>
      </c>
      <c r="BH487" s="3264">
        <f t="shared" si="255"/>
        <v>0</v>
      </c>
      <c r="BI487" s="3264">
        <f t="shared" si="256"/>
        <v>0</v>
      </c>
      <c r="BJ487" s="3264">
        <f t="shared" si="257"/>
        <v>0</v>
      </c>
      <c r="BK487" s="3264">
        <f t="shared" si="258"/>
        <v>0</v>
      </c>
      <c r="BL487" s="3264">
        <f t="shared" si="259"/>
        <v>0</v>
      </c>
      <c r="BM487" s="3264">
        <f t="shared" si="260"/>
        <v>0</v>
      </c>
      <c r="BN487" s="3264">
        <f t="shared" si="261"/>
        <v>0</v>
      </c>
      <c r="BO487" s="3264">
        <f t="shared" si="262"/>
        <v>0</v>
      </c>
      <c r="BP487" s="3264">
        <f t="shared" si="263"/>
        <v>0</v>
      </c>
      <c r="BQ487" s="3264">
        <f t="shared" si="264"/>
        <v>0</v>
      </c>
      <c r="BR487" s="3264">
        <f t="shared" si="265"/>
        <v>0</v>
      </c>
      <c r="BS487" s="3264">
        <f t="shared" si="266"/>
        <v>0</v>
      </c>
      <c r="BT487" s="3317">
        <f t="shared" si="267"/>
        <v>0</v>
      </c>
    </row>
    <row r="488" spans="1:72">
      <c r="A488" s="3262"/>
      <c r="B488" s="3263"/>
      <c r="C488" s="3263"/>
      <c r="D488" s="3268"/>
      <c r="E488" s="3264">
        <f t="shared" si="239"/>
        <v>0</v>
      </c>
      <c r="F488" s="3265"/>
      <c r="G488" s="3266">
        <f t="shared" si="240"/>
        <v>0</v>
      </c>
      <c r="H488" s="3267">
        <f t="shared" si="241"/>
        <v>0</v>
      </c>
      <c r="I488" s="3275"/>
      <c r="J488" s="3275"/>
      <c r="K488" s="3275"/>
      <c r="L488" s="3275"/>
      <c r="M488" s="3275"/>
      <c r="N488" s="3275"/>
      <c r="O488" s="3275"/>
      <c r="P488" s="3275"/>
      <c r="Q488" s="3275"/>
      <c r="R488" s="3275"/>
      <c r="S488" s="3275"/>
      <c r="T488" s="3275"/>
      <c r="U488" s="3275"/>
      <c r="V488" s="3275"/>
      <c r="W488" s="3275"/>
      <c r="X488" s="3275"/>
      <c r="Y488" s="3275"/>
      <c r="Z488" s="3275"/>
      <c r="AA488" s="3275"/>
      <c r="AB488" s="3275"/>
      <c r="AC488" s="3264">
        <f t="shared" si="242"/>
        <v>0</v>
      </c>
      <c r="AD488" s="3285"/>
      <c r="AE488" s="3285"/>
      <c r="AF488" s="3285"/>
      <c r="AG488" s="3285"/>
      <c r="AH488" s="3285"/>
      <c r="AI488" s="3285"/>
      <c r="AJ488" s="3285"/>
      <c r="AK488" s="3285"/>
      <c r="AL488" s="3285"/>
      <c r="AM488" s="3285"/>
      <c r="AN488" s="3285"/>
      <c r="AO488" s="3285"/>
      <c r="AP488" s="3285"/>
      <c r="AQ488" s="3285"/>
      <c r="AR488" s="3285"/>
      <c r="AS488" s="3285"/>
      <c r="AT488" s="3295"/>
      <c r="AU488" s="3296"/>
      <c r="AV488" s="830">
        <f t="shared" si="243"/>
        <v>0</v>
      </c>
      <c r="AW488" s="830">
        <f t="shared" si="244"/>
        <v>0</v>
      </c>
      <c r="AX488" s="830">
        <f t="shared" si="245"/>
        <v>0</v>
      </c>
      <c r="AY488" s="3310">
        <f t="shared" si="246"/>
        <v>0</v>
      </c>
      <c r="AZ488" s="3264">
        <f t="shared" si="247"/>
        <v>0</v>
      </c>
      <c r="BA488" s="3264">
        <f t="shared" si="248"/>
        <v>0</v>
      </c>
      <c r="BB488" s="3264">
        <f t="shared" si="249"/>
        <v>0</v>
      </c>
      <c r="BC488" s="3264">
        <f t="shared" si="250"/>
        <v>0</v>
      </c>
      <c r="BD488" s="3264">
        <f t="shared" si="251"/>
        <v>0</v>
      </c>
      <c r="BE488" s="3264">
        <f t="shared" si="252"/>
        <v>0</v>
      </c>
      <c r="BF488" s="3264">
        <f t="shared" si="253"/>
        <v>0</v>
      </c>
      <c r="BG488" s="3264">
        <f t="shared" si="254"/>
        <v>0</v>
      </c>
      <c r="BH488" s="3264">
        <f t="shared" si="255"/>
        <v>0</v>
      </c>
      <c r="BI488" s="3264">
        <f t="shared" si="256"/>
        <v>0</v>
      </c>
      <c r="BJ488" s="3264">
        <f t="shared" si="257"/>
        <v>0</v>
      </c>
      <c r="BK488" s="3264">
        <f t="shared" si="258"/>
        <v>0</v>
      </c>
      <c r="BL488" s="3264">
        <f t="shared" si="259"/>
        <v>0</v>
      </c>
      <c r="BM488" s="3264">
        <f t="shared" si="260"/>
        <v>0</v>
      </c>
      <c r="BN488" s="3264">
        <f t="shared" si="261"/>
        <v>0</v>
      </c>
      <c r="BO488" s="3264">
        <f t="shared" si="262"/>
        <v>0</v>
      </c>
      <c r="BP488" s="3264">
        <f t="shared" si="263"/>
        <v>0</v>
      </c>
      <c r="BQ488" s="3264">
        <f t="shared" si="264"/>
        <v>0</v>
      </c>
      <c r="BR488" s="3264">
        <f t="shared" si="265"/>
        <v>0</v>
      </c>
      <c r="BS488" s="3264">
        <f t="shared" si="266"/>
        <v>0</v>
      </c>
      <c r="BT488" s="3317">
        <f t="shared" si="267"/>
        <v>0</v>
      </c>
    </row>
    <row r="489" spans="1:72">
      <c r="A489" s="3262"/>
      <c r="B489" s="3263"/>
      <c r="C489" s="3263"/>
      <c r="D489" s="3268"/>
      <c r="E489" s="3264">
        <f t="shared" si="239"/>
        <v>0</v>
      </c>
      <c r="F489" s="3265"/>
      <c r="G489" s="3266">
        <f t="shared" si="240"/>
        <v>0</v>
      </c>
      <c r="H489" s="3267">
        <f t="shared" si="241"/>
        <v>0</v>
      </c>
      <c r="I489" s="3275"/>
      <c r="J489" s="3275"/>
      <c r="K489" s="3275"/>
      <c r="L489" s="3275"/>
      <c r="M489" s="3275"/>
      <c r="N489" s="3275"/>
      <c r="O489" s="3275"/>
      <c r="P489" s="3275"/>
      <c r="Q489" s="3275"/>
      <c r="R489" s="3275"/>
      <c r="S489" s="3275"/>
      <c r="T489" s="3275"/>
      <c r="U489" s="3275"/>
      <c r="V489" s="3275"/>
      <c r="W489" s="3275"/>
      <c r="X489" s="3275"/>
      <c r="Y489" s="3275"/>
      <c r="Z489" s="3275"/>
      <c r="AA489" s="3275"/>
      <c r="AB489" s="3275"/>
      <c r="AC489" s="3264">
        <f t="shared" si="242"/>
        <v>0</v>
      </c>
      <c r="AD489" s="3285"/>
      <c r="AE489" s="3285"/>
      <c r="AF489" s="3285"/>
      <c r="AG489" s="3285"/>
      <c r="AH489" s="3285"/>
      <c r="AI489" s="3285"/>
      <c r="AJ489" s="3285"/>
      <c r="AK489" s="3285"/>
      <c r="AL489" s="3285"/>
      <c r="AM489" s="3285"/>
      <c r="AN489" s="3285"/>
      <c r="AO489" s="3285"/>
      <c r="AP489" s="3285"/>
      <c r="AQ489" s="3285"/>
      <c r="AR489" s="3285"/>
      <c r="AS489" s="3285"/>
      <c r="AT489" s="3295"/>
      <c r="AU489" s="3296"/>
      <c r="AV489" s="830">
        <f t="shared" si="243"/>
        <v>0</v>
      </c>
      <c r="AW489" s="830">
        <f t="shared" si="244"/>
        <v>0</v>
      </c>
      <c r="AX489" s="830">
        <f t="shared" si="245"/>
        <v>0</v>
      </c>
      <c r="AY489" s="3310">
        <f t="shared" si="246"/>
        <v>0</v>
      </c>
      <c r="AZ489" s="3264">
        <f t="shared" si="247"/>
        <v>0</v>
      </c>
      <c r="BA489" s="3264">
        <f t="shared" si="248"/>
        <v>0</v>
      </c>
      <c r="BB489" s="3264">
        <f t="shared" si="249"/>
        <v>0</v>
      </c>
      <c r="BC489" s="3264">
        <f t="shared" si="250"/>
        <v>0</v>
      </c>
      <c r="BD489" s="3264">
        <f t="shared" si="251"/>
        <v>0</v>
      </c>
      <c r="BE489" s="3264">
        <f t="shared" si="252"/>
        <v>0</v>
      </c>
      <c r="BF489" s="3264">
        <f t="shared" si="253"/>
        <v>0</v>
      </c>
      <c r="BG489" s="3264">
        <f t="shared" si="254"/>
        <v>0</v>
      </c>
      <c r="BH489" s="3264">
        <f t="shared" si="255"/>
        <v>0</v>
      </c>
      <c r="BI489" s="3264">
        <f t="shared" si="256"/>
        <v>0</v>
      </c>
      <c r="BJ489" s="3264">
        <f t="shared" si="257"/>
        <v>0</v>
      </c>
      <c r="BK489" s="3264">
        <f t="shared" si="258"/>
        <v>0</v>
      </c>
      <c r="BL489" s="3264">
        <f t="shared" si="259"/>
        <v>0</v>
      </c>
      <c r="BM489" s="3264">
        <f t="shared" si="260"/>
        <v>0</v>
      </c>
      <c r="BN489" s="3264">
        <f t="shared" si="261"/>
        <v>0</v>
      </c>
      <c r="BO489" s="3264">
        <f t="shared" si="262"/>
        <v>0</v>
      </c>
      <c r="BP489" s="3264">
        <f t="shared" si="263"/>
        <v>0</v>
      </c>
      <c r="BQ489" s="3264">
        <f t="shared" si="264"/>
        <v>0</v>
      </c>
      <c r="BR489" s="3264">
        <f t="shared" si="265"/>
        <v>0</v>
      </c>
      <c r="BS489" s="3264">
        <f t="shared" si="266"/>
        <v>0</v>
      </c>
      <c r="BT489" s="3317">
        <f t="shared" si="267"/>
        <v>0</v>
      </c>
    </row>
    <row r="490" spans="1:72">
      <c r="A490" s="3262"/>
      <c r="B490" s="3262"/>
      <c r="C490" s="3262"/>
      <c r="D490" s="3268"/>
      <c r="E490" s="3264">
        <f t="shared" si="239"/>
        <v>0</v>
      </c>
      <c r="F490" s="3318"/>
      <c r="G490" s="3266">
        <f t="shared" ref="G490:G521" si="268">H490+AC490+AT490</f>
        <v>0</v>
      </c>
      <c r="H490" s="3267">
        <f t="shared" ref="H490:H521" si="269">SUMIF(I$12:AB$12,"总值",I490:AB490)</f>
        <v>0</v>
      </c>
      <c r="I490" s="3319"/>
      <c r="J490" s="3319"/>
      <c r="K490" s="3275"/>
      <c r="L490" s="3275"/>
      <c r="M490" s="3275"/>
      <c r="N490" s="3275"/>
      <c r="O490" s="3275"/>
      <c r="P490" s="3275"/>
      <c r="Q490" s="3275"/>
      <c r="R490" s="3275"/>
      <c r="S490" s="3275"/>
      <c r="T490" s="3275"/>
      <c r="U490" s="3275"/>
      <c r="V490" s="3275"/>
      <c r="W490" s="3275"/>
      <c r="X490" s="3275"/>
      <c r="Y490" s="3275"/>
      <c r="Z490" s="3275"/>
      <c r="AA490" s="3275"/>
      <c r="AB490" s="3275"/>
      <c r="AC490" s="3264">
        <f t="shared" ref="AC490:AC521" si="270">SUMIF(AD$12:AS$12,"总值",AD490:AS490)</f>
        <v>0</v>
      </c>
      <c r="AD490" s="3285"/>
      <c r="AE490" s="3285"/>
      <c r="AF490" s="3285"/>
      <c r="AG490" s="3285"/>
      <c r="AH490" s="3285"/>
      <c r="AI490" s="3285"/>
      <c r="AJ490" s="3285"/>
      <c r="AK490" s="3285"/>
      <c r="AL490" s="3285"/>
      <c r="AM490" s="3285"/>
      <c r="AN490" s="3285"/>
      <c r="AO490" s="3285"/>
      <c r="AP490" s="3285"/>
      <c r="AQ490" s="3285"/>
      <c r="AR490" s="3285"/>
      <c r="AS490" s="3285"/>
      <c r="AT490" s="3285"/>
      <c r="AU490" s="3320"/>
      <c r="AV490" s="830">
        <f t="shared" si="243"/>
        <v>0</v>
      </c>
      <c r="AW490" s="830">
        <f t="shared" si="244"/>
        <v>0</v>
      </c>
      <c r="AX490" s="830">
        <f t="shared" si="245"/>
        <v>0</v>
      </c>
      <c r="AY490" s="3310">
        <f t="shared" ref="AY490:AY521" si="271">ROUND($AY$6*AZ490/$AZ$5,2)</f>
        <v>0</v>
      </c>
      <c r="AZ490" s="3264">
        <f t="shared" ref="AZ490:AZ521" si="272">BA490+BL490</f>
        <v>0</v>
      </c>
      <c r="BA490" s="3264">
        <f t="shared" ref="BA490:BA521" si="273">SUM(BB490:BK490)</f>
        <v>0</v>
      </c>
      <c r="BB490" s="3264">
        <f t="shared" ref="BB490:BB521" si="274">IF($D490="是",I490-J490,0)</f>
        <v>0</v>
      </c>
      <c r="BC490" s="3264">
        <f t="shared" ref="BC490:BC521" si="275">IF($D490="是",K490-L490,0)</f>
        <v>0</v>
      </c>
      <c r="BD490" s="3264">
        <f t="shared" ref="BD490:BD521" si="276">IF($D490="是",M490-N490,0)</f>
        <v>0</v>
      </c>
      <c r="BE490" s="3264">
        <f t="shared" ref="BE490:BE521" si="277">IF($D490="是",O490-P490,0)</f>
        <v>0</v>
      </c>
      <c r="BF490" s="3264">
        <f t="shared" ref="BF490:BF521" si="278">IF($D490="是",Q490-R490,0)</f>
        <v>0</v>
      </c>
      <c r="BG490" s="3264">
        <f t="shared" ref="BG490:BG521" si="279">IF($D490="是",S490-T490,0)</f>
        <v>0</v>
      </c>
      <c r="BH490" s="3264">
        <f t="shared" ref="BH490:BH521" si="280">IF($D490="是",U490-V490,0)</f>
        <v>0</v>
      </c>
      <c r="BI490" s="3264">
        <f t="shared" ref="BI490:BI521" si="281">IF($D490="是",W490-X490,0)</f>
        <v>0</v>
      </c>
      <c r="BJ490" s="3264">
        <f t="shared" ref="BJ490:BJ521" si="282">IF($D490="是",Y490-Z490,0)</f>
        <v>0</v>
      </c>
      <c r="BK490" s="3264">
        <f t="shared" ref="BK490:BK521" si="283">IF($D490="是",AA490-AB490,0)</f>
        <v>0</v>
      </c>
      <c r="BL490" s="3264">
        <f t="shared" ref="BL490:BL521" si="284">SUM(BM490:BT490)</f>
        <v>0</v>
      </c>
      <c r="BM490" s="3264">
        <f t="shared" ref="BM490:BM521" si="285">IF($D490="是",AD490-AE490,0)</f>
        <v>0</v>
      </c>
      <c r="BN490" s="3264">
        <f t="shared" ref="BN490:BN521" si="286">IF($D490="是",AF490-AG490,0)</f>
        <v>0</v>
      </c>
      <c r="BO490" s="3264">
        <f t="shared" ref="BO490:BO521" si="287">IF($D490="是",AH490-AI490,0)</f>
        <v>0</v>
      </c>
      <c r="BP490" s="3264">
        <f t="shared" ref="BP490:BP521" si="288">IF($D490="是",AJ490-AK490,0)</f>
        <v>0</v>
      </c>
      <c r="BQ490" s="3264">
        <f t="shared" ref="BQ490:BQ521" si="289">IF($D490="是",AL490-AM490,0)</f>
        <v>0</v>
      </c>
      <c r="BR490" s="3264">
        <f t="shared" ref="BR490:BR521" si="290">IF($D490="是",AN490-AO490,0)</f>
        <v>0</v>
      </c>
      <c r="BS490" s="3264">
        <f t="shared" ref="BS490:BS521" si="291">IF($D490="是",AP490-AQ490,0)</f>
        <v>0</v>
      </c>
      <c r="BT490" s="3317">
        <f t="shared" ref="BT490:BT521" si="292">IF($D490="是",AR490-AS490,0)</f>
        <v>0</v>
      </c>
    </row>
    <row r="491" spans="1:72">
      <c r="A491" s="3262"/>
      <c r="B491" s="3262"/>
      <c r="C491" s="3262"/>
      <c r="D491" s="3268"/>
      <c r="E491" s="3264">
        <f t="shared" si="239"/>
        <v>0</v>
      </c>
      <c r="F491" s="3318"/>
      <c r="G491" s="3266">
        <f t="shared" si="268"/>
        <v>0</v>
      </c>
      <c r="H491" s="3267">
        <f t="shared" si="269"/>
        <v>0</v>
      </c>
      <c r="I491" s="3275"/>
      <c r="J491" s="3275"/>
      <c r="K491" s="3275"/>
      <c r="L491" s="3275"/>
      <c r="M491" s="3275"/>
      <c r="N491" s="3275"/>
      <c r="O491" s="3275"/>
      <c r="P491" s="3275"/>
      <c r="Q491" s="3275"/>
      <c r="R491" s="3275"/>
      <c r="S491" s="3275"/>
      <c r="T491" s="3275"/>
      <c r="U491" s="3275"/>
      <c r="V491" s="3275"/>
      <c r="W491" s="3275"/>
      <c r="X491" s="3275"/>
      <c r="Y491" s="3275"/>
      <c r="Z491" s="3275"/>
      <c r="AA491" s="3275"/>
      <c r="AB491" s="3275"/>
      <c r="AC491" s="3264">
        <f t="shared" si="270"/>
        <v>0</v>
      </c>
      <c r="AD491" s="3285"/>
      <c r="AE491" s="3285"/>
      <c r="AF491" s="3285"/>
      <c r="AG491" s="3285"/>
      <c r="AH491" s="3285"/>
      <c r="AI491" s="3285"/>
      <c r="AJ491" s="3285"/>
      <c r="AK491" s="3285"/>
      <c r="AL491" s="3285"/>
      <c r="AM491" s="3285"/>
      <c r="AN491" s="3285"/>
      <c r="AO491" s="3285"/>
      <c r="AP491" s="3285"/>
      <c r="AQ491" s="3285"/>
      <c r="AR491" s="3285"/>
      <c r="AS491" s="3285"/>
      <c r="AT491" s="3285"/>
      <c r="AU491" s="3320"/>
      <c r="AV491" s="830">
        <f t="shared" si="243"/>
        <v>0</v>
      </c>
      <c r="AW491" s="830">
        <f t="shared" si="244"/>
        <v>0</v>
      </c>
      <c r="AX491" s="830">
        <f t="shared" si="245"/>
        <v>0</v>
      </c>
      <c r="AY491" s="3310">
        <f t="shared" si="271"/>
        <v>0</v>
      </c>
      <c r="AZ491" s="3264">
        <f t="shared" si="272"/>
        <v>0</v>
      </c>
      <c r="BA491" s="3264">
        <f t="shared" si="273"/>
        <v>0</v>
      </c>
      <c r="BB491" s="3264">
        <f t="shared" si="274"/>
        <v>0</v>
      </c>
      <c r="BC491" s="3264">
        <f t="shared" si="275"/>
        <v>0</v>
      </c>
      <c r="BD491" s="3264">
        <f t="shared" si="276"/>
        <v>0</v>
      </c>
      <c r="BE491" s="3264">
        <f t="shared" si="277"/>
        <v>0</v>
      </c>
      <c r="BF491" s="3264">
        <f t="shared" si="278"/>
        <v>0</v>
      </c>
      <c r="BG491" s="3264">
        <f t="shared" si="279"/>
        <v>0</v>
      </c>
      <c r="BH491" s="3264">
        <f t="shared" si="280"/>
        <v>0</v>
      </c>
      <c r="BI491" s="3264">
        <f t="shared" si="281"/>
        <v>0</v>
      </c>
      <c r="BJ491" s="3264">
        <f t="shared" si="282"/>
        <v>0</v>
      </c>
      <c r="BK491" s="3264">
        <f t="shared" si="283"/>
        <v>0</v>
      </c>
      <c r="BL491" s="3264">
        <f t="shared" si="284"/>
        <v>0</v>
      </c>
      <c r="BM491" s="3264">
        <f t="shared" si="285"/>
        <v>0</v>
      </c>
      <c r="BN491" s="3264">
        <f t="shared" si="286"/>
        <v>0</v>
      </c>
      <c r="BO491" s="3264">
        <f t="shared" si="287"/>
        <v>0</v>
      </c>
      <c r="BP491" s="3264">
        <f t="shared" si="288"/>
        <v>0</v>
      </c>
      <c r="BQ491" s="3264">
        <f t="shared" si="289"/>
        <v>0</v>
      </c>
      <c r="BR491" s="3264">
        <f t="shared" si="290"/>
        <v>0</v>
      </c>
      <c r="BS491" s="3264">
        <f t="shared" si="291"/>
        <v>0</v>
      </c>
      <c r="BT491" s="3317">
        <f t="shared" si="292"/>
        <v>0</v>
      </c>
    </row>
    <row r="492" spans="1:72">
      <c r="A492" s="3262"/>
      <c r="B492" s="3262"/>
      <c r="C492" s="3262"/>
      <c r="D492" s="3268"/>
      <c r="E492" s="3264">
        <f t="shared" si="239"/>
        <v>0</v>
      </c>
      <c r="F492" s="3318"/>
      <c r="G492" s="3266">
        <f t="shared" si="268"/>
        <v>0</v>
      </c>
      <c r="H492" s="3267">
        <f t="shared" si="269"/>
        <v>0</v>
      </c>
      <c r="I492" s="3275"/>
      <c r="J492" s="3275"/>
      <c r="K492" s="3275"/>
      <c r="L492" s="3275"/>
      <c r="M492" s="3275"/>
      <c r="N492" s="3275"/>
      <c r="O492" s="3275"/>
      <c r="P492" s="3275"/>
      <c r="Q492" s="3275"/>
      <c r="R492" s="3275"/>
      <c r="S492" s="3275"/>
      <c r="T492" s="3275"/>
      <c r="U492" s="3275"/>
      <c r="V492" s="3275"/>
      <c r="W492" s="3275"/>
      <c r="X492" s="3275"/>
      <c r="Y492" s="3275"/>
      <c r="Z492" s="3275"/>
      <c r="AA492" s="3275"/>
      <c r="AB492" s="3275"/>
      <c r="AC492" s="3264">
        <f t="shared" si="270"/>
        <v>0</v>
      </c>
      <c r="AD492" s="3285"/>
      <c r="AE492" s="3285"/>
      <c r="AF492" s="3285"/>
      <c r="AG492" s="3285"/>
      <c r="AH492" s="3285"/>
      <c r="AI492" s="3285"/>
      <c r="AJ492" s="3285"/>
      <c r="AK492" s="3285"/>
      <c r="AL492" s="3285"/>
      <c r="AM492" s="3285"/>
      <c r="AN492" s="3285"/>
      <c r="AO492" s="3285"/>
      <c r="AP492" s="3285"/>
      <c r="AQ492" s="3285"/>
      <c r="AR492" s="3285"/>
      <c r="AS492" s="3285"/>
      <c r="AT492" s="3285"/>
      <c r="AU492" s="3320"/>
      <c r="AV492" s="830">
        <f t="shared" si="243"/>
        <v>0</v>
      </c>
      <c r="AW492" s="830">
        <f t="shared" si="244"/>
        <v>0</v>
      </c>
      <c r="AX492" s="830">
        <f t="shared" si="245"/>
        <v>0</v>
      </c>
      <c r="AY492" s="3310">
        <f t="shared" si="271"/>
        <v>0</v>
      </c>
      <c r="AZ492" s="3264">
        <f t="shared" si="272"/>
        <v>0</v>
      </c>
      <c r="BA492" s="3264">
        <f t="shared" si="273"/>
        <v>0</v>
      </c>
      <c r="BB492" s="3264">
        <f t="shared" si="274"/>
        <v>0</v>
      </c>
      <c r="BC492" s="3264">
        <f t="shared" si="275"/>
        <v>0</v>
      </c>
      <c r="BD492" s="3264">
        <f t="shared" si="276"/>
        <v>0</v>
      </c>
      <c r="BE492" s="3264">
        <f t="shared" si="277"/>
        <v>0</v>
      </c>
      <c r="BF492" s="3264">
        <f t="shared" si="278"/>
        <v>0</v>
      </c>
      <c r="BG492" s="3264">
        <f t="shared" si="279"/>
        <v>0</v>
      </c>
      <c r="BH492" s="3264">
        <f t="shared" si="280"/>
        <v>0</v>
      </c>
      <c r="BI492" s="3264">
        <f t="shared" si="281"/>
        <v>0</v>
      </c>
      <c r="BJ492" s="3264">
        <f t="shared" si="282"/>
        <v>0</v>
      </c>
      <c r="BK492" s="3264">
        <f t="shared" si="283"/>
        <v>0</v>
      </c>
      <c r="BL492" s="3264">
        <f t="shared" si="284"/>
        <v>0</v>
      </c>
      <c r="BM492" s="3264">
        <f t="shared" si="285"/>
        <v>0</v>
      </c>
      <c r="BN492" s="3264">
        <f t="shared" si="286"/>
        <v>0</v>
      </c>
      <c r="BO492" s="3264">
        <f t="shared" si="287"/>
        <v>0</v>
      </c>
      <c r="BP492" s="3264">
        <f t="shared" si="288"/>
        <v>0</v>
      </c>
      <c r="BQ492" s="3264">
        <f t="shared" si="289"/>
        <v>0</v>
      </c>
      <c r="BR492" s="3264">
        <f t="shared" si="290"/>
        <v>0</v>
      </c>
      <c r="BS492" s="3264">
        <f t="shared" si="291"/>
        <v>0</v>
      </c>
      <c r="BT492" s="3317">
        <f t="shared" si="292"/>
        <v>0</v>
      </c>
    </row>
    <row r="493" spans="1:72">
      <c r="A493" s="3262"/>
      <c r="B493" s="3263"/>
      <c r="C493" s="3263"/>
      <c r="D493" s="3268"/>
      <c r="E493" s="3264">
        <f t="shared" ref="E493:E519" si="293">IF($C$3="是",ROUND($A$3*G493/$B$3,2),ROUND($A$3*(G493-AT493)/$B$3,2))</f>
        <v>0</v>
      </c>
      <c r="F493" s="3265"/>
      <c r="G493" s="3266">
        <f t="shared" si="268"/>
        <v>0</v>
      </c>
      <c r="H493" s="3267">
        <f t="shared" si="269"/>
        <v>0</v>
      </c>
      <c r="I493" s="3275"/>
      <c r="J493" s="3275"/>
      <c r="K493" s="3275"/>
      <c r="L493" s="3275"/>
      <c r="M493" s="3275"/>
      <c r="N493" s="3275"/>
      <c r="O493" s="3275"/>
      <c r="P493" s="3275"/>
      <c r="Q493" s="3275"/>
      <c r="R493" s="3275"/>
      <c r="S493" s="3275"/>
      <c r="T493" s="3275"/>
      <c r="U493" s="3275"/>
      <c r="V493" s="3275"/>
      <c r="W493" s="3275"/>
      <c r="X493" s="3275"/>
      <c r="Y493" s="3275"/>
      <c r="Z493" s="3275"/>
      <c r="AA493" s="3275"/>
      <c r="AB493" s="3275"/>
      <c r="AC493" s="3264">
        <f t="shared" si="270"/>
        <v>0</v>
      </c>
      <c r="AD493" s="3285"/>
      <c r="AE493" s="3285"/>
      <c r="AF493" s="3285"/>
      <c r="AG493" s="3285"/>
      <c r="AH493" s="3285"/>
      <c r="AI493" s="3285"/>
      <c r="AJ493" s="3285"/>
      <c r="AK493" s="3285"/>
      <c r="AL493" s="3285"/>
      <c r="AM493" s="3285"/>
      <c r="AN493" s="3285"/>
      <c r="AO493" s="3285"/>
      <c r="AP493" s="3285"/>
      <c r="AQ493" s="3285"/>
      <c r="AR493" s="3285"/>
      <c r="AS493" s="3285"/>
      <c r="AT493" s="3295"/>
      <c r="AU493" s="3296"/>
      <c r="AV493" s="830">
        <f t="shared" ref="AV493:AV520" si="294">A493</f>
        <v>0</v>
      </c>
      <c r="AW493" s="830">
        <f t="shared" ref="AW493:AW520" si="295">B493</f>
        <v>0</v>
      </c>
      <c r="AX493" s="830">
        <f t="shared" ref="AX493:AX520" si="296">C493</f>
        <v>0</v>
      </c>
      <c r="AY493" s="3310">
        <f t="shared" si="271"/>
        <v>0</v>
      </c>
      <c r="AZ493" s="3264">
        <f t="shared" si="272"/>
        <v>0</v>
      </c>
      <c r="BA493" s="3264">
        <f t="shared" si="273"/>
        <v>0</v>
      </c>
      <c r="BB493" s="3264">
        <f t="shared" si="274"/>
        <v>0</v>
      </c>
      <c r="BC493" s="3264">
        <f t="shared" si="275"/>
        <v>0</v>
      </c>
      <c r="BD493" s="3264">
        <f t="shared" si="276"/>
        <v>0</v>
      </c>
      <c r="BE493" s="3264">
        <f t="shared" si="277"/>
        <v>0</v>
      </c>
      <c r="BF493" s="3264">
        <f t="shared" si="278"/>
        <v>0</v>
      </c>
      <c r="BG493" s="3264">
        <f t="shared" si="279"/>
        <v>0</v>
      </c>
      <c r="BH493" s="3264">
        <f t="shared" si="280"/>
        <v>0</v>
      </c>
      <c r="BI493" s="3264">
        <f t="shared" si="281"/>
        <v>0</v>
      </c>
      <c r="BJ493" s="3264">
        <f t="shared" si="282"/>
        <v>0</v>
      </c>
      <c r="BK493" s="3264">
        <f t="shared" si="283"/>
        <v>0</v>
      </c>
      <c r="BL493" s="3264">
        <f t="shared" si="284"/>
        <v>0</v>
      </c>
      <c r="BM493" s="3264">
        <f t="shared" si="285"/>
        <v>0</v>
      </c>
      <c r="BN493" s="3264">
        <f t="shared" si="286"/>
        <v>0</v>
      </c>
      <c r="BO493" s="3264">
        <f t="shared" si="287"/>
        <v>0</v>
      </c>
      <c r="BP493" s="3264">
        <f t="shared" si="288"/>
        <v>0</v>
      </c>
      <c r="BQ493" s="3264">
        <f t="shared" si="289"/>
        <v>0</v>
      </c>
      <c r="BR493" s="3264">
        <f t="shared" si="290"/>
        <v>0</v>
      </c>
      <c r="BS493" s="3264">
        <f t="shared" si="291"/>
        <v>0</v>
      </c>
      <c r="BT493" s="3317">
        <f t="shared" si="292"/>
        <v>0</v>
      </c>
    </row>
    <row r="494" spans="1:72">
      <c r="A494" s="3262"/>
      <c r="B494" s="3263"/>
      <c r="C494" s="3263"/>
      <c r="D494" s="3268"/>
      <c r="E494" s="3264">
        <f t="shared" si="293"/>
        <v>0</v>
      </c>
      <c r="F494" s="3265"/>
      <c r="G494" s="3266">
        <f t="shared" si="268"/>
        <v>0</v>
      </c>
      <c r="H494" s="3267">
        <f t="shared" si="269"/>
        <v>0</v>
      </c>
      <c r="I494" s="3275"/>
      <c r="J494" s="3275"/>
      <c r="K494" s="3275"/>
      <c r="L494" s="3275"/>
      <c r="M494" s="3275"/>
      <c r="N494" s="3275"/>
      <c r="O494" s="3275"/>
      <c r="P494" s="3275"/>
      <c r="Q494" s="3275"/>
      <c r="R494" s="3275"/>
      <c r="S494" s="3275"/>
      <c r="T494" s="3275"/>
      <c r="U494" s="3275"/>
      <c r="V494" s="3275"/>
      <c r="W494" s="3275"/>
      <c r="X494" s="3275"/>
      <c r="Y494" s="3275"/>
      <c r="Z494" s="3275"/>
      <c r="AA494" s="3275"/>
      <c r="AB494" s="3275"/>
      <c r="AC494" s="3264">
        <f t="shared" si="270"/>
        <v>0</v>
      </c>
      <c r="AD494" s="3285"/>
      <c r="AE494" s="3285"/>
      <c r="AF494" s="3285"/>
      <c r="AG494" s="3285"/>
      <c r="AH494" s="3285"/>
      <c r="AI494" s="3285"/>
      <c r="AJ494" s="3285"/>
      <c r="AK494" s="3285"/>
      <c r="AL494" s="3285"/>
      <c r="AM494" s="3285"/>
      <c r="AN494" s="3285"/>
      <c r="AO494" s="3285"/>
      <c r="AP494" s="3285"/>
      <c r="AQ494" s="3285"/>
      <c r="AR494" s="3285"/>
      <c r="AS494" s="3285"/>
      <c r="AT494" s="3295"/>
      <c r="AU494" s="3296"/>
      <c r="AV494" s="830">
        <f t="shared" si="294"/>
        <v>0</v>
      </c>
      <c r="AW494" s="830">
        <f t="shared" si="295"/>
        <v>0</v>
      </c>
      <c r="AX494" s="830">
        <f t="shared" si="296"/>
        <v>0</v>
      </c>
      <c r="AY494" s="3310">
        <f t="shared" si="271"/>
        <v>0</v>
      </c>
      <c r="AZ494" s="3264">
        <f t="shared" si="272"/>
        <v>0</v>
      </c>
      <c r="BA494" s="3264">
        <f t="shared" si="273"/>
        <v>0</v>
      </c>
      <c r="BB494" s="3264">
        <f t="shared" si="274"/>
        <v>0</v>
      </c>
      <c r="BC494" s="3264">
        <f t="shared" si="275"/>
        <v>0</v>
      </c>
      <c r="BD494" s="3264">
        <f t="shared" si="276"/>
        <v>0</v>
      </c>
      <c r="BE494" s="3264">
        <f t="shared" si="277"/>
        <v>0</v>
      </c>
      <c r="BF494" s="3264">
        <f t="shared" si="278"/>
        <v>0</v>
      </c>
      <c r="BG494" s="3264">
        <f t="shared" si="279"/>
        <v>0</v>
      </c>
      <c r="BH494" s="3264">
        <f t="shared" si="280"/>
        <v>0</v>
      </c>
      <c r="BI494" s="3264">
        <f t="shared" si="281"/>
        <v>0</v>
      </c>
      <c r="BJ494" s="3264">
        <f t="shared" si="282"/>
        <v>0</v>
      </c>
      <c r="BK494" s="3264">
        <f t="shared" si="283"/>
        <v>0</v>
      </c>
      <c r="BL494" s="3264">
        <f t="shared" si="284"/>
        <v>0</v>
      </c>
      <c r="BM494" s="3264">
        <f t="shared" si="285"/>
        <v>0</v>
      </c>
      <c r="BN494" s="3264">
        <f t="shared" si="286"/>
        <v>0</v>
      </c>
      <c r="BO494" s="3264">
        <f t="shared" si="287"/>
        <v>0</v>
      </c>
      <c r="BP494" s="3264">
        <f t="shared" si="288"/>
        <v>0</v>
      </c>
      <c r="BQ494" s="3264">
        <f t="shared" si="289"/>
        <v>0</v>
      </c>
      <c r="BR494" s="3264">
        <f t="shared" si="290"/>
        <v>0</v>
      </c>
      <c r="BS494" s="3264">
        <f t="shared" si="291"/>
        <v>0</v>
      </c>
      <c r="BT494" s="3317">
        <f t="shared" si="292"/>
        <v>0</v>
      </c>
    </row>
    <row r="495" spans="1:72">
      <c r="A495" s="3262"/>
      <c r="B495" s="3263"/>
      <c r="C495" s="3263"/>
      <c r="D495" s="3268"/>
      <c r="E495" s="3264">
        <f t="shared" si="293"/>
        <v>0</v>
      </c>
      <c r="F495" s="3265"/>
      <c r="G495" s="3266">
        <f t="shared" si="268"/>
        <v>0</v>
      </c>
      <c r="H495" s="3267">
        <f t="shared" si="269"/>
        <v>0</v>
      </c>
      <c r="I495" s="3275"/>
      <c r="J495" s="3275"/>
      <c r="K495" s="3275"/>
      <c r="L495" s="3275"/>
      <c r="M495" s="3275"/>
      <c r="N495" s="3275"/>
      <c r="O495" s="3275"/>
      <c r="P495" s="3275"/>
      <c r="Q495" s="3275"/>
      <c r="R495" s="3275"/>
      <c r="S495" s="3275"/>
      <c r="T495" s="3275"/>
      <c r="U495" s="3275"/>
      <c r="V495" s="3275"/>
      <c r="W495" s="3275"/>
      <c r="X495" s="3275"/>
      <c r="Y495" s="3275"/>
      <c r="Z495" s="3275"/>
      <c r="AA495" s="3275"/>
      <c r="AB495" s="3275"/>
      <c r="AC495" s="3264">
        <f t="shared" si="270"/>
        <v>0</v>
      </c>
      <c r="AD495" s="3285"/>
      <c r="AE495" s="3285"/>
      <c r="AF495" s="3285"/>
      <c r="AG495" s="3285"/>
      <c r="AH495" s="3285"/>
      <c r="AI495" s="3285"/>
      <c r="AJ495" s="3285"/>
      <c r="AK495" s="3285"/>
      <c r="AL495" s="3285"/>
      <c r="AM495" s="3285"/>
      <c r="AN495" s="3285"/>
      <c r="AO495" s="3285"/>
      <c r="AP495" s="3285"/>
      <c r="AQ495" s="3285"/>
      <c r="AR495" s="3285"/>
      <c r="AS495" s="3285"/>
      <c r="AT495" s="3295"/>
      <c r="AU495" s="3296"/>
      <c r="AV495" s="830">
        <f t="shared" si="294"/>
        <v>0</v>
      </c>
      <c r="AW495" s="830">
        <f t="shared" si="295"/>
        <v>0</v>
      </c>
      <c r="AX495" s="830">
        <f t="shared" si="296"/>
        <v>0</v>
      </c>
      <c r="AY495" s="3310">
        <f t="shared" si="271"/>
        <v>0</v>
      </c>
      <c r="AZ495" s="3264">
        <f t="shared" si="272"/>
        <v>0</v>
      </c>
      <c r="BA495" s="3264">
        <f t="shared" si="273"/>
        <v>0</v>
      </c>
      <c r="BB495" s="3264">
        <f t="shared" si="274"/>
        <v>0</v>
      </c>
      <c r="BC495" s="3264">
        <f t="shared" si="275"/>
        <v>0</v>
      </c>
      <c r="BD495" s="3264">
        <f t="shared" si="276"/>
        <v>0</v>
      </c>
      <c r="BE495" s="3264">
        <f t="shared" si="277"/>
        <v>0</v>
      </c>
      <c r="BF495" s="3264">
        <f t="shared" si="278"/>
        <v>0</v>
      </c>
      <c r="BG495" s="3264">
        <f t="shared" si="279"/>
        <v>0</v>
      </c>
      <c r="BH495" s="3264">
        <f t="shared" si="280"/>
        <v>0</v>
      </c>
      <c r="BI495" s="3264">
        <f t="shared" si="281"/>
        <v>0</v>
      </c>
      <c r="BJ495" s="3264">
        <f t="shared" si="282"/>
        <v>0</v>
      </c>
      <c r="BK495" s="3264">
        <f t="shared" si="283"/>
        <v>0</v>
      </c>
      <c r="BL495" s="3264">
        <f t="shared" si="284"/>
        <v>0</v>
      </c>
      <c r="BM495" s="3264">
        <f t="shared" si="285"/>
        <v>0</v>
      </c>
      <c r="BN495" s="3264">
        <f t="shared" si="286"/>
        <v>0</v>
      </c>
      <c r="BO495" s="3264">
        <f t="shared" si="287"/>
        <v>0</v>
      </c>
      <c r="BP495" s="3264">
        <f t="shared" si="288"/>
        <v>0</v>
      </c>
      <c r="BQ495" s="3264">
        <f t="shared" si="289"/>
        <v>0</v>
      </c>
      <c r="BR495" s="3264">
        <f t="shared" si="290"/>
        <v>0</v>
      </c>
      <c r="BS495" s="3264">
        <f t="shared" si="291"/>
        <v>0</v>
      </c>
      <c r="BT495" s="3317">
        <f t="shared" si="292"/>
        <v>0</v>
      </c>
    </row>
    <row r="496" spans="1:72">
      <c r="A496" s="3262"/>
      <c r="B496" s="3263"/>
      <c r="C496" s="3263"/>
      <c r="D496" s="3268"/>
      <c r="E496" s="3264">
        <f t="shared" si="293"/>
        <v>0</v>
      </c>
      <c r="F496" s="3265"/>
      <c r="G496" s="3266">
        <f t="shared" si="268"/>
        <v>0</v>
      </c>
      <c r="H496" s="3267">
        <f t="shared" si="269"/>
        <v>0</v>
      </c>
      <c r="I496" s="3275"/>
      <c r="J496" s="3275"/>
      <c r="K496" s="3275"/>
      <c r="L496" s="3275"/>
      <c r="M496" s="3275"/>
      <c r="N496" s="3275"/>
      <c r="O496" s="3275"/>
      <c r="P496" s="3275"/>
      <c r="Q496" s="3275"/>
      <c r="R496" s="3275"/>
      <c r="S496" s="3275"/>
      <c r="T496" s="3275"/>
      <c r="U496" s="3275"/>
      <c r="V496" s="3275"/>
      <c r="W496" s="3275"/>
      <c r="X496" s="3275"/>
      <c r="Y496" s="3275"/>
      <c r="Z496" s="3275"/>
      <c r="AA496" s="3275"/>
      <c r="AB496" s="3275"/>
      <c r="AC496" s="3264">
        <f t="shared" si="270"/>
        <v>0</v>
      </c>
      <c r="AD496" s="3285"/>
      <c r="AE496" s="3285"/>
      <c r="AF496" s="3285"/>
      <c r="AG496" s="3285"/>
      <c r="AH496" s="3285"/>
      <c r="AI496" s="3285"/>
      <c r="AJ496" s="3285"/>
      <c r="AK496" s="3285"/>
      <c r="AL496" s="3285"/>
      <c r="AM496" s="3285"/>
      <c r="AN496" s="3285"/>
      <c r="AO496" s="3285"/>
      <c r="AP496" s="3285"/>
      <c r="AQ496" s="3285"/>
      <c r="AR496" s="3285"/>
      <c r="AS496" s="3285"/>
      <c r="AT496" s="3295"/>
      <c r="AU496" s="3296"/>
      <c r="AV496" s="830">
        <f t="shared" si="294"/>
        <v>0</v>
      </c>
      <c r="AW496" s="830">
        <f t="shared" si="295"/>
        <v>0</v>
      </c>
      <c r="AX496" s="830">
        <f t="shared" si="296"/>
        <v>0</v>
      </c>
      <c r="AY496" s="3310">
        <f t="shared" si="271"/>
        <v>0</v>
      </c>
      <c r="AZ496" s="3264">
        <f t="shared" si="272"/>
        <v>0</v>
      </c>
      <c r="BA496" s="3264">
        <f t="shared" si="273"/>
        <v>0</v>
      </c>
      <c r="BB496" s="3264">
        <f t="shared" si="274"/>
        <v>0</v>
      </c>
      <c r="BC496" s="3264">
        <f t="shared" si="275"/>
        <v>0</v>
      </c>
      <c r="BD496" s="3264">
        <f t="shared" si="276"/>
        <v>0</v>
      </c>
      <c r="BE496" s="3264">
        <f t="shared" si="277"/>
        <v>0</v>
      </c>
      <c r="BF496" s="3264">
        <f t="shared" si="278"/>
        <v>0</v>
      </c>
      <c r="BG496" s="3264">
        <f t="shared" si="279"/>
        <v>0</v>
      </c>
      <c r="BH496" s="3264">
        <f t="shared" si="280"/>
        <v>0</v>
      </c>
      <c r="BI496" s="3264">
        <f t="shared" si="281"/>
        <v>0</v>
      </c>
      <c r="BJ496" s="3264">
        <f t="shared" si="282"/>
        <v>0</v>
      </c>
      <c r="BK496" s="3264">
        <f t="shared" si="283"/>
        <v>0</v>
      </c>
      <c r="BL496" s="3264">
        <f t="shared" si="284"/>
        <v>0</v>
      </c>
      <c r="BM496" s="3264">
        <f t="shared" si="285"/>
        <v>0</v>
      </c>
      <c r="BN496" s="3264">
        <f t="shared" si="286"/>
        <v>0</v>
      </c>
      <c r="BO496" s="3264">
        <f t="shared" si="287"/>
        <v>0</v>
      </c>
      <c r="BP496" s="3264">
        <f t="shared" si="288"/>
        <v>0</v>
      </c>
      <c r="BQ496" s="3264">
        <f t="shared" si="289"/>
        <v>0</v>
      </c>
      <c r="BR496" s="3264">
        <f t="shared" si="290"/>
        <v>0</v>
      </c>
      <c r="BS496" s="3264">
        <f t="shared" si="291"/>
        <v>0</v>
      </c>
      <c r="BT496" s="3317">
        <f t="shared" si="292"/>
        <v>0</v>
      </c>
    </row>
    <row r="497" spans="1:72">
      <c r="A497" s="3262"/>
      <c r="B497" s="3263"/>
      <c r="C497" s="3263"/>
      <c r="D497" s="3268"/>
      <c r="E497" s="3264">
        <f t="shared" si="293"/>
        <v>0</v>
      </c>
      <c r="F497" s="3265"/>
      <c r="G497" s="3266">
        <f t="shared" si="268"/>
        <v>0</v>
      </c>
      <c r="H497" s="3267">
        <f t="shared" si="269"/>
        <v>0</v>
      </c>
      <c r="I497" s="3275"/>
      <c r="J497" s="3275"/>
      <c r="K497" s="3275"/>
      <c r="L497" s="3275"/>
      <c r="M497" s="3275"/>
      <c r="N497" s="3275"/>
      <c r="O497" s="3275"/>
      <c r="P497" s="3275"/>
      <c r="Q497" s="3275"/>
      <c r="R497" s="3275"/>
      <c r="S497" s="3275"/>
      <c r="T497" s="3275"/>
      <c r="U497" s="3275"/>
      <c r="V497" s="3275"/>
      <c r="W497" s="3275"/>
      <c r="X497" s="3275"/>
      <c r="Y497" s="3275"/>
      <c r="Z497" s="3275"/>
      <c r="AA497" s="3275"/>
      <c r="AB497" s="3275"/>
      <c r="AC497" s="3264">
        <f t="shared" si="270"/>
        <v>0</v>
      </c>
      <c r="AD497" s="3285"/>
      <c r="AE497" s="3285"/>
      <c r="AF497" s="3285"/>
      <c r="AG497" s="3285"/>
      <c r="AH497" s="3285"/>
      <c r="AI497" s="3285"/>
      <c r="AJ497" s="3285"/>
      <c r="AK497" s="3285"/>
      <c r="AL497" s="3285"/>
      <c r="AM497" s="3285"/>
      <c r="AN497" s="3285"/>
      <c r="AO497" s="3285"/>
      <c r="AP497" s="3285"/>
      <c r="AQ497" s="3285"/>
      <c r="AR497" s="3285"/>
      <c r="AS497" s="3285"/>
      <c r="AT497" s="3295"/>
      <c r="AU497" s="3296"/>
      <c r="AV497" s="830">
        <f t="shared" si="294"/>
        <v>0</v>
      </c>
      <c r="AW497" s="830">
        <f t="shared" si="295"/>
        <v>0</v>
      </c>
      <c r="AX497" s="830">
        <f t="shared" si="296"/>
        <v>0</v>
      </c>
      <c r="AY497" s="3310">
        <f t="shared" si="271"/>
        <v>0</v>
      </c>
      <c r="AZ497" s="3264">
        <f t="shared" si="272"/>
        <v>0</v>
      </c>
      <c r="BA497" s="3264">
        <f t="shared" si="273"/>
        <v>0</v>
      </c>
      <c r="BB497" s="3264">
        <f t="shared" si="274"/>
        <v>0</v>
      </c>
      <c r="BC497" s="3264">
        <f t="shared" si="275"/>
        <v>0</v>
      </c>
      <c r="BD497" s="3264">
        <f t="shared" si="276"/>
        <v>0</v>
      </c>
      <c r="BE497" s="3264">
        <f t="shared" si="277"/>
        <v>0</v>
      </c>
      <c r="BF497" s="3264">
        <f t="shared" si="278"/>
        <v>0</v>
      </c>
      <c r="BG497" s="3264">
        <f t="shared" si="279"/>
        <v>0</v>
      </c>
      <c r="BH497" s="3264">
        <f t="shared" si="280"/>
        <v>0</v>
      </c>
      <c r="BI497" s="3264">
        <f t="shared" si="281"/>
        <v>0</v>
      </c>
      <c r="BJ497" s="3264">
        <f t="shared" si="282"/>
        <v>0</v>
      </c>
      <c r="BK497" s="3264">
        <f t="shared" si="283"/>
        <v>0</v>
      </c>
      <c r="BL497" s="3264">
        <f t="shared" si="284"/>
        <v>0</v>
      </c>
      <c r="BM497" s="3264">
        <f t="shared" si="285"/>
        <v>0</v>
      </c>
      <c r="BN497" s="3264">
        <f t="shared" si="286"/>
        <v>0</v>
      </c>
      <c r="BO497" s="3264">
        <f t="shared" si="287"/>
        <v>0</v>
      </c>
      <c r="BP497" s="3264">
        <f t="shared" si="288"/>
        <v>0</v>
      </c>
      <c r="BQ497" s="3264">
        <f t="shared" si="289"/>
        <v>0</v>
      </c>
      <c r="BR497" s="3264">
        <f t="shared" si="290"/>
        <v>0</v>
      </c>
      <c r="BS497" s="3264">
        <f t="shared" si="291"/>
        <v>0</v>
      </c>
      <c r="BT497" s="3317">
        <f t="shared" si="292"/>
        <v>0</v>
      </c>
    </row>
    <row r="498" spans="1:72">
      <c r="A498" s="3262"/>
      <c r="B498" s="3263"/>
      <c r="C498" s="3263"/>
      <c r="D498" s="3268"/>
      <c r="E498" s="3264">
        <f t="shared" si="293"/>
        <v>0</v>
      </c>
      <c r="F498" s="3265"/>
      <c r="G498" s="3266">
        <f t="shared" si="268"/>
        <v>0</v>
      </c>
      <c r="H498" s="3267">
        <f t="shared" si="269"/>
        <v>0</v>
      </c>
      <c r="I498" s="3275"/>
      <c r="J498" s="3275"/>
      <c r="K498" s="3275"/>
      <c r="L498" s="3275"/>
      <c r="M498" s="3275"/>
      <c r="N498" s="3275"/>
      <c r="O498" s="3275"/>
      <c r="P498" s="3275"/>
      <c r="Q498" s="3275"/>
      <c r="R498" s="3275"/>
      <c r="S498" s="3275"/>
      <c r="T498" s="3275"/>
      <c r="U498" s="3275"/>
      <c r="V498" s="3275"/>
      <c r="W498" s="3275"/>
      <c r="X498" s="3275"/>
      <c r="Y498" s="3275"/>
      <c r="Z498" s="3275"/>
      <c r="AA498" s="3275"/>
      <c r="AB498" s="3275"/>
      <c r="AC498" s="3264">
        <f t="shared" si="270"/>
        <v>0</v>
      </c>
      <c r="AD498" s="3285"/>
      <c r="AE498" s="3285"/>
      <c r="AF498" s="3285"/>
      <c r="AG498" s="3285"/>
      <c r="AH498" s="3285"/>
      <c r="AI498" s="3285"/>
      <c r="AJ498" s="3285"/>
      <c r="AK498" s="3285"/>
      <c r="AL498" s="3285"/>
      <c r="AM498" s="3285"/>
      <c r="AN498" s="3285"/>
      <c r="AO498" s="3285"/>
      <c r="AP498" s="3285"/>
      <c r="AQ498" s="3285"/>
      <c r="AR498" s="3285"/>
      <c r="AS498" s="3285"/>
      <c r="AT498" s="3295"/>
      <c r="AU498" s="3296"/>
      <c r="AV498" s="830">
        <f t="shared" si="294"/>
        <v>0</v>
      </c>
      <c r="AW498" s="830">
        <f t="shared" si="295"/>
        <v>0</v>
      </c>
      <c r="AX498" s="830">
        <f t="shared" si="296"/>
        <v>0</v>
      </c>
      <c r="AY498" s="3310">
        <f t="shared" si="271"/>
        <v>0</v>
      </c>
      <c r="AZ498" s="3264">
        <f t="shared" si="272"/>
        <v>0</v>
      </c>
      <c r="BA498" s="3264">
        <f t="shared" si="273"/>
        <v>0</v>
      </c>
      <c r="BB498" s="3264">
        <f t="shared" si="274"/>
        <v>0</v>
      </c>
      <c r="BC498" s="3264">
        <f t="shared" si="275"/>
        <v>0</v>
      </c>
      <c r="BD498" s="3264">
        <f t="shared" si="276"/>
        <v>0</v>
      </c>
      <c r="BE498" s="3264">
        <f t="shared" si="277"/>
        <v>0</v>
      </c>
      <c r="BF498" s="3264">
        <f t="shared" si="278"/>
        <v>0</v>
      </c>
      <c r="BG498" s="3264">
        <f t="shared" si="279"/>
        <v>0</v>
      </c>
      <c r="BH498" s="3264">
        <f t="shared" si="280"/>
        <v>0</v>
      </c>
      <c r="BI498" s="3264">
        <f t="shared" si="281"/>
        <v>0</v>
      </c>
      <c r="BJ498" s="3264">
        <f t="shared" si="282"/>
        <v>0</v>
      </c>
      <c r="BK498" s="3264">
        <f t="shared" si="283"/>
        <v>0</v>
      </c>
      <c r="BL498" s="3264">
        <f t="shared" si="284"/>
        <v>0</v>
      </c>
      <c r="BM498" s="3264">
        <f t="shared" si="285"/>
        <v>0</v>
      </c>
      <c r="BN498" s="3264">
        <f t="shared" si="286"/>
        <v>0</v>
      </c>
      <c r="BO498" s="3264">
        <f t="shared" si="287"/>
        <v>0</v>
      </c>
      <c r="BP498" s="3264">
        <f t="shared" si="288"/>
        <v>0</v>
      </c>
      <c r="BQ498" s="3264">
        <f t="shared" si="289"/>
        <v>0</v>
      </c>
      <c r="BR498" s="3264">
        <f t="shared" si="290"/>
        <v>0</v>
      </c>
      <c r="BS498" s="3264">
        <f t="shared" si="291"/>
        <v>0</v>
      </c>
      <c r="BT498" s="3317">
        <f t="shared" si="292"/>
        <v>0</v>
      </c>
    </row>
    <row r="499" spans="1:72">
      <c r="A499" s="3262"/>
      <c r="B499" s="3263"/>
      <c r="C499" s="3263"/>
      <c r="D499" s="3268"/>
      <c r="E499" s="3264">
        <f t="shared" si="293"/>
        <v>0</v>
      </c>
      <c r="F499" s="3265"/>
      <c r="G499" s="3266">
        <f t="shared" si="268"/>
        <v>0</v>
      </c>
      <c r="H499" s="3267">
        <f t="shared" si="269"/>
        <v>0</v>
      </c>
      <c r="I499" s="3275"/>
      <c r="J499" s="3275"/>
      <c r="K499" s="3275"/>
      <c r="L499" s="3275"/>
      <c r="M499" s="3275"/>
      <c r="N499" s="3275"/>
      <c r="O499" s="3275"/>
      <c r="P499" s="3275"/>
      <c r="Q499" s="3275"/>
      <c r="R499" s="3275"/>
      <c r="S499" s="3275"/>
      <c r="T499" s="3275"/>
      <c r="U499" s="3275"/>
      <c r="V499" s="3275"/>
      <c r="W499" s="3275"/>
      <c r="X499" s="3275"/>
      <c r="Y499" s="3275"/>
      <c r="Z499" s="3275"/>
      <c r="AA499" s="3275"/>
      <c r="AB499" s="3275"/>
      <c r="AC499" s="3264">
        <f t="shared" si="270"/>
        <v>0</v>
      </c>
      <c r="AD499" s="3285"/>
      <c r="AE499" s="3285"/>
      <c r="AF499" s="3285"/>
      <c r="AG499" s="3285"/>
      <c r="AH499" s="3285"/>
      <c r="AI499" s="3285"/>
      <c r="AJ499" s="3285"/>
      <c r="AK499" s="3285"/>
      <c r="AL499" s="3285"/>
      <c r="AM499" s="3285"/>
      <c r="AN499" s="3285"/>
      <c r="AO499" s="3285"/>
      <c r="AP499" s="3285"/>
      <c r="AQ499" s="3285"/>
      <c r="AR499" s="3285"/>
      <c r="AS499" s="3285"/>
      <c r="AT499" s="3295"/>
      <c r="AU499" s="3296"/>
      <c r="AV499" s="830">
        <f t="shared" si="294"/>
        <v>0</v>
      </c>
      <c r="AW499" s="830">
        <f t="shared" si="295"/>
        <v>0</v>
      </c>
      <c r="AX499" s="830">
        <f t="shared" si="296"/>
        <v>0</v>
      </c>
      <c r="AY499" s="3310">
        <f t="shared" si="271"/>
        <v>0</v>
      </c>
      <c r="AZ499" s="3264">
        <f t="shared" si="272"/>
        <v>0</v>
      </c>
      <c r="BA499" s="3264">
        <f t="shared" si="273"/>
        <v>0</v>
      </c>
      <c r="BB499" s="3264">
        <f t="shared" si="274"/>
        <v>0</v>
      </c>
      <c r="BC499" s="3264">
        <f t="shared" si="275"/>
        <v>0</v>
      </c>
      <c r="BD499" s="3264">
        <f t="shared" si="276"/>
        <v>0</v>
      </c>
      <c r="BE499" s="3264">
        <f t="shared" si="277"/>
        <v>0</v>
      </c>
      <c r="BF499" s="3264">
        <f t="shared" si="278"/>
        <v>0</v>
      </c>
      <c r="BG499" s="3264">
        <f t="shared" si="279"/>
        <v>0</v>
      </c>
      <c r="BH499" s="3264">
        <f t="shared" si="280"/>
        <v>0</v>
      </c>
      <c r="BI499" s="3264">
        <f t="shared" si="281"/>
        <v>0</v>
      </c>
      <c r="BJ499" s="3264">
        <f t="shared" si="282"/>
        <v>0</v>
      </c>
      <c r="BK499" s="3264">
        <f t="shared" si="283"/>
        <v>0</v>
      </c>
      <c r="BL499" s="3264">
        <f t="shared" si="284"/>
        <v>0</v>
      </c>
      <c r="BM499" s="3264">
        <f t="shared" si="285"/>
        <v>0</v>
      </c>
      <c r="BN499" s="3264">
        <f t="shared" si="286"/>
        <v>0</v>
      </c>
      <c r="BO499" s="3264">
        <f t="shared" si="287"/>
        <v>0</v>
      </c>
      <c r="BP499" s="3264">
        <f t="shared" si="288"/>
        <v>0</v>
      </c>
      <c r="BQ499" s="3264">
        <f t="shared" si="289"/>
        <v>0</v>
      </c>
      <c r="BR499" s="3264">
        <f t="shared" si="290"/>
        <v>0</v>
      </c>
      <c r="BS499" s="3264">
        <f t="shared" si="291"/>
        <v>0</v>
      </c>
      <c r="BT499" s="3317">
        <f t="shared" si="292"/>
        <v>0</v>
      </c>
    </row>
    <row r="500" spans="1:72">
      <c r="A500" s="3262"/>
      <c r="B500" s="3263"/>
      <c r="C500" s="3263"/>
      <c r="D500" s="3268"/>
      <c r="E500" s="3264">
        <f t="shared" si="293"/>
        <v>0</v>
      </c>
      <c r="F500" s="3265"/>
      <c r="G500" s="3266">
        <f t="shared" si="268"/>
        <v>0</v>
      </c>
      <c r="H500" s="3267">
        <f t="shared" si="269"/>
        <v>0</v>
      </c>
      <c r="I500" s="3275"/>
      <c r="J500" s="3275"/>
      <c r="K500" s="3275"/>
      <c r="L500" s="3275"/>
      <c r="M500" s="3275"/>
      <c r="N500" s="3275"/>
      <c r="O500" s="3275"/>
      <c r="P500" s="3275"/>
      <c r="Q500" s="3275"/>
      <c r="R500" s="3275"/>
      <c r="S500" s="3275"/>
      <c r="T500" s="3275"/>
      <c r="U500" s="3275"/>
      <c r="V500" s="3275"/>
      <c r="W500" s="3275"/>
      <c r="X500" s="3275"/>
      <c r="Y500" s="3275"/>
      <c r="Z500" s="3275"/>
      <c r="AA500" s="3275"/>
      <c r="AB500" s="3275"/>
      <c r="AC500" s="3264">
        <f t="shared" si="270"/>
        <v>0</v>
      </c>
      <c r="AD500" s="3285"/>
      <c r="AE500" s="3285"/>
      <c r="AF500" s="3285"/>
      <c r="AG500" s="3285"/>
      <c r="AH500" s="3285"/>
      <c r="AI500" s="3285"/>
      <c r="AJ500" s="3285"/>
      <c r="AK500" s="3285"/>
      <c r="AL500" s="3285"/>
      <c r="AM500" s="3285"/>
      <c r="AN500" s="3285"/>
      <c r="AO500" s="3285"/>
      <c r="AP500" s="3285"/>
      <c r="AQ500" s="3285"/>
      <c r="AR500" s="3285"/>
      <c r="AS500" s="3285"/>
      <c r="AT500" s="3295"/>
      <c r="AU500" s="3296"/>
      <c r="AV500" s="830">
        <f t="shared" si="294"/>
        <v>0</v>
      </c>
      <c r="AW500" s="830">
        <f t="shared" si="295"/>
        <v>0</v>
      </c>
      <c r="AX500" s="830">
        <f t="shared" si="296"/>
        <v>0</v>
      </c>
      <c r="AY500" s="3310">
        <f t="shared" si="271"/>
        <v>0</v>
      </c>
      <c r="AZ500" s="3264">
        <f t="shared" si="272"/>
        <v>0</v>
      </c>
      <c r="BA500" s="3264">
        <f t="shared" si="273"/>
        <v>0</v>
      </c>
      <c r="BB500" s="3264">
        <f t="shared" si="274"/>
        <v>0</v>
      </c>
      <c r="BC500" s="3264">
        <f t="shared" si="275"/>
        <v>0</v>
      </c>
      <c r="BD500" s="3264">
        <f t="shared" si="276"/>
        <v>0</v>
      </c>
      <c r="BE500" s="3264">
        <f t="shared" si="277"/>
        <v>0</v>
      </c>
      <c r="BF500" s="3264">
        <f t="shared" si="278"/>
        <v>0</v>
      </c>
      <c r="BG500" s="3264">
        <f t="shared" si="279"/>
        <v>0</v>
      </c>
      <c r="BH500" s="3264">
        <f t="shared" si="280"/>
        <v>0</v>
      </c>
      <c r="BI500" s="3264">
        <f t="shared" si="281"/>
        <v>0</v>
      </c>
      <c r="BJ500" s="3264">
        <f t="shared" si="282"/>
        <v>0</v>
      </c>
      <c r="BK500" s="3264">
        <f t="shared" si="283"/>
        <v>0</v>
      </c>
      <c r="BL500" s="3264">
        <f t="shared" si="284"/>
        <v>0</v>
      </c>
      <c r="BM500" s="3264">
        <f t="shared" si="285"/>
        <v>0</v>
      </c>
      <c r="BN500" s="3264">
        <f t="shared" si="286"/>
        <v>0</v>
      </c>
      <c r="BO500" s="3264">
        <f t="shared" si="287"/>
        <v>0</v>
      </c>
      <c r="BP500" s="3264">
        <f t="shared" si="288"/>
        <v>0</v>
      </c>
      <c r="BQ500" s="3264">
        <f t="shared" si="289"/>
        <v>0</v>
      </c>
      <c r="BR500" s="3264">
        <f t="shared" si="290"/>
        <v>0</v>
      </c>
      <c r="BS500" s="3264">
        <f t="shared" si="291"/>
        <v>0</v>
      </c>
      <c r="BT500" s="3317">
        <f t="shared" si="292"/>
        <v>0</v>
      </c>
    </row>
    <row r="501" spans="1:72">
      <c r="A501" s="3262"/>
      <c r="B501" s="3263"/>
      <c r="C501" s="3263"/>
      <c r="D501" s="3268"/>
      <c r="E501" s="3264">
        <f t="shared" si="293"/>
        <v>0</v>
      </c>
      <c r="F501" s="3265"/>
      <c r="G501" s="3266">
        <f t="shared" si="268"/>
        <v>0</v>
      </c>
      <c r="H501" s="3267">
        <f t="shared" si="269"/>
        <v>0</v>
      </c>
      <c r="I501" s="3275"/>
      <c r="J501" s="3275"/>
      <c r="K501" s="3275"/>
      <c r="L501" s="3275"/>
      <c r="M501" s="3275"/>
      <c r="N501" s="3275"/>
      <c r="O501" s="3275"/>
      <c r="P501" s="3275"/>
      <c r="Q501" s="3275"/>
      <c r="R501" s="3275"/>
      <c r="S501" s="3275"/>
      <c r="T501" s="3275"/>
      <c r="U501" s="3275"/>
      <c r="V501" s="3275"/>
      <c r="W501" s="3275"/>
      <c r="X501" s="3275"/>
      <c r="Y501" s="3275"/>
      <c r="Z501" s="3275"/>
      <c r="AA501" s="3275"/>
      <c r="AB501" s="3275"/>
      <c r="AC501" s="3264">
        <f t="shared" si="270"/>
        <v>0</v>
      </c>
      <c r="AD501" s="3285"/>
      <c r="AE501" s="3285"/>
      <c r="AF501" s="3285"/>
      <c r="AG501" s="3285"/>
      <c r="AH501" s="3285"/>
      <c r="AI501" s="3285"/>
      <c r="AJ501" s="3285"/>
      <c r="AK501" s="3285"/>
      <c r="AL501" s="3285"/>
      <c r="AM501" s="3285"/>
      <c r="AN501" s="3285"/>
      <c r="AO501" s="3285"/>
      <c r="AP501" s="3285"/>
      <c r="AQ501" s="3285"/>
      <c r="AR501" s="3285"/>
      <c r="AS501" s="3285"/>
      <c r="AT501" s="3295"/>
      <c r="AU501" s="3296"/>
      <c r="AV501" s="830">
        <f t="shared" si="294"/>
        <v>0</v>
      </c>
      <c r="AW501" s="830">
        <f t="shared" si="295"/>
        <v>0</v>
      </c>
      <c r="AX501" s="830">
        <f t="shared" si="296"/>
        <v>0</v>
      </c>
      <c r="AY501" s="3310">
        <f t="shared" si="271"/>
        <v>0</v>
      </c>
      <c r="AZ501" s="3264">
        <f t="shared" si="272"/>
        <v>0</v>
      </c>
      <c r="BA501" s="3264">
        <f t="shared" si="273"/>
        <v>0</v>
      </c>
      <c r="BB501" s="3264">
        <f t="shared" si="274"/>
        <v>0</v>
      </c>
      <c r="BC501" s="3264">
        <f t="shared" si="275"/>
        <v>0</v>
      </c>
      <c r="BD501" s="3264">
        <f t="shared" si="276"/>
        <v>0</v>
      </c>
      <c r="BE501" s="3264">
        <f t="shared" si="277"/>
        <v>0</v>
      </c>
      <c r="BF501" s="3264">
        <f t="shared" si="278"/>
        <v>0</v>
      </c>
      <c r="BG501" s="3264">
        <f t="shared" si="279"/>
        <v>0</v>
      </c>
      <c r="BH501" s="3264">
        <f t="shared" si="280"/>
        <v>0</v>
      </c>
      <c r="BI501" s="3264">
        <f t="shared" si="281"/>
        <v>0</v>
      </c>
      <c r="BJ501" s="3264">
        <f t="shared" si="282"/>
        <v>0</v>
      </c>
      <c r="BK501" s="3264">
        <f t="shared" si="283"/>
        <v>0</v>
      </c>
      <c r="BL501" s="3264">
        <f t="shared" si="284"/>
        <v>0</v>
      </c>
      <c r="BM501" s="3264">
        <f t="shared" si="285"/>
        <v>0</v>
      </c>
      <c r="BN501" s="3264">
        <f t="shared" si="286"/>
        <v>0</v>
      </c>
      <c r="BO501" s="3264">
        <f t="shared" si="287"/>
        <v>0</v>
      </c>
      <c r="BP501" s="3264">
        <f t="shared" si="288"/>
        <v>0</v>
      </c>
      <c r="BQ501" s="3264">
        <f t="shared" si="289"/>
        <v>0</v>
      </c>
      <c r="BR501" s="3264">
        <f t="shared" si="290"/>
        <v>0</v>
      </c>
      <c r="BS501" s="3264">
        <f t="shared" si="291"/>
        <v>0</v>
      </c>
      <c r="BT501" s="3317">
        <f t="shared" si="292"/>
        <v>0</v>
      </c>
    </row>
    <row r="502" spans="1:72">
      <c r="A502" s="3262"/>
      <c r="B502" s="3263"/>
      <c r="C502" s="3263"/>
      <c r="D502" s="3268"/>
      <c r="E502" s="3264">
        <f t="shared" si="293"/>
        <v>0</v>
      </c>
      <c r="F502" s="3265"/>
      <c r="G502" s="3266">
        <f t="shared" si="268"/>
        <v>0</v>
      </c>
      <c r="H502" s="3267">
        <f t="shared" si="269"/>
        <v>0</v>
      </c>
      <c r="I502" s="3275"/>
      <c r="J502" s="3275"/>
      <c r="K502" s="3275"/>
      <c r="L502" s="3275"/>
      <c r="M502" s="3275"/>
      <c r="N502" s="3275"/>
      <c r="O502" s="3275"/>
      <c r="P502" s="3275"/>
      <c r="Q502" s="3275"/>
      <c r="R502" s="3275"/>
      <c r="S502" s="3275"/>
      <c r="T502" s="3275"/>
      <c r="U502" s="3275"/>
      <c r="V502" s="3275"/>
      <c r="W502" s="3275"/>
      <c r="X502" s="3275"/>
      <c r="Y502" s="3275"/>
      <c r="Z502" s="3275"/>
      <c r="AA502" s="3275"/>
      <c r="AB502" s="3275"/>
      <c r="AC502" s="3264">
        <f t="shared" si="270"/>
        <v>0</v>
      </c>
      <c r="AD502" s="3285"/>
      <c r="AE502" s="3285"/>
      <c r="AF502" s="3285"/>
      <c r="AG502" s="3285"/>
      <c r="AH502" s="3285"/>
      <c r="AI502" s="3285"/>
      <c r="AJ502" s="3285"/>
      <c r="AK502" s="3285"/>
      <c r="AL502" s="3285"/>
      <c r="AM502" s="3285"/>
      <c r="AN502" s="3285"/>
      <c r="AO502" s="3285"/>
      <c r="AP502" s="3285"/>
      <c r="AQ502" s="3285"/>
      <c r="AR502" s="3285"/>
      <c r="AS502" s="3285"/>
      <c r="AT502" s="3295"/>
      <c r="AU502" s="3296"/>
      <c r="AV502" s="830">
        <f t="shared" si="294"/>
        <v>0</v>
      </c>
      <c r="AW502" s="830">
        <f t="shared" si="295"/>
        <v>0</v>
      </c>
      <c r="AX502" s="830">
        <f t="shared" si="296"/>
        <v>0</v>
      </c>
      <c r="AY502" s="3310">
        <f t="shared" si="271"/>
        <v>0</v>
      </c>
      <c r="AZ502" s="3264">
        <f t="shared" si="272"/>
        <v>0</v>
      </c>
      <c r="BA502" s="3264">
        <f t="shared" si="273"/>
        <v>0</v>
      </c>
      <c r="BB502" s="3264">
        <f t="shared" si="274"/>
        <v>0</v>
      </c>
      <c r="BC502" s="3264">
        <f t="shared" si="275"/>
        <v>0</v>
      </c>
      <c r="BD502" s="3264">
        <f t="shared" si="276"/>
        <v>0</v>
      </c>
      <c r="BE502" s="3264">
        <f t="shared" si="277"/>
        <v>0</v>
      </c>
      <c r="BF502" s="3264">
        <f t="shared" si="278"/>
        <v>0</v>
      </c>
      <c r="BG502" s="3264">
        <f t="shared" si="279"/>
        <v>0</v>
      </c>
      <c r="BH502" s="3264">
        <f t="shared" si="280"/>
        <v>0</v>
      </c>
      <c r="BI502" s="3264">
        <f t="shared" si="281"/>
        <v>0</v>
      </c>
      <c r="BJ502" s="3264">
        <f t="shared" si="282"/>
        <v>0</v>
      </c>
      <c r="BK502" s="3264">
        <f t="shared" si="283"/>
        <v>0</v>
      </c>
      <c r="BL502" s="3264">
        <f t="shared" si="284"/>
        <v>0</v>
      </c>
      <c r="BM502" s="3264">
        <f t="shared" si="285"/>
        <v>0</v>
      </c>
      <c r="BN502" s="3264">
        <f t="shared" si="286"/>
        <v>0</v>
      </c>
      <c r="BO502" s="3264">
        <f t="shared" si="287"/>
        <v>0</v>
      </c>
      <c r="BP502" s="3264">
        <f t="shared" si="288"/>
        <v>0</v>
      </c>
      <c r="BQ502" s="3264">
        <f t="shared" si="289"/>
        <v>0</v>
      </c>
      <c r="BR502" s="3264">
        <f t="shared" si="290"/>
        <v>0</v>
      </c>
      <c r="BS502" s="3264">
        <f t="shared" si="291"/>
        <v>0</v>
      </c>
      <c r="BT502" s="3317">
        <f t="shared" si="292"/>
        <v>0</v>
      </c>
    </row>
    <row r="503" spans="1:72">
      <c r="A503" s="3262"/>
      <c r="B503" s="3263"/>
      <c r="C503" s="3263"/>
      <c r="D503" s="3268"/>
      <c r="E503" s="3264">
        <f t="shared" si="293"/>
        <v>0</v>
      </c>
      <c r="F503" s="3265"/>
      <c r="G503" s="3266">
        <f t="shared" si="268"/>
        <v>0</v>
      </c>
      <c r="H503" s="3267">
        <f t="shared" si="269"/>
        <v>0</v>
      </c>
      <c r="I503" s="3275"/>
      <c r="J503" s="3275"/>
      <c r="K503" s="3275"/>
      <c r="L503" s="3275"/>
      <c r="M503" s="3275"/>
      <c r="N503" s="3275"/>
      <c r="O503" s="3275"/>
      <c r="P503" s="3275"/>
      <c r="Q503" s="3275"/>
      <c r="R503" s="3275"/>
      <c r="S503" s="3275"/>
      <c r="T503" s="3275"/>
      <c r="U503" s="3275"/>
      <c r="V503" s="3275"/>
      <c r="W503" s="3275"/>
      <c r="X503" s="3275"/>
      <c r="Y503" s="3275"/>
      <c r="Z503" s="3275"/>
      <c r="AA503" s="3275"/>
      <c r="AB503" s="3275"/>
      <c r="AC503" s="3264">
        <f t="shared" si="270"/>
        <v>0</v>
      </c>
      <c r="AD503" s="3285"/>
      <c r="AE503" s="3285"/>
      <c r="AF503" s="3285"/>
      <c r="AG503" s="3285"/>
      <c r="AH503" s="3285"/>
      <c r="AI503" s="3285"/>
      <c r="AJ503" s="3285"/>
      <c r="AK503" s="3285"/>
      <c r="AL503" s="3285"/>
      <c r="AM503" s="3285"/>
      <c r="AN503" s="3285"/>
      <c r="AO503" s="3285"/>
      <c r="AP503" s="3285"/>
      <c r="AQ503" s="3285"/>
      <c r="AR503" s="3285"/>
      <c r="AS503" s="3285"/>
      <c r="AT503" s="3295"/>
      <c r="AU503" s="3296"/>
      <c r="AV503" s="830">
        <f t="shared" si="294"/>
        <v>0</v>
      </c>
      <c r="AW503" s="830">
        <f t="shared" si="295"/>
        <v>0</v>
      </c>
      <c r="AX503" s="830">
        <f t="shared" si="296"/>
        <v>0</v>
      </c>
      <c r="AY503" s="3310">
        <f t="shared" si="271"/>
        <v>0</v>
      </c>
      <c r="AZ503" s="3264">
        <f t="shared" si="272"/>
        <v>0</v>
      </c>
      <c r="BA503" s="3264">
        <f t="shared" si="273"/>
        <v>0</v>
      </c>
      <c r="BB503" s="3264">
        <f t="shared" si="274"/>
        <v>0</v>
      </c>
      <c r="BC503" s="3264">
        <f t="shared" si="275"/>
        <v>0</v>
      </c>
      <c r="BD503" s="3264">
        <f t="shared" si="276"/>
        <v>0</v>
      </c>
      <c r="BE503" s="3264">
        <f t="shared" si="277"/>
        <v>0</v>
      </c>
      <c r="BF503" s="3264">
        <f t="shared" si="278"/>
        <v>0</v>
      </c>
      <c r="BG503" s="3264">
        <f t="shared" si="279"/>
        <v>0</v>
      </c>
      <c r="BH503" s="3264">
        <f t="shared" si="280"/>
        <v>0</v>
      </c>
      <c r="BI503" s="3264">
        <f t="shared" si="281"/>
        <v>0</v>
      </c>
      <c r="BJ503" s="3264">
        <f t="shared" si="282"/>
        <v>0</v>
      </c>
      <c r="BK503" s="3264">
        <f t="shared" si="283"/>
        <v>0</v>
      </c>
      <c r="BL503" s="3264">
        <f t="shared" si="284"/>
        <v>0</v>
      </c>
      <c r="BM503" s="3264">
        <f t="shared" si="285"/>
        <v>0</v>
      </c>
      <c r="BN503" s="3264">
        <f t="shared" si="286"/>
        <v>0</v>
      </c>
      <c r="BO503" s="3264">
        <f t="shared" si="287"/>
        <v>0</v>
      </c>
      <c r="BP503" s="3264">
        <f t="shared" si="288"/>
        <v>0</v>
      </c>
      <c r="BQ503" s="3264">
        <f t="shared" si="289"/>
        <v>0</v>
      </c>
      <c r="BR503" s="3264">
        <f t="shared" si="290"/>
        <v>0</v>
      </c>
      <c r="BS503" s="3264">
        <f t="shared" si="291"/>
        <v>0</v>
      </c>
      <c r="BT503" s="3317">
        <f t="shared" si="292"/>
        <v>0</v>
      </c>
    </row>
    <row r="504" spans="1:72">
      <c r="A504" s="3262"/>
      <c r="B504" s="3263"/>
      <c r="C504" s="3263"/>
      <c r="D504" s="3268"/>
      <c r="E504" s="3264">
        <f t="shared" si="293"/>
        <v>0</v>
      </c>
      <c r="F504" s="3265"/>
      <c r="G504" s="3266">
        <f t="shared" si="268"/>
        <v>0</v>
      </c>
      <c r="H504" s="3267">
        <f t="shared" si="269"/>
        <v>0</v>
      </c>
      <c r="I504" s="3275"/>
      <c r="J504" s="3275"/>
      <c r="K504" s="3275"/>
      <c r="L504" s="3275"/>
      <c r="M504" s="3275"/>
      <c r="N504" s="3275"/>
      <c r="O504" s="3275"/>
      <c r="P504" s="3275"/>
      <c r="Q504" s="3275"/>
      <c r="R504" s="3275"/>
      <c r="S504" s="3275"/>
      <c r="T504" s="3275"/>
      <c r="U504" s="3275"/>
      <c r="V504" s="3275"/>
      <c r="W504" s="3275"/>
      <c r="X504" s="3275"/>
      <c r="Y504" s="3275"/>
      <c r="Z504" s="3275"/>
      <c r="AA504" s="3275"/>
      <c r="AB504" s="3275"/>
      <c r="AC504" s="3264">
        <f t="shared" si="270"/>
        <v>0</v>
      </c>
      <c r="AD504" s="3285"/>
      <c r="AE504" s="3285"/>
      <c r="AF504" s="3285"/>
      <c r="AG504" s="3285"/>
      <c r="AH504" s="3285"/>
      <c r="AI504" s="3285"/>
      <c r="AJ504" s="3285"/>
      <c r="AK504" s="3285"/>
      <c r="AL504" s="3285"/>
      <c r="AM504" s="3285"/>
      <c r="AN504" s="3285"/>
      <c r="AO504" s="3285"/>
      <c r="AP504" s="3285"/>
      <c r="AQ504" s="3285"/>
      <c r="AR504" s="3285"/>
      <c r="AS504" s="3285"/>
      <c r="AT504" s="3295"/>
      <c r="AU504" s="3296"/>
      <c r="AV504" s="830">
        <f t="shared" si="294"/>
        <v>0</v>
      </c>
      <c r="AW504" s="830">
        <f t="shared" si="295"/>
        <v>0</v>
      </c>
      <c r="AX504" s="830">
        <f t="shared" si="296"/>
        <v>0</v>
      </c>
      <c r="AY504" s="3310">
        <f t="shared" si="271"/>
        <v>0</v>
      </c>
      <c r="AZ504" s="3264">
        <f t="shared" si="272"/>
        <v>0</v>
      </c>
      <c r="BA504" s="3264">
        <f t="shared" si="273"/>
        <v>0</v>
      </c>
      <c r="BB504" s="3264">
        <f t="shared" si="274"/>
        <v>0</v>
      </c>
      <c r="BC504" s="3264">
        <f t="shared" si="275"/>
        <v>0</v>
      </c>
      <c r="BD504" s="3264">
        <f t="shared" si="276"/>
        <v>0</v>
      </c>
      <c r="BE504" s="3264">
        <f t="shared" si="277"/>
        <v>0</v>
      </c>
      <c r="BF504" s="3264">
        <f t="shared" si="278"/>
        <v>0</v>
      </c>
      <c r="BG504" s="3264">
        <f t="shared" si="279"/>
        <v>0</v>
      </c>
      <c r="BH504" s="3264">
        <f t="shared" si="280"/>
        <v>0</v>
      </c>
      <c r="BI504" s="3264">
        <f t="shared" si="281"/>
        <v>0</v>
      </c>
      <c r="BJ504" s="3264">
        <f t="shared" si="282"/>
        <v>0</v>
      </c>
      <c r="BK504" s="3264">
        <f t="shared" si="283"/>
        <v>0</v>
      </c>
      <c r="BL504" s="3264">
        <f t="shared" si="284"/>
        <v>0</v>
      </c>
      <c r="BM504" s="3264">
        <f t="shared" si="285"/>
        <v>0</v>
      </c>
      <c r="BN504" s="3264">
        <f t="shared" si="286"/>
        <v>0</v>
      </c>
      <c r="BO504" s="3264">
        <f t="shared" si="287"/>
        <v>0</v>
      </c>
      <c r="BP504" s="3264">
        <f t="shared" si="288"/>
        <v>0</v>
      </c>
      <c r="BQ504" s="3264">
        <f t="shared" si="289"/>
        <v>0</v>
      </c>
      <c r="BR504" s="3264">
        <f t="shared" si="290"/>
        <v>0</v>
      </c>
      <c r="BS504" s="3264">
        <f t="shared" si="291"/>
        <v>0</v>
      </c>
      <c r="BT504" s="3317">
        <f t="shared" si="292"/>
        <v>0</v>
      </c>
    </row>
    <row r="505" spans="1:72">
      <c r="A505" s="3262"/>
      <c r="B505" s="3263"/>
      <c r="C505" s="3263"/>
      <c r="D505" s="3268"/>
      <c r="E505" s="3264">
        <f t="shared" si="293"/>
        <v>0</v>
      </c>
      <c r="F505" s="3265"/>
      <c r="G505" s="3266">
        <f t="shared" si="268"/>
        <v>0</v>
      </c>
      <c r="H505" s="3267">
        <f t="shared" si="269"/>
        <v>0</v>
      </c>
      <c r="I505" s="3275"/>
      <c r="J505" s="3275"/>
      <c r="K505" s="3275"/>
      <c r="L505" s="3275"/>
      <c r="M505" s="3275"/>
      <c r="N505" s="3275"/>
      <c r="O505" s="3275"/>
      <c r="P505" s="3275"/>
      <c r="Q505" s="3275"/>
      <c r="R505" s="3275"/>
      <c r="S505" s="3275"/>
      <c r="T505" s="3275"/>
      <c r="U505" s="3275"/>
      <c r="V505" s="3275"/>
      <c r="W505" s="3275"/>
      <c r="X505" s="3275"/>
      <c r="Y505" s="3275"/>
      <c r="Z505" s="3275"/>
      <c r="AA505" s="3275"/>
      <c r="AB505" s="3275"/>
      <c r="AC505" s="3264">
        <f t="shared" si="270"/>
        <v>0</v>
      </c>
      <c r="AD505" s="3285"/>
      <c r="AE505" s="3285"/>
      <c r="AF505" s="3285"/>
      <c r="AG505" s="3285"/>
      <c r="AH505" s="3285"/>
      <c r="AI505" s="3285"/>
      <c r="AJ505" s="3285"/>
      <c r="AK505" s="3285"/>
      <c r="AL505" s="3285"/>
      <c r="AM505" s="3285"/>
      <c r="AN505" s="3285"/>
      <c r="AO505" s="3285"/>
      <c r="AP505" s="3285"/>
      <c r="AQ505" s="3285"/>
      <c r="AR505" s="3285"/>
      <c r="AS505" s="3285"/>
      <c r="AT505" s="3295"/>
      <c r="AU505" s="3296"/>
      <c r="AV505" s="830">
        <f t="shared" si="294"/>
        <v>0</v>
      </c>
      <c r="AW505" s="830">
        <f t="shared" si="295"/>
        <v>0</v>
      </c>
      <c r="AX505" s="830">
        <f t="shared" si="296"/>
        <v>0</v>
      </c>
      <c r="AY505" s="3310">
        <f t="shared" si="271"/>
        <v>0</v>
      </c>
      <c r="AZ505" s="3264">
        <f t="shared" si="272"/>
        <v>0</v>
      </c>
      <c r="BA505" s="3264">
        <f t="shared" si="273"/>
        <v>0</v>
      </c>
      <c r="BB505" s="3264">
        <f t="shared" si="274"/>
        <v>0</v>
      </c>
      <c r="BC505" s="3264">
        <f t="shared" si="275"/>
        <v>0</v>
      </c>
      <c r="BD505" s="3264">
        <f t="shared" si="276"/>
        <v>0</v>
      </c>
      <c r="BE505" s="3264">
        <f t="shared" si="277"/>
        <v>0</v>
      </c>
      <c r="BF505" s="3264">
        <f t="shared" si="278"/>
        <v>0</v>
      </c>
      <c r="BG505" s="3264">
        <f t="shared" si="279"/>
        <v>0</v>
      </c>
      <c r="BH505" s="3264">
        <f t="shared" si="280"/>
        <v>0</v>
      </c>
      <c r="BI505" s="3264">
        <f t="shared" si="281"/>
        <v>0</v>
      </c>
      <c r="BJ505" s="3264">
        <f t="shared" si="282"/>
        <v>0</v>
      </c>
      <c r="BK505" s="3264">
        <f t="shared" si="283"/>
        <v>0</v>
      </c>
      <c r="BL505" s="3264">
        <f t="shared" si="284"/>
        <v>0</v>
      </c>
      <c r="BM505" s="3264">
        <f t="shared" si="285"/>
        <v>0</v>
      </c>
      <c r="BN505" s="3264">
        <f t="shared" si="286"/>
        <v>0</v>
      </c>
      <c r="BO505" s="3264">
        <f t="shared" si="287"/>
        <v>0</v>
      </c>
      <c r="BP505" s="3264">
        <f t="shared" si="288"/>
        <v>0</v>
      </c>
      <c r="BQ505" s="3264">
        <f t="shared" si="289"/>
        <v>0</v>
      </c>
      <c r="BR505" s="3264">
        <f t="shared" si="290"/>
        <v>0</v>
      </c>
      <c r="BS505" s="3264">
        <f t="shared" si="291"/>
        <v>0</v>
      </c>
      <c r="BT505" s="3317">
        <f t="shared" si="292"/>
        <v>0</v>
      </c>
    </row>
    <row r="506" spans="1:72">
      <c r="A506" s="3262"/>
      <c r="B506" s="3263"/>
      <c r="C506" s="3263"/>
      <c r="D506" s="3268"/>
      <c r="E506" s="3264">
        <f t="shared" si="293"/>
        <v>0</v>
      </c>
      <c r="F506" s="3265"/>
      <c r="G506" s="3266">
        <f t="shared" si="268"/>
        <v>0</v>
      </c>
      <c r="H506" s="3267">
        <f t="shared" si="269"/>
        <v>0</v>
      </c>
      <c r="I506" s="3275"/>
      <c r="J506" s="3275"/>
      <c r="K506" s="3275"/>
      <c r="L506" s="3275"/>
      <c r="M506" s="3275"/>
      <c r="N506" s="3275"/>
      <c r="O506" s="3275"/>
      <c r="P506" s="3275"/>
      <c r="Q506" s="3275"/>
      <c r="R506" s="3275"/>
      <c r="S506" s="3275"/>
      <c r="T506" s="3275"/>
      <c r="U506" s="3275"/>
      <c r="V506" s="3275"/>
      <c r="W506" s="3275"/>
      <c r="X506" s="3275"/>
      <c r="Y506" s="3275"/>
      <c r="Z506" s="3275"/>
      <c r="AA506" s="3275"/>
      <c r="AB506" s="3275"/>
      <c r="AC506" s="3264">
        <f t="shared" si="270"/>
        <v>0</v>
      </c>
      <c r="AD506" s="3285"/>
      <c r="AE506" s="3285"/>
      <c r="AF506" s="3285"/>
      <c r="AG506" s="3285"/>
      <c r="AH506" s="3285"/>
      <c r="AI506" s="3285"/>
      <c r="AJ506" s="3285"/>
      <c r="AK506" s="3285"/>
      <c r="AL506" s="3285"/>
      <c r="AM506" s="3285"/>
      <c r="AN506" s="3285"/>
      <c r="AO506" s="3285"/>
      <c r="AP506" s="3285"/>
      <c r="AQ506" s="3285"/>
      <c r="AR506" s="3285"/>
      <c r="AS506" s="3285"/>
      <c r="AT506" s="3295"/>
      <c r="AU506" s="3296"/>
      <c r="AV506" s="830">
        <f t="shared" si="294"/>
        <v>0</v>
      </c>
      <c r="AW506" s="830">
        <f t="shared" si="295"/>
        <v>0</v>
      </c>
      <c r="AX506" s="830">
        <f t="shared" si="296"/>
        <v>0</v>
      </c>
      <c r="AY506" s="3310">
        <f t="shared" si="271"/>
        <v>0</v>
      </c>
      <c r="AZ506" s="3264">
        <f t="shared" si="272"/>
        <v>0</v>
      </c>
      <c r="BA506" s="3264">
        <f t="shared" si="273"/>
        <v>0</v>
      </c>
      <c r="BB506" s="3264">
        <f t="shared" si="274"/>
        <v>0</v>
      </c>
      <c r="BC506" s="3264">
        <f t="shared" si="275"/>
        <v>0</v>
      </c>
      <c r="BD506" s="3264">
        <f t="shared" si="276"/>
        <v>0</v>
      </c>
      <c r="BE506" s="3264">
        <f t="shared" si="277"/>
        <v>0</v>
      </c>
      <c r="BF506" s="3264">
        <f t="shared" si="278"/>
        <v>0</v>
      </c>
      <c r="BG506" s="3264">
        <f t="shared" si="279"/>
        <v>0</v>
      </c>
      <c r="BH506" s="3264">
        <f t="shared" si="280"/>
        <v>0</v>
      </c>
      <c r="BI506" s="3264">
        <f t="shared" si="281"/>
        <v>0</v>
      </c>
      <c r="BJ506" s="3264">
        <f t="shared" si="282"/>
        <v>0</v>
      </c>
      <c r="BK506" s="3264">
        <f t="shared" si="283"/>
        <v>0</v>
      </c>
      <c r="BL506" s="3264">
        <f t="shared" si="284"/>
        <v>0</v>
      </c>
      <c r="BM506" s="3264">
        <f t="shared" si="285"/>
        <v>0</v>
      </c>
      <c r="BN506" s="3264">
        <f t="shared" si="286"/>
        <v>0</v>
      </c>
      <c r="BO506" s="3264">
        <f t="shared" si="287"/>
        <v>0</v>
      </c>
      <c r="BP506" s="3264">
        <f t="shared" si="288"/>
        <v>0</v>
      </c>
      <c r="BQ506" s="3264">
        <f t="shared" si="289"/>
        <v>0</v>
      </c>
      <c r="BR506" s="3264">
        <f t="shared" si="290"/>
        <v>0</v>
      </c>
      <c r="BS506" s="3264">
        <f t="shared" si="291"/>
        <v>0</v>
      </c>
      <c r="BT506" s="3317">
        <f t="shared" si="292"/>
        <v>0</v>
      </c>
    </row>
    <row r="507" spans="1:72">
      <c r="A507" s="3262"/>
      <c r="B507" s="3263"/>
      <c r="C507" s="3263"/>
      <c r="D507" s="3268"/>
      <c r="E507" s="3264">
        <f t="shared" si="293"/>
        <v>0</v>
      </c>
      <c r="F507" s="3265"/>
      <c r="G507" s="3266">
        <f t="shared" si="268"/>
        <v>0</v>
      </c>
      <c r="H507" s="3267">
        <f t="shared" si="269"/>
        <v>0</v>
      </c>
      <c r="I507" s="3275"/>
      <c r="J507" s="3275"/>
      <c r="K507" s="3275"/>
      <c r="L507" s="3275"/>
      <c r="M507" s="3275"/>
      <c r="N507" s="3275"/>
      <c r="O507" s="3275"/>
      <c r="P507" s="3275"/>
      <c r="Q507" s="3275"/>
      <c r="R507" s="3275"/>
      <c r="S507" s="3275"/>
      <c r="T507" s="3275"/>
      <c r="U507" s="3275"/>
      <c r="V507" s="3275"/>
      <c r="W507" s="3275"/>
      <c r="X507" s="3275"/>
      <c r="Y507" s="3275"/>
      <c r="Z507" s="3275"/>
      <c r="AA507" s="3275"/>
      <c r="AB507" s="3275"/>
      <c r="AC507" s="3264">
        <f t="shared" si="270"/>
        <v>0</v>
      </c>
      <c r="AD507" s="3285"/>
      <c r="AE507" s="3285"/>
      <c r="AF507" s="3285"/>
      <c r="AG507" s="3285"/>
      <c r="AH507" s="3285"/>
      <c r="AI507" s="3285"/>
      <c r="AJ507" s="3285"/>
      <c r="AK507" s="3285"/>
      <c r="AL507" s="3285"/>
      <c r="AM507" s="3285"/>
      <c r="AN507" s="3285"/>
      <c r="AO507" s="3285"/>
      <c r="AP507" s="3285"/>
      <c r="AQ507" s="3285"/>
      <c r="AR507" s="3285"/>
      <c r="AS507" s="3285"/>
      <c r="AT507" s="3295"/>
      <c r="AU507" s="3296"/>
      <c r="AV507" s="830">
        <f t="shared" si="294"/>
        <v>0</v>
      </c>
      <c r="AW507" s="830">
        <f t="shared" si="295"/>
        <v>0</v>
      </c>
      <c r="AX507" s="830">
        <f t="shared" si="296"/>
        <v>0</v>
      </c>
      <c r="AY507" s="3310">
        <f t="shared" si="271"/>
        <v>0</v>
      </c>
      <c r="AZ507" s="3264">
        <f t="shared" si="272"/>
        <v>0</v>
      </c>
      <c r="BA507" s="3264">
        <f t="shared" si="273"/>
        <v>0</v>
      </c>
      <c r="BB507" s="3264">
        <f t="shared" si="274"/>
        <v>0</v>
      </c>
      <c r="BC507" s="3264">
        <f t="shared" si="275"/>
        <v>0</v>
      </c>
      <c r="BD507" s="3264">
        <f t="shared" si="276"/>
        <v>0</v>
      </c>
      <c r="BE507" s="3264">
        <f t="shared" si="277"/>
        <v>0</v>
      </c>
      <c r="BF507" s="3264">
        <f t="shared" si="278"/>
        <v>0</v>
      </c>
      <c r="BG507" s="3264">
        <f t="shared" si="279"/>
        <v>0</v>
      </c>
      <c r="BH507" s="3264">
        <f t="shared" si="280"/>
        <v>0</v>
      </c>
      <c r="BI507" s="3264">
        <f t="shared" si="281"/>
        <v>0</v>
      </c>
      <c r="BJ507" s="3264">
        <f t="shared" si="282"/>
        <v>0</v>
      </c>
      <c r="BK507" s="3264">
        <f t="shared" si="283"/>
        <v>0</v>
      </c>
      <c r="BL507" s="3264">
        <f t="shared" si="284"/>
        <v>0</v>
      </c>
      <c r="BM507" s="3264">
        <f t="shared" si="285"/>
        <v>0</v>
      </c>
      <c r="BN507" s="3264">
        <f t="shared" si="286"/>
        <v>0</v>
      </c>
      <c r="BO507" s="3264">
        <f t="shared" si="287"/>
        <v>0</v>
      </c>
      <c r="BP507" s="3264">
        <f t="shared" si="288"/>
        <v>0</v>
      </c>
      <c r="BQ507" s="3264">
        <f t="shared" si="289"/>
        <v>0</v>
      </c>
      <c r="BR507" s="3264">
        <f t="shared" si="290"/>
        <v>0</v>
      </c>
      <c r="BS507" s="3264">
        <f t="shared" si="291"/>
        <v>0</v>
      </c>
      <c r="BT507" s="3317">
        <f t="shared" si="292"/>
        <v>0</v>
      </c>
    </row>
    <row r="508" spans="1:72">
      <c r="A508" s="3262"/>
      <c r="B508" s="3263"/>
      <c r="C508" s="3263"/>
      <c r="D508" s="3268"/>
      <c r="E508" s="3264">
        <f t="shared" si="293"/>
        <v>0</v>
      </c>
      <c r="F508" s="3265"/>
      <c r="G508" s="3266">
        <f t="shared" si="268"/>
        <v>0</v>
      </c>
      <c r="H508" s="3267">
        <f t="shared" si="269"/>
        <v>0</v>
      </c>
      <c r="I508" s="3275"/>
      <c r="J508" s="3275"/>
      <c r="K508" s="3275"/>
      <c r="L508" s="3275"/>
      <c r="M508" s="3275"/>
      <c r="N508" s="3275"/>
      <c r="O508" s="3275"/>
      <c r="P508" s="3275"/>
      <c r="Q508" s="3275"/>
      <c r="R508" s="3275"/>
      <c r="S508" s="3275"/>
      <c r="T508" s="3275"/>
      <c r="U508" s="3275"/>
      <c r="V508" s="3275"/>
      <c r="W508" s="3275"/>
      <c r="X508" s="3275"/>
      <c r="Y508" s="3275"/>
      <c r="Z508" s="3275"/>
      <c r="AA508" s="3275"/>
      <c r="AB508" s="3275"/>
      <c r="AC508" s="3264">
        <f t="shared" si="270"/>
        <v>0</v>
      </c>
      <c r="AD508" s="3285"/>
      <c r="AE508" s="3285"/>
      <c r="AF508" s="3285"/>
      <c r="AG508" s="3285"/>
      <c r="AH508" s="3285"/>
      <c r="AI508" s="3285"/>
      <c r="AJ508" s="3285"/>
      <c r="AK508" s="3285"/>
      <c r="AL508" s="3285"/>
      <c r="AM508" s="3285"/>
      <c r="AN508" s="3285"/>
      <c r="AO508" s="3285"/>
      <c r="AP508" s="3285"/>
      <c r="AQ508" s="3285"/>
      <c r="AR508" s="3285"/>
      <c r="AS508" s="3285"/>
      <c r="AT508" s="3295"/>
      <c r="AU508" s="3296"/>
      <c r="AV508" s="830">
        <f t="shared" si="294"/>
        <v>0</v>
      </c>
      <c r="AW508" s="830">
        <f t="shared" si="295"/>
        <v>0</v>
      </c>
      <c r="AX508" s="830">
        <f t="shared" si="296"/>
        <v>0</v>
      </c>
      <c r="AY508" s="3310">
        <f t="shared" si="271"/>
        <v>0</v>
      </c>
      <c r="AZ508" s="3264">
        <f t="shared" si="272"/>
        <v>0</v>
      </c>
      <c r="BA508" s="3264">
        <f t="shared" si="273"/>
        <v>0</v>
      </c>
      <c r="BB508" s="3264">
        <f t="shared" si="274"/>
        <v>0</v>
      </c>
      <c r="BC508" s="3264">
        <f t="shared" si="275"/>
        <v>0</v>
      </c>
      <c r="BD508" s="3264">
        <f t="shared" si="276"/>
        <v>0</v>
      </c>
      <c r="BE508" s="3264">
        <f t="shared" si="277"/>
        <v>0</v>
      </c>
      <c r="BF508" s="3264">
        <f t="shared" si="278"/>
        <v>0</v>
      </c>
      <c r="BG508" s="3264">
        <f t="shared" si="279"/>
        <v>0</v>
      </c>
      <c r="BH508" s="3264">
        <f t="shared" si="280"/>
        <v>0</v>
      </c>
      <c r="BI508" s="3264">
        <f t="shared" si="281"/>
        <v>0</v>
      </c>
      <c r="BJ508" s="3264">
        <f t="shared" si="282"/>
        <v>0</v>
      </c>
      <c r="BK508" s="3264">
        <f t="shared" si="283"/>
        <v>0</v>
      </c>
      <c r="BL508" s="3264">
        <f t="shared" si="284"/>
        <v>0</v>
      </c>
      <c r="BM508" s="3264">
        <f t="shared" si="285"/>
        <v>0</v>
      </c>
      <c r="BN508" s="3264">
        <f t="shared" si="286"/>
        <v>0</v>
      </c>
      <c r="BO508" s="3264">
        <f t="shared" si="287"/>
        <v>0</v>
      </c>
      <c r="BP508" s="3264">
        <f t="shared" si="288"/>
        <v>0</v>
      </c>
      <c r="BQ508" s="3264">
        <f t="shared" si="289"/>
        <v>0</v>
      </c>
      <c r="BR508" s="3264">
        <f t="shared" si="290"/>
        <v>0</v>
      </c>
      <c r="BS508" s="3264">
        <f t="shared" si="291"/>
        <v>0</v>
      </c>
      <c r="BT508" s="3317">
        <f t="shared" si="292"/>
        <v>0</v>
      </c>
    </row>
    <row r="509" spans="1:72">
      <c r="A509" s="3262"/>
      <c r="B509" s="3263"/>
      <c r="C509" s="3263"/>
      <c r="D509" s="3268"/>
      <c r="E509" s="3264">
        <f t="shared" si="293"/>
        <v>0</v>
      </c>
      <c r="F509" s="3265"/>
      <c r="G509" s="3266">
        <f t="shared" si="268"/>
        <v>0</v>
      </c>
      <c r="H509" s="3267">
        <f t="shared" si="269"/>
        <v>0</v>
      </c>
      <c r="I509" s="3275"/>
      <c r="J509" s="3275"/>
      <c r="K509" s="3275"/>
      <c r="L509" s="3275"/>
      <c r="M509" s="3275"/>
      <c r="N509" s="3275"/>
      <c r="O509" s="3275"/>
      <c r="P509" s="3275"/>
      <c r="Q509" s="3275"/>
      <c r="R509" s="3275"/>
      <c r="S509" s="3275"/>
      <c r="T509" s="3275"/>
      <c r="U509" s="3275"/>
      <c r="V509" s="3275"/>
      <c r="W509" s="3275"/>
      <c r="X509" s="3275"/>
      <c r="Y509" s="3275"/>
      <c r="Z509" s="3275"/>
      <c r="AA509" s="3275"/>
      <c r="AB509" s="3275"/>
      <c r="AC509" s="3264">
        <f t="shared" si="270"/>
        <v>0</v>
      </c>
      <c r="AD509" s="3285"/>
      <c r="AE509" s="3285"/>
      <c r="AF509" s="3285"/>
      <c r="AG509" s="3285"/>
      <c r="AH509" s="3285"/>
      <c r="AI509" s="3285"/>
      <c r="AJ509" s="3285"/>
      <c r="AK509" s="3285"/>
      <c r="AL509" s="3285"/>
      <c r="AM509" s="3285"/>
      <c r="AN509" s="3285"/>
      <c r="AO509" s="3285"/>
      <c r="AP509" s="3285"/>
      <c r="AQ509" s="3285"/>
      <c r="AR509" s="3285"/>
      <c r="AS509" s="3285"/>
      <c r="AT509" s="3295"/>
      <c r="AU509" s="3296"/>
      <c r="AV509" s="830">
        <f t="shared" si="294"/>
        <v>0</v>
      </c>
      <c r="AW509" s="830">
        <f t="shared" si="295"/>
        <v>0</v>
      </c>
      <c r="AX509" s="830">
        <f t="shared" si="296"/>
        <v>0</v>
      </c>
      <c r="AY509" s="3310">
        <f t="shared" si="271"/>
        <v>0</v>
      </c>
      <c r="AZ509" s="3264">
        <f t="shared" si="272"/>
        <v>0</v>
      </c>
      <c r="BA509" s="3264">
        <f t="shared" si="273"/>
        <v>0</v>
      </c>
      <c r="BB509" s="3264">
        <f t="shared" si="274"/>
        <v>0</v>
      </c>
      <c r="BC509" s="3264">
        <f t="shared" si="275"/>
        <v>0</v>
      </c>
      <c r="BD509" s="3264">
        <f t="shared" si="276"/>
        <v>0</v>
      </c>
      <c r="BE509" s="3264">
        <f t="shared" si="277"/>
        <v>0</v>
      </c>
      <c r="BF509" s="3264">
        <f t="shared" si="278"/>
        <v>0</v>
      </c>
      <c r="BG509" s="3264">
        <f t="shared" si="279"/>
        <v>0</v>
      </c>
      <c r="BH509" s="3264">
        <f t="shared" si="280"/>
        <v>0</v>
      </c>
      <c r="BI509" s="3264">
        <f t="shared" si="281"/>
        <v>0</v>
      </c>
      <c r="BJ509" s="3264">
        <f t="shared" si="282"/>
        <v>0</v>
      </c>
      <c r="BK509" s="3264">
        <f t="shared" si="283"/>
        <v>0</v>
      </c>
      <c r="BL509" s="3264">
        <f t="shared" si="284"/>
        <v>0</v>
      </c>
      <c r="BM509" s="3264">
        <f t="shared" si="285"/>
        <v>0</v>
      </c>
      <c r="BN509" s="3264">
        <f t="shared" si="286"/>
        <v>0</v>
      </c>
      <c r="BO509" s="3264">
        <f t="shared" si="287"/>
        <v>0</v>
      </c>
      <c r="BP509" s="3264">
        <f t="shared" si="288"/>
        <v>0</v>
      </c>
      <c r="BQ509" s="3264">
        <f t="shared" si="289"/>
        <v>0</v>
      </c>
      <c r="BR509" s="3264">
        <f t="shared" si="290"/>
        <v>0</v>
      </c>
      <c r="BS509" s="3264">
        <f t="shared" si="291"/>
        <v>0</v>
      </c>
      <c r="BT509" s="3317">
        <f t="shared" si="292"/>
        <v>0</v>
      </c>
    </row>
    <row r="510" spans="1:72">
      <c r="A510" s="3262"/>
      <c r="B510" s="3263"/>
      <c r="C510" s="3263"/>
      <c r="D510" s="3268"/>
      <c r="E510" s="3264">
        <f t="shared" si="293"/>
        <v>0</v>
      </c>
      <c r="F510" s="3265"/>
      <c r="G510" s="3266">
        <f t="shared" si="268"/>
        <v>0</v>
      </c>
      <c r="H510" s="3267">
        <f t="shared" si="269"/>
        <v>0</v>
      </c>
      <c r="I510" s="3275"/>
      <c r="J510" s="3275"/>
      <c r="K510" s="3275"/>
      <c r="L510" s="3275"/>
      <c r="M510" s="3275"/>
      <c r="N510" s="3275"/>
      <c r="O510" s="3275"/>
      <c r="P510" s="3275"/>
      <c r="Q510" s="3275"/>
      <c r="R510" s="3275"/>
      <c r="S510" s="3275"/>
      <c r="T510" s="3275"/>
      <c r="U510" s="3275"/>
      <c r="V510" s="3275"/>
      <c r="W510" s="3275"/>
      <c r="X510" s="3275"/>
      <c r="Y510" s="3275"/>
      <c r="Z510" s="3275"/>
      <c r="AA510" s="3275"/>
      <c r="AB510" s="3275"/>
      <c r="AC510" s="3264">
        <f t="shared" si="270"/>
        <v>0</v>
      </c>
      <c r="AD510" s="3285"/>
      <c r="AE510" s="3285"/>
      <c r="AF510" s="3285"/>
      <c r="AG510" s="3285"/>
      <c r="AH510" s="3285"/>
      <c r="AI510" s="3285"/>
      <c r="AJ510" s="3285"/>
      <c r="AK510" s="3285"/>
      <c r="AL510" s="3285"/>
      <c r="AM510" s="3285"/>
      <c r="AN510" s="3285"/>
      <c r="AO510" s="3285"/>
      <c r="AP510" s="3285"/>
      <c r="AQ510" s="3285"/>
      <c r="AR510" s="3285"/>
      <c r="AS510" s="3285"/>
      <c r="AT510" s="3295"/>
      <c r="AU510" s="3296"/>
      <c r="AV510" s="830">
        <f t="shared" si="294"/>
        <v>0</v>
      </c>
      <c r="AW510" s="830">
        <f t="shared" si="295"/>
        <v>0</v>
      </c>
      <c r="AX510" s="830">
        <f t="shared" si="296"/>
        <v>0</v>
      </c>
      <c r="AY510" s="3310">
        <f t="shared" si="271"/>
        <v>0</v>
      </c>
      <c r="AZ510" s="3264">
        <f t="shared" si="272"/>
        <v>0</v>
      </c>
      <c r="BA510" s="3264">
        <f t="shared" si="273"/>
        <v>0</v>
      </c>
      <c r="BB510" s="3264">
        <f t="shared" si="274"/>
        <v>0</v>
      </c>
      <c r="BC510" s="3264">
        <f t="shared" si="275"/>
        <v>0</v>
      </c>
      <c r="BD510" s="3264">
        <f t="shared" si="276"/>
        <v>0</v>
      </c>
      <c r="BE510" s="3264">
        <f t="shared" si="277"/>
        <v>0</v>
      </c>
      <c r="BF510" s="3264">
        <f t="shared" si="278"/>
        <v>0</v>
      </c>
      <c r="BG510" s="3264">
        <f t="shared" si="279"/>
        <v>0</v>
      </c>
      <c r="BH510" s="3264">
        <f t="shared" si="280"/>
        <v>0</v>
      </c>
      <c r="BI510" s="3264">
        <f t="shared" si="281"/>
        <v>0</v>
      </c>
      <c r="BJ510" s="3264">
        <f t="shared" si="282"/>
        <v>0</v>
      </c>
      <c r="BK510" s="3264">
        <f t="shared" si="283"/>
        <v>0</v>
      </c>
      <c r="BL510" s="3264">
        <f t="shared" si="284"/>
        <v>0</v>
      </c>
      <c r="BM510" s="3264">
        <f t="shared" si="285"/>
        <v>0</v>
      </c>
      <c r="BN510" s="3264">
        <f t="shared" si="286"/>
        <v>0</v>
      </c>
      <c r="BO510" s="3264">
        <f t="shared" si="287"/>
        <v>0</v>
      </c>
      <c r="BP510" s="3264">
        <f t="shared" si="288"/>
        <v>0</v>
      </c>
      <c r="BQ510" s="3264">
        <f t="shared" si="289"/>
        <v>0</v>
      </c>
      <c r="BR510" s="3264">
        <f t="shared" si="290"/>
        <v>0</v>
      </c>
      <c r="BS510" s="3264">
        <f t="shared" si="291"/>
        <v>0</v>
      </c>
      <c r="BT510" s="3317">
        <f t="shared" si="292"/>
        <v>0</v>
      </c>
    </row>
    <row r="511" spans="1:72">
      <c r="A511" s="3262"/>
      <c r="B511" s="3263"/>
      <c r="C511" s="3263"/>
      <c r="D511" s="3268"/>
      <c r="E511" s="3264">
        <f t="shared" si="293"/>
        <v>0</v>
      </c>
      <c r="F511" s="3265"/>
      <c r="G511" s="3266">
        <f t="shared" si="268"/>
        <v>0</v>
      </c>
      <c r="H511" s="3267">
        <f t="shared" si="269"/>
        <v>0</v>
      </c>
      <c r="I511" s="3275"/>
      <c r="J511" s="3275"/>
      <c r="K511" s="3275"/>
      <c r="L511" s="3275"/>
      <c r="M511" s="3275"/>
      <c r="N511" s="3275"/>
      <c r="O511" s="3275"/>
      <c r="P511" s="3275"/>
      <c r="Q511" s="3275"/>
      <c r="R511" s="3275"/>
      <c r="S511" s="3275"/>
      <c r="T511" s="3275"/>
      <c r="U511" s="3275"/>
      <c r="V511" s="3275"/>
      <c r="W511" s="3275"/>
      <c r="X511" s="3275"/>
      <c r="Y511" s="3275"/>
      <c r="Z511" s="3275"/>
      <c r="AA511" s="3275"/>
      <c r="AB511" s="3275"/>
      <c r="AC511" s="3264">
        <f t="shared" si="270"/>
        <v>0</v>
      </c>
      <c r="AD511" s="3285"/>
      <c r="AE511" s="3285"/>
      <c r="AF511" s="3285"/>
      <c r="AG511" s="3285"/>
      <c r="AH511" s="3285"/>
      <c r="AI511" s="3285"/>
      <c r="AJ511" s="3285"/>
      <c r="AK511" s="3285"/>
      <c r="AL511" s="3285"/>
      <c r="AM511" s="3285"/>
      <c r="AN511" s="3285"/>
      <c r="AO511" s="3285"/>
      <c r="AP511" s="3285"/>
      <c r="AQ511" s="3285"/>
      <c r="AR511" s="3285"/>
      <c r="AS511" s="3285"/>
      <c r="AT511" s="3295"/>
      <c r="AU511" s="3296"/>
      <c r="AV511" s="830">
        <f t="shared" si="294"/>
        <v>0</v>
      </c>
      <c r="AW511" s="830">
        <f t="shared" si="295"/>
        <v>0</v>
      </c>
      <c r="AX511" s="830">
        <f t="shared" si="296"/>
        <v>0</v>
      </c>
      <c r="AY511" s="3310">
        <f t="shared" si="271"/>
        <v>0</v>
      </c>
      <c r="AZ511" s="3264">
        <f t="shared" si="272"/>
        <v>0</v>
      </c>
      <c r="BA511" s="3264">
        <f t="shared" si="273"/>
        <v>0</v>
      </c>
      <c r="BB511" s="3264">
        <f t="shared" si="274"/>
        <v>0</v>
      </c>
      <c r="BC511" s="3264">
        <f t="shared" si="275"/>
        <v>0</v>
      </c>
      <c r="BD511" s="3264">
        <f t="shared" si="276"/>
        <v>0</v>
      </c>
      <c r="BE511" s="3264">
        <f t="shared" si="277"/>
        <v>0</v>
      </c>
      <c r="BF511" s="3264">
        <f t="shared" si="278"/>
        <v>0</v>
      </c>
      <c r="BG511" s="3264">
        <f t="shared" si="279"/>
        <v>0</v>
      </c>
      <c r="BH511" s="3264">
        <f t="shared" si="280"/>
        <v>0</v>
      </c>
      <c r="BI511" s="3264">
        <f t="shared" si="281"/>
        <v>0</v>
      </c>
      <c r="BJ511" s="3264">
        <f t="shared" si="282"/>
        <v>0</v>
      </c>
      <c r="BK511" s="3264">
        <f t="shared" si="283"/>
        <v>0</v>
      </c>
      <c r="BL511" s="3264">
        <f t="shared" si="284"/>
        <v>0</v>
      </c>
      <c r="BM511" s="3264">
        <f t="shared" si="285"/>
        <v>0</v>
      </c>
      <c r="BN511" s="3264">
        <f t="shared" si="286"/>
        <v>0</v>
      </c>
      <c r="BO511" s="3264">
        <f t="shared" si="287"/>
        <v>0</v>
      </c>
      <c r="BP511" s="3264">
        <f t="shared" si="288"/>
        <v>0</v>
      </c>
      <c r="BQ511" s="3264">
        <f t="shared" si="289"/>
        <v>0</v>
      </c>
      <c r="BR511" s="3264">
        <f t="shared" si="290"/>
        <v>0</v>
      </c>
      <c r="BS511" s="3264">
        <f t="shared" si="291"/>
        <v>0</v>
      </c>
      <c r="BT511" s="3317">
        <f t="shared" si="292"/>
        <v>0</v>
      </c>
    </row>
    <row r="512" spans="1:72">
      <c r="A512" s="3262"/>
      <c r="B512" s="3263"/>
      <c r="C512" s="3263"/>
      <c r="D512" s="3268"/>
      <c r="E512" s="3264">
        <f t="shared" si="293"/>
        <v>0</v>
      </c>
      <c r="F512" s="3265"/>
      <c r="G512" s="3266">
        <f t="shared" si="268"/>
        <v>0</v>
      </c>
      <c r="H512" s="3267">
        <f t="shared" si="269"/>
        <v>0</v>
      </c>
      <c r="I512" s="3275"/>
      <c r="J512" s="3275"/>
      <c r="K512" s="3275"/>
      <c r="L512" s="3275"/>
      <c r="M512" s="3275"/>
      <c r="N512" s="3275"/>
      <c r="O512" s="3275"/>
      <c r="P512" s="3275"/>
      <c r="Q512" s="3275"/>
      <c r="R512" s="3275"/>
      <c r="S512" s="3275"/>
      <c r="T512" s="3275"/>
      <c r="U512" s="3275"/>
      <c r="V512" s="3275"/>
      <c r="W512" s="3275"/>
      <c r="X512" s="3275"/>
      <c r="Y512" s="3275"/>
      <c r="Z512" s="3275"/>
      <c r="AA512" s="3275"/>
      <c r="AB512" s="3275"/>
      <c r="AC512" s="3264">
        <f t="shared" si="270"/>
        <v>0</v>
      </c>
      <c r="AD512" s="3285"/>
      <c r="AE512" s="3285"/>
      <c r="AF512" s="3285"/>
      <c r="AG512" s="3285"/>
      <c r="AH512" s="3285"/>
      <c r="AI512" s="3285"/>
      <c r="AJ512" s="3285"/>
      <c r="AK512" s="3285"/>
      <c r="AL512" s="3285"/>
      <c r="AM512" s="3285"/>
      <c r="AN512" s="3285"/>
      <c r="AO512" s="3285"/>
      <c r="AP512" s="3285"/>
      <c r="AQ512" s="3285"/>
      <c r="AR512" s="3285"/>
      <c r="AS512" s="3285"/>
      <c r="AT512" s="3295"/>
      <c r="AU512" s="3296"/>
      <c r="AV512" s="830">
        <f t="shared" si="294"/>
        <v>0</v>
      </c>
      <c r="AW512" s="830">
        <f t="shared" si="295"/>
        <v>0</v>
      </c>
      <c r="AX512" s="830">
        <f t="shared" si="296"/>
        <v>0</v>
      </c>
      <c r="AY512" s="3310">
        <f t="shared" si="271"/>
        <v>0</v>
      </c>
      <c r="AZ512" s="3264">
        <f t="shared" si="272"/>
        <v>0</v>
      </c>
      <c r="BA512" s="3264">
        <f t="shared" si="273"/>
        <v>0</v>
      </c>
      <c r="BB512" s="3264">
        <f t="shared" si="274"/>
        <v>0</v>
      </c>
      <c r="BC512" s="3264">
        <f t="shared" si="275"/>
        <v>0</v>
      </c>
      <c r="BD512" s="3264">
        <f t="shared" si="276"/>
        <v>0</v>
      </c>
      <c r="BE512" s="3264">
        <f t="shared" si="277"/>
        <v>0</v>
      </c>
      <c r="BF512" s="3264">
        <f t="shared" si="278"/>
        <v>0</v>
      </c>
      <c r="BG512" s="3264">
        <f t="shared" si="279"/>
        <v>0</v>
      </c>
      <c r="BH512" s="3264">
        <f t="shared" si="280"/>
        <v>0</v>
      </c>
      <c r="BI512" s="3264">
        <f t="shared" si="281"/>
        <v>0</v>
      </c>
      <c r="BJ512" s="3264">
        <f t="shared" si="282"/>
        <v>0</v>
      </c>
      <c r="BK512" s="3264">
        <f t="shared" si="283"/>
        <v>0</v>
      </c>
      <c r="BL512" s="3264">
        <f t="shared" si="284"/>
        <v>0</v>
      </c>
      <c r="BM512" s="3264">
        <f t="shared" si="285"/>
        <v>0</v>
      </c>
      <c r="BN512" s="3264">
        <f t="shared" si="286"/>
        <v>0</v>
      </c>
      <c r="BO512" s="3264">
        <f t="shared" si="287"/>
        <v>0</v>
      </c>
      <c r="BP512" s="3264">
        <f t="shared" si="288"/>
        <v>0</v>
      </c>
      <c r="BQ512" s="3264">
        <f t="shared" si="289"/>
        <v>0</v>
      </c>
      <c r="BR512" s="3264">
        <f t="shared" si="290"/>
        <v>0</v>
      </c>
      <c r="BS512" s="3264">
        <f t="shared" si="291"/>
        <v>0</v>
      </c>
      <c r="BT512" s="3317">
        <f t="shared" si="292"/>
        <v>0</v>
      </c>
    </row>
    <row r="513" spans="1:72">
      <c r="A513" s="3262"/>
      <c r="B513" s="3263"/>
      <c r="C513" s="3263"/>
      <c r="D513" s="3268"/>
      <c r="E513" s="3264">
        <f t="shared" si="293"/>
        <v>0</v>
      </c>
      <c r="F513" s="3265"/>
      <c r="G513" s="3266">
        <f t="shared" si="268"/>
        <v>0</v>
      </c>
      <c r="H513" s="3267">
        <f t="shared" si="269"/>
        <v>0</v>
      </c>
      <c r="I513" s="3275"/>
      <c r="J513" s="3275"/>
      <c r="K513" s="3275"/>
      <c r="L513" s="3275"/>
      <c r="M513" s="3275"/>
      <c r="N513" s="3275"/>
      <c r="O513" s="3275"/>
      <c r="P513" s="3275"/>
      <c r="Q513" s="3275"/>
      <c r="R513" s="3275"/>
      <c r="S513" s="3275"/>
      <c r="T513" s="3275"/>
      <c r="U513" s="3275"/>
      <c r="V513" s="3275"/>
      <c r="W513" s="3275"/>
      <c r="X513" s="3275"/>
      <c r="Y513" s="3275"/>
      <c r="Z513" s="3275"/>
      <c r="AA513" s="3275"/>
      <c r="AB513" s="3275"/>
      <c r="AC513" s="3264">
        <f t="shared" si="270"/>
        <v>0</v>
      </c>
      <c r="AD513" s="3285"/>
      <c r="AE513" s="3285"/>
      <c r="AF513" s="3285"/>
      <c r="AG513" s="3285"/>
      <c r="AH513" s="3285"/>
      <c r="AI513" s="3285"/>
      <c r="AJ513" s="3285"/>
      <c r="AK513" s="3285"/>
      <c r="AL513" s="3285"/>
      <c r="AM513" s="3285"/>
      <c r="AN513" s="3285"/>
      <c r="AO513" s="3285"/>
      <c r="AP513" s="3285"/>
      <c r="AQ513" s="3285"/>
      <c r="AR513" s="3285"/>
      <c r="AS513" s="3285"/>
      <c r="AT513" s="3295"/>
      <c r="AU513" s="3296"/>
      <c r="AV513" s="830">
        <f t="shared" si="294"/>
        <v>0</v>
      </c>
      <c r="AW513" s="830">
        <f t="shared" si="295"/>
        <v>0</v>
      </c>
      <c r="AX513" s="830">
        <f t="shared" si="296"/>
        <v>0</v>
      </c>
      <c r="AY513" s="3310">
        <f t="shared" si="271"/>
        <v>0</v>
      </c>
      <c r="AZ513" s="3264">
        <f t="shared" si="272"/>
        <v>0</v>
      </c>
      <c r="BA513" s="3264">
        <f t="shared" si="273"/>
        <v>0</v>
      </c>
      <c r="BB513" s="3264">
        <f t="shared" si="274"/>
        <v>0</v>
      </c>
      <c r="BC513" s="3264">
        <f t="shared" si="275"/>
        <v>0</v>
      </c>
      <c r="BD513" s="3264">
        <f t="shared" si="276"/>
        <v>0</v>
      </c>
      <c r="BE513" s="3264">
        <f t="shared" si="277"/>
        <v>0</v>
      </c>
      <c r="BF513" s="3264">
        <f t="shared" si="278"/>
        <v>0</v>
      </c>
      <c r="BG513" s="3264">
        <f t="shared" si="279"/>
        <v>0</v>
      </c>
      <c r="BH513" s="3264">
        <f t="shared" si="280"/>
        <v>0</v>
      </c>
      <c r="BI513" s="3264">
        <f t="shared" si="281"/>
        <v>0</v>
      </c>
      <c r="BJ513" s="3264">
        <f t="shared" si="282"/>
        <v>0</v>
      </c>
      <c r="BK513" s="3264">
        <f t="shared" si="283"/>
        <v>0</v>
      </c>
      <c r="BL513" s="3264">
        <f t="shared" si="284"/>
        <v>0</v>
      </c>
      <c r="BM513" s="3264">
        <f t="shared" si="285"/>
        <v>0</v>
      </c>
      <c r="BN513" s="3264">
        <f t="shared" si="286"/>
        <v>0</v>
      </c>
      <c r="BO513" s="3264">
        <f t="shared" si="287"/>
        <v>0</v>
      </c>
      <c r="BP513" s="3264">
        <f t="shared" si="288"/>
        <v>0</v>
      </c>
      <c r="BQ513" s="3264">
        <f t="shared" si="289"/>
        <v>0</v>
      </c>
      <c r="BR513" s="3264">
        <f t="shared" si="290"/>
        <v>0</v>
      </c>
      <c r="BS513" s="3264">
        <f t="shared" si="291"/>
        <v>0</v>
      </c>
      <c r="BT513" s="3317">
        <f t="shared" si="292"/>
        <v>0</v>
      </c>
    </row>
    <row r="514" spans="1:72">
      <c r="A514" s="3262"/>
      <c r="B514" s="3263"/>
      <c r="C514" s="3263"/>
      <c r="D514" s="3268"/>
      <c r="E514" s="3264">
        <f t="shared" si="293"/>
        <v>0</v>
      </c>
      <c r="F514" s="3265"/>
      <c r="G514" s="3266">
        <f t="shared" si="268"/>
        <v>0</v>
      </c>
      <c r="H514" s="3267">
        <f t="shared" si="269"/>
        <v>0</v>
      </c>
      <c r="I514" s="3275"/>
      <c r="J514" s="3275"/>
      <c r="K514" s="3275"/>
      <c r="L514" s="3275"/>
      <c r="M514" s="3275"/>
      <c r="N514" s="3275"/>
      <c r="O514" s="3275"/>
      <c r="P514" s="3275"/>
      <c r="Q514" s="3275"/>
      <c r="R514" s="3275"/>
      <c r="S514" s="3275"/>
      <c r="T514" s="3275"/>
      <c r="U514" s="3275"/>
      <c r="V514" s="3275"/>
      <c r="W514" s="3275"/>
      <c r="X514" s="3275"/>
      <c r="Y514" s="3275"/>
      <c r="Z514" s="3275"/>
      <c r="AA514" s="3275"/>
      <c r="AB514" s="3275"/>
      <c r="AC514" s="3264">
        <f t="shared" si="270"/>
        <v>0</v>
      </c>
      <c r="AD514" s="3285"/>
      <c r="AE514" s="3285"/>
      <c r="AF514" s="3285"/>
      <c r="AG514" s="3285"/>
      <c r="AH514" s="3285"/>
      <c r="AI514" s="3285"/>
      <c r="AJ514" s="3285"/>
      <c r="AK514" s="3285"/>
      <c r="AL514" s="3285"/>
      <c r="AM514" s="3285"/>
      <c r="AN514" s="3285"/>
      <c r="AO514" s="3285"/>
      <c r="AP514" s="3285"/>
      <c r="AQ514" s="3285"/>
      <c r="AR514" s="3285"/>
      <c r="AS514" s="3285"/>
      <c r="AT514" s="3295"/>
      <c r="AU514" s="3296"/>
      <c r="AV514" s="830">
        <f t="shared" si="294"/>
        <v>0</v>
      </c>
      <c r="AW514" s="830">
        <f t="shared" si="295"/>
        <v>0</v>
      </c>
      <c r="AX514" s="830">
        <f t="shared" si="296"/>
        <v>0</v>
      </c>
      <c r="AY514" s="3310">
        <f t="shared" si="271"/>
        <v>0</v>
      </c>
      <c r="AZ514" s="3264">
        <f t="shared" si="272"/>
        <v>0</v>
      </c>
      <c r="BA514" s="3264">
        <f t="shared" si="273"/>
        <v>0</v>
      </c>
      <c r="BB514" s="3264">
        <f t="shared" si="274"/>
        <v>0</v>
      </c>
      <c r="BC514" s="3264">
        <f t="shared" si="275"/>
        <v>0</v>
      </c>
      <c r="BD514" s="3264">
        <f t="shared" si="276"/>
        <v>0</v>
      </c>
      <c r="BE514" s="3264">
        <f t="shared" si="277"/>
        <v>0</v>
      </c>
      <c r="BF514" s="3264">
        <f t="shared" si="278"/>
        <v>0</v>
      </c>
      <c r="BG514" s="3264">
        <f t="shared" si="279"/>
        <v>0</v>
      </c>
      <c r="BH514" s="3264">
        <f t="shared" si="280"/>
        <v>0</v>
      </c>
      <c r="BI514" s="3264">
        <f t="shared" si="281"/>
        <v>0</v>
      </c>
      <c r="BJ514" s="3264">
        <f t="shared" si="282"/>
        <v>0</v>
      </c>
      <c r="BK514" s="3264">
        <f t="shared" si="283"/>
        <v>0</v>
      </c>
      <c r="BL514" s="3264">
        <f t="shared" si="284"/>
        <v>0</v>
      </c>
      <c r="BM514" s="3264">
        <f t="shared" si="285"/>
        <v>0</v>
      </c>
      <c r="BN514" s="3264">
        <f t="shared" si="286"/>
        <v>0</v>
      </c>
      <c r="BO514" s="3264">
        <f t="shared" si="287"/>
        <v>0</v>
      </c>
      <c r="BP514" s="3264">
        <f t="shared" si="288"/>
        <v>0</v>
      </c>
      <c r="BQ514" s="3264">
        <f t="shared" si="289"/>
        <v>0</v>
      </c>
      <c r="BR514" s="3264">
        <f t="shared" si="290"/>
        <v>0</v>
      </c>
      <c r="BS514" s="3264">
        <f t="shared" si="291"/>
        <v>0</v>
      </c>
      <c r="BT514" s="3317">
        <f t="shared" si="292"/>
        <v>0</v>
      </c>
    </row>
    <row r="515" spans="1:72">
      <c r="A515" s="3262"/>
      <c r="B515" s="3263"/>
      <c r="C515" s="3263"/>
      <c r="D515" s="3268"/>
      <c r="E515" s="3264">
        <f t="shared" si="293"/>
        <v>0</v>
      </c>
      <c r="F515" s="3265"/>
      <c r="G515" s="3266">
        <f t="shared" si="268"/>
        <v>0</v>
      </c>
      <c r="H515" s="3267">
        <f t="shared" si="269"/>
        <v>0</v>
      </c>
      <c r="I515" s="3275"/>
      <c r="J515" s="3275"/>
      <c r="K515" s="3275"/>
      <c r="L515" s="3275"/>
      <c r="M515" s="3275"/>
      <c r="N515" s="3275"/>
      <c r="O515" s="3275"/>
      <c r="P515" s="3275"/>
      <c r="Q515" s="3275"/>
      <c r="R515" s="3275"/>
      <c r="S515" s="3275"/>
      <c r="T515" s="3275"/>
      <c r="U515" s="3275"/>
      <c r="V515" s="3275"/>
      <c r="W515" s="3275"/>
      <c r="X515" s="3275"/>
      <c r="Y515" s="3275"/>
      <c r="Z515" s="3275"/>
      <c r="AA515" s="3275"/>
      <c r="AB515" s="3275"/>
      <c r="AC515" s="3264">
        <f t="shared" si="270"/>
        <v>0</v>
      </c>
      <c r="AD515" s="3285"/>
      <c r="AE515" s="3285"/>
      <c r="AF515" s="3285"/>
      <c r="AG515" s="3285"/>
      <c r="AH515" s="3285"/>
      <c r="AI515" s="3285"/>
      <c r="AJ515" s="3285"/>
      <c r="AK515" s="3285"/>
      <c r="AL515" s="3285"/>
      <c r="AM515" s="3285"/>
      <c r="AN515" s="3285"/>
      <c r="AO515" s="3285"/>
      <c r="AP515" s="3285"/>
      <c r="AQ515" s="3285"/>
      <c r="AR515" s="3285"/>
      <c r="AS515" s="3285"/>
      <c r="AT515" s="3295"/>
      <c r="AU515" s="3296"/>
      <c r="AV515" s="830">
        <f t="shared" si="294"/>
        <v>0</v>
      </c>
      <c r="AW515" s="830">
        <f t="shared" si="295"/>
        <v>0</v>
      </c>
      <c r="AX515" s="830">
        <f t="shared" si="296"/>
        <v>0</v>
      </c>
      <c r="AY515" s="3310">
        <f t="shared" si="271"/>
        <v>0</v>
      </c>
      <c r="AZ515" s="3264">
        <f t="shared" si="272"/>
        <v>0</v>
      </c>
      <c r="BA515" s="3264">
        <f t="shared" si="273"/>
        <v>0</v>
      </c>
      <c r="BB515" s="3264">
        <f t="shared" si="274"/>
        <v>0</v>
      </c>
      <c r="BC515" s="3264">
        <f t="shared" si="275"/>
        <v>0</v>
      </c>
      <c r="BD515" s="3264">
        <f t="shared" si="276"/>
        <v>0</v>
      </c>
      <c r="BE515" s="3264">
        <f t="shared" si="277"/>
        <v>0</v>
      </c>
      <c r="BF515" s="3264">
        <f t="shared" si="278"/>
        <v>0</v>
      </c>
      <c r="BG515" s="3264">
        <f t="shared" si="279"/>
        <v>0</v>
      </c>
      <c r="BH515" s="3264">
        <f t="shared" si="280"/>
        <v>0</v>
      </c>
      <c r="BI515" s="3264">
        <f t="shared" si="281"/>
        <v>0</v>
      </c>
      <c r="BJ515" s="3264">
        <f t="shared" si="282"/>
        <v>0</v>
      </c>
      <c r="BK515" s="3264">
        <f t="shared" si="283"/>
        <v>0</v>
      </c>
      <c r="BL515" s="3264">
        <f t="shared" si="284"/>
        <v>0</v>
      </c>
      <c r="BM515" s="3264">
        <f t="shared" si="285"/>
        <v>0</v>
      </c>
      <c r="BN515" s="3264">
        <f t="shared" si="286"/>
        <v>0</v>
      </c>
      <c r="BO515" s="3264">
        <f t="shared" si="287"/>
        <v>0</v>
      </c>
      <c r="BP515" s="3264">
        <f t="shared" si="288"/>
        <v>0</v>
      </c>
      <c r="BQ515" s="3264">
        <f t="shared" si="289"/>
        <v>0</v>
      </c>
      <c r="BR515" s="3264">
        <f t="shared" si="290"/>
        <v>0</v>
      </c>
      <c r="BS515" s="3264">
        <f t="shared" si="291"/>
        <v>0</v>
      </c>
      <c r="BT515" s="3317">
        <f t="shared" si="292"/>
        <v>0</v>
      </c>
    </row>
    <row r="516" spans="1:72">
      <c r="A516" s="3262"/>
      <c r="B516" s="3263"/>
      <c r="C516" s="3263"/>
      <c r="D516" s="3268"/>
      <c r="E516" s="3264">
        <f t="shared" si="293"/>
        <v>0</v>
      </c>
      <c r="F516" s="3265"/>
      <c r="G516" s="3266">
        <f t="shared" si="268"/>
        <v>0</v>
      </c>
      <c r="H516" s="3267">
        <f t="shared" si="269"/>
        <v>0</v>
      </c>
      <c r="I516" s="3275"/>
      <c r="J516" s="3275"/>
      <c r="K516" s="3275"/>
      <c r="L516" s="3275"/>
      <c r="M516" s="3275"/>
      <c r="N516" s="3275"/>
      <c r="O516" s="3275"/>
      <c r="P516" s="3275"/>
      <c r="Q516" s="3275"/>
      <c r="R516" s="3275"/>
      <c r="S516" s="3275"/>
      <c r="T516" s="3275"/>
      <c r="U516" s="3275"/>
      <c r="V516" s="3275"/>
      <c r="W516" s="3275"/>
      <c r="X516" s="3275"/>
      <c r="Y516" s="3275"/>
      <c r="Z516" s="3275"/>
      <c r="AA516" s="3275"/>
      <c r="AB516" s="3275"/>
      <c r="AC516" s="3264">
        <f t="shared" si="270"/>
        <v>0</v>
      </c>
      <c r="AD516" s="3285"/>
      <c r="AE516" s="3285"/>
      <c r="AF516" s="3285"/>
      <c r="AG516" s="3285"/>
      <c r="AH516" s="3285"/>
      <c r="AI516" s="3285"/>
      <c r="AJ516" s="3285"/>
      <c r="AK516" s="3285"/>
      <c r="AL516" s="3285"/>
      <c r="AM516" s="3285"/>
      <c r="AN516" s="3285"/>
      <c r="AO516" s="3285"/>
      <c r="AP516" s="3285"/>
      <c r="AQ516" s="3285"/>
      <c r="AR516" s="3285"/>
      <c r="AS516" s="3285"/>
      <c r="AT516" s="3295"/>
      <c r="AU516" s="3296"/>
      <c r="AV516" s="830">
        <f t="shared" si="294"/>
        <v>0</v>
      </c>
      <c r="AW516" s="830">
        <f t="shared" si="295"/>
        <v>0</v>
      </c>
      <c r="AX516" s="830">
        <f t="shared" si="296"/>
        <v>0</v>
      </c>
      <c r="AY516" s="3310">
        <f t="shared" si="271"/>
        <v>0</v>
      </c>
      <c r="AZ516" s="3264">
        <f t="shared" si="272"/>
        <v>0</v>
      </c>
      <c r="BA516" s="3264">
        <f t="shared" si="273"/>
        <v>0</v>
      </c>
      <c r="BB516" s="3264">
        <f t="shared" si="274"/>
        <v>0</v>
      </c>
      <c r="BC516" s="3264">
        <f t="shared" si="275"/>
        <v>0</v>
      </c>
      <c r="BD516" s="3264">
        <f t="shared" si="276"/>
        <v>0</v>
      </c>
      <c r="BE516" s="3264">
        <f t="shared" si="277"/>
        <v>0</v>
      </c>
      <c r="BF516" s="3264">
        <f t="shared" si="278"/>
        <v>0</v>
      </c>
      <c r="BG516" s="3264">
        <f t="shared" si="279"/>
        <v>0</v>
      </c>
      <c r="BH516" s="3264">
        <f t="shared" si="280"/>
        <v>0</v>
      </c>
      <c r="BI516" s="3264">
        <f t="shared" si="281"/>
        <v>0</v>
      </c>
      <c r="BJ516" s="3264">
        <f t="shared" si="282"/>
        <v>0</v>
      </c>
      <c r="BK516" s="3264">
        <f t="shared" si="283"/>
        <v>0</v>
      </c>
      <c r="BL516" s="3264">
        <f t="shared" si="284"/>
        <v>0</v>
      </c>
      <c r="BM516" s="3264">
        <f t="shared" si="285"/>
        <v>0</v>
      </c>
      <c r="BN516" s="3264">
        <f t="shared" si="286"/>
        <v>0</v>
      </c>
      <c r="BO516" s="3264">
        <f t="shared" si="287"/>
        <v>0</v>
      </c>
      <c r="BP516" s="3264">
        <f t="shared" si="288"/>
        <v>0</v>
      </c>
      <c r="BQ516" s="3264">
        <f t="shared" si="289"/>
        <v>0</v>
      </c>
      <c r="BR516" s="3264">
        <f t="shared" si="290"/>
        <v>0</v>
      </c>
      <c r="BS516" s="3264">
        <f t="shared" si="291"/>
        <v>0</v>
      </c>
      <c r="BT516" s="3317">
        <f t="shared" si="292"/>
        <v>0</v>
      </c>
    </row>
    <row r="517" spans="1:72">
      <c r="A517" s="3262"/>
      <c r="B517" s="3263"/>
      <c r="C517" s="3263"/>
      <c r="D517" s="3268"/>
      <c r="E517" s="3264">
        <f t="shared" si="293"/>
        <v>0</v>
      </c>
      <c r="F517" s="3265"/>
      <c r="G517" s="3266">
        <f t="shared" si="268"/>
        <v>0</v>
      </c>
      <c r="H517" s="3267">
        <f t="shared" si="269"/>
        <v>0</v>
      </c>
      <c r="I517" s="3275"/>
      <c r="J517" s="3275"/>
      <c r="K517" s="3275"/>
      <c r="L517" s="3275"/>
      <c r="M517" s="3275"/>
      <c r="N517" s="3275"/>
      <c r="O517" s="3275"/>
      <c r="P517" s="3275"/>
      <c r="Q517" s="3275"/>
      <c r="R517" s="3275"/>
      <c r="S517" s="3275"/>
      <c r="T517" s="3275"/>
      <c r="U517" s="3275"/>
      <c r="V517" s="3275"/>
      <c r="W517" s="3275"/>
      <c r="X517" s="3275"/>
      <c r="Y517" s="3275"/>
      <c r="Z517" s="3275"/>
      <c r="AA517" s="3275"/>
      <c r="AB517" s="3275"/>
      <c r="AC517" s="3264">
        <f t="shared" si="270"/>
        <v>0</v>
      </c>
      <c r="AD517" s="3285"/>
      <c r="AE517" s="3285"/>
      <c r="AF517" s="3285"/>
      <c r="AG517" s="3285"/>
      <c r="AH517" s="3285"/>
      <c r="AI517" s="3285"/>
      <c r="AJ517" s="3285"/>
      <c r="AK517" s="3285"/>
      <c r="AL517" s="3285"/>
      <c r="AM517" s="3285"/>
      <c r="AN517" s="3285"/>
      <c r="AO517" s="3285"/>
      <c r="AP517" s="3285"/>
      <c r="AQ517" s="3285"/>
      <c r="AR517" s="3285"/>
      <c r="AS517" s="3285"/>
      <c r="AT517" s="3295"/>
      <c r="AU517" s="3296"/>
      <c r="AV517" s="830">
        <f t="shared" si="294"/>
        <v>0</v>
      </c>
      <c r="AW517" s="830">
        <f t="shared" si="295"/>
        <v>0</v>
      </c>
      <c r="AX517" s="830">
        <f t="shared" si="296"/>
        <v>0</v>
      </c>
      <c r="AY517" s="3310">
        <f t="shared" si="271"/>
        <v>0</v>
      </c>
      <c r="AZ517" s="3264">
        <f t="shared" si="272"/>
        <v>0</v>
      </c>
      <c r="BA517" s="3264">
        <f t="shared" si="273"/>
        <v>0</v>
      </c>
      <c r="BB517" s="3264">
        <f t="shared" si="274"/>
        <v>0</v>
      </c>
      <c r="BC517" s="3264">
        <f t="shared" si="275"/>
        <v>0</v>
      </c>
      <c r="BD517" s="3264">
        <f t="shared" si="276"/>
        <v>0</v>
      </c>
      <c r="BE517" s="3264">
        <f t="shared" si="277"/>
        <v>0</v>
      </c>
      <c r="BF517" s="3264">
        <f t="shared" si="278"/>
        <v>0</v>
      </c>
      <c r="BG517" s="3264">
        <f t="shared" si="279"/>
        <v>0</v>
      </c>
      <c r="BH517" s="3264">
        <f t="shared" si="280"/>
        <v>0</v>
      </c>
      <c r="BI517" s="3264">
        <f t="shared" si="281"/>
        <v>0</v>
      </c>
      <c r="BJ517" s="3264">
        <f t="shared" si="282"/>
        <v>0</v>
      </c>
      <c r="BK517" s="3264">
        <f t="shared" si="283"/>
        <v>0</v>
      </c>
      <c r="BL517" s="3264">
        <f t="shared" si="284"/>
        <v>0</v>
      </c>
      <c r="BM517" s="3264">
        <f t="shared" si="285"/>
        <v>0</v>
      </c>
      <c r="BN517" s="3264">
        <f t="shared" si="286"/>
        <v>0</v>
      </c>
      <c r="BO517" s="3264">
        <f t="shared" si="287"/>
        <v>0</v>
      </c>
      <c r="BP517" s="3264">
        <f t="shared" si="288"/>
        <v>0</v>
      </c>
      <c r="BQ517" s="3264">
        <f t="shared" si="289"/>
        <v>0</v>
      </c>
      <c r="BR517" s="3264">
        <f t="shared" si="290"/>
        <v>0</v>
      </c>
      <c r="BS517" s="3264">
        <f t="shared" si="291"/>
        <v>0</v>
      </c>
      <c r="BT517" s="3317">
        <f t="shared" si="292"/>
        <v>0</v>
      </c>
    </row>
    <row r="518" spans="1:72">
      <c r="A518" s="3262"/>
      <c r="B518" s="3263"/>
      <c r="C518" s="3263"/>
      <c r="D518" s="3268"/>
      <c r="E518" s="3264">
        <f t="shared" si="293"/>
        <v>0</v>
      </c>
      <c r="F518" s="3265"/>
      <c r="G518" s="3266">
        <f t="shared" si="268"/>
        <v>0</v>
      </c>
      <c r="H518" s="3267">
        <f t="shared" si="269"/>
        <v>0</v>
      </c>
      <c r="I518" s="3275"/>
      <c r="J518" s="3275"/>
      <c r="K518" s="3275"/>
      <c r="L518" s="3275"/>
      <c r="M518" s="3275"/>
      <c r="N518" s="3275"/>
      <c r="O518" s="3275"/>
      <c r="P518" s="3275"/>
      <c r="Q518" s="3275"/>
      <c r="R518" s="3275"/>
      <c r="S518" s="3275"/>
      <c r="T518" s="3275"/>
      <c r="U518" s="3275"/>
      <c r="V518" s="3275"/>
      <c r="W518" s="3275"/>
      <c r="X518" s="3275"/>
      <c r="Y518" s="3275"/>
      <c r="Z518" s="3275"/>
      <c r="AA518" s="3275"/>
      <c r="AB518" s="3275"/>
      <c r="AC518" s="3264">
        <f t="shared" si="270"/>
        <v>0</v>
      </c>
      <c r="AD518" s="3285"/>
      <c r="AE518" s="3285"/>
      <c r="AF518" s="3285"/>
      <c r="AG518" s="3285"/>
      <c r="AH518" s="3285"/>
      <c r="AI518" s="3285"/>
      <c r="AJ518" s="3285"/>
      <c r="AK518" s="3285"/>
      <c r="AL518" s="3285"/>
      <c r="AM518" s="3285"/>
      <c r="AN518" s="3285"/>
      <c r="AO518" s="3285"/>
      <c r="AP518" s="3285"/>
      <c r="AQ518" s="3285"/>
      <c r="AR518" s="3285"/>
      <c r="AS518" s="3285"/>
      <c r="AT518" s="3295"/>
      <c r="AU518" s="3296"/>
      <c r="AV518" s="830">
        <f t="shared" si="294"/>
        <v>0</v>
      </c>
      <c r="AW518" s="830">
        <f t="shared" si="295"/>
        <v>0</v>
      </c>
      <c r="AX518" s="830">
        <f t="shared" si="296"/>
        <v>0</v>
      </c>
      <c r="AY518" s="3310">
        <f t="shared" si="271"/>
        <v>0</v>
      </c>
      <c r="AZ518" s="3264">
        <f t="shared" si="272"/>
        <v>0</v>
      </c>
      <c r="BA518" s="3264">
        <f t="shared" si="273"/>
        <v>0</v>
      </c>
      <c r="BB518" s="3264">
        <f t="shared" si="274"/>
        <v>0</v>
      </c>
      <c r="BC518" s="3264">
        <f t="shared" si="275"/>
        <v>0</v>
      </c>
      <c r="BD518" s="3264">
        <f t="shared" si="276"/>
        <v>0</v>
      </c>
      <c r="BE518" s="3264">
        <f t="shared" si="277"/>
        <v>0</v>
      </c>
      <c r="BF518" s="3264">
        <f t="shared" si="278"/>
        <v>0</v>
      </c>
      <c r="BG518" s="3264">
        <f t="shared" si="279"/>
        <v>0</v>
      </c>
      <c r="BH518" s="3264">
        <f t="shared" si="280"/>
        <v>0</v>
      </c>
      <c r="BI518" s="3264">
        <f t="shared" si="281"/>
        <v>0</v>
      </c>
      <c r="BJ518" s="3264">
        <f t="shared" si="282"/>
        <v>0</v>
      </c>
      <c r="BK518" s="3264">
        <f t="shared" si="283"/>
        <v>0</v>
      </c>
      <c r="BL518" s="3264">
        <f t="shared" si="284"/>
        <v>0</v>
      </c>
      <c r="BM518" s="3264">
        <f t="shared" si="285"/>
        <v>0</v>
      </c>
      <c r="BN518" s="3264">
        <f t="shared" si="286"/>
        <v>0</v>
      </c>
      <c r="BO518" s="3264">
        <f t="shared" si="287"/>
        <v>0</v>
      </c>
      <c r="BP518" s="3264">
        <f t="shared" si="288"/>
        <v>0</v>
      </c>
      <c r="BQ518" s="3264">
        <f t="shared" si="289"/>
        <v>0</v>
      </c>
      <c r="BR518" s="3264">
        <f t="shared" si="290"/>
        <v>0</v>
      </c>
      <c r="BS518" s="3264">
        <f t="shared" si="291"/>
        <v>0</v>
      </c>
      <c r="BT518" s="3317">
        <f t="shared" si="292"/>
        <v>0</v>
      </c>
    </row>
    <row r="519" spans="1:72">
      <c r="A519" s="3262"/>
      <c r="B519" s="3263"/>
      <c r="C519" s="3263"/>
      <c r="D519" s="3268"/>
      <c r="E519" s="3264">
        <f t="shared" si="293"/>
        <v>0</v>
      </c>
      <c r="F519" s="3265"/>
      <c r="G519" s="3266">
        <f t="shared" si="268"/>
        <v>0</v>
      </c>
      <c r="H519" s="3267">
        <f t="shared" si="269"/>
        <v>0</v>
      </c>
      <c r="I519" s="3275"/>
      <c r="J519" s="3275"/>
      <c r="K519" s="3275"/>
      <c r="L519" s="3275"/>
      <c r="M519" s="3275"/>
      <c r="N519" s="3275"/>
      <c r="O519" s="3275"/>
      <c r="P519" s="3275"/>
      <c r="Q519" s="3275"/>
      <c r="R519" s="3275"/>
      <c r="S519" s="3275"/>
      <c r="T519" s="3275"/>
      <c r="U519" s="3275"/>
      <c r="V519" s="3275"/>
      <c r="W519" s="3275"/>
      <c r="X519" s="3275"/>
      <c r="Y519" s="3275"/>
      <c r="Z519" s="3275"/>
      <c r="AA519" s="3275"/>
      <c r="AB519" s="3275"/>
      <c r="AC519" s="3264">
        <f t="shared" si="270"/>
        <v>0</v>
      </c>
      <c r="AD519" s="3285"/>
      <c r="AE519" s="3285"/>
      <c r="AF519" s="3285"/>
      <c r="AG519" s="3285"/>
      <c r="AH519" s="3285"/>
      <c r="AI519" s="3285"/>
      <c r="AJ519" s="3285"/>
      <c r="AK519" s="3285"/>
      <c r="AL519" s="3285"/>
      <c r="AM519" s="3285"/>
      <c r="AN519" s="3285"/>
      <c r="AO519" s="3285"/>
      <c r="AP519" s="3285"/>
      <c r="AQ519" s="3285"/>
      <c r="AR519" s="3285"/>
      <c r="AS519" s="3285"/>
      <c r="AT519" s="3295"/>
      <c r="AU519" s="3296"/>
      <c r="AV519" s="830">
        <f t="shared" si="294"/>
        <v>0</v>
      </c>
      <c r="AW519" s="830">
        <f t="shared" si="295"/>
        <v>0</v>
      </c>
      <c r="AX519" s="830">
        <f t="shared" si="296"/>
        <v>0</v>
      </c>
      <c r="AY519" s="3310">
        <f t="shared" si="271"/>
        <v>0</v>
      </c>
      <c r="AZ519" s="3264">
        <f t="shared" si="272"/>
        <v>0</v>
      </c>
      <c r="BA519" s="3264">
        <f t="shared" si="273"/>
        <v>0</v>
      </c>
      <c r="BB519" s="3264">
        <f t="shared" si="274"/>
        <v>0</v>
      </c>
      <c r="BC519" s="3264">
        <f t="shared" si="275"/>
        <v>0</v>
      </c>
      <c r="BD519" s="3264">
        <f t="shared" si="276"/>
        <v>0</v>
      </c>
      <c r="BE519" s="3264">
        <f t="shared" si="277"/>
        <v>0</v>
      </c>
      <c r="BF519" s="3264">
        <f t="shared" si="278"/>
        <v>0</v>
      </c>
      <c r="BG519" s="3264">
        <f t="shared" si="279"/>
        <v>0</v>
      </c>
      <c r="BH519" s="3264">
        <f t="shared" si="280"/>
        <v>0</v>
      </c>
      <c r="BI519" s="3264">
        <f t="shared" si="281"/>
        <v>0</v>
      </c>
      <c r="BJ519" s="3264">
        <f t="shared" si="282"/>
        <v>0</v>
      </c>
      <c r="BK519" s="3264">
        <f t="shared" si="283"/>
        <v>0</v>
      </c>
      <c r="BL519" s="3264">
        <f t="shared" si="284"/>
        <v>0</v>
      </c>
      <c r="BM519" s="3264">
        <f t="shared" si="285"/>
        <v>0</v>
      </c>
      <c r="BN519" s="3264">
        <f t="shared" si="286"/>
        <v>0</v>
      </c>
      <c r="BO519" s="3264">
        <f t="shared" si="287"/>
        <v>0</v>
      </c>
      <c r="BP519" s="3264">
        <f t="shared" si="288"/>
        <v>0</v>
      </c>
      <c r="BQ519" s="3264">
        <f t="shared" si="289"/>
        <v>0</v>
      </c>
      <c r="BR519" s="3264">
        <f t="shared" si="290"/>
        <v>0</v>
      </c>
      <c r="BS519" s="3264">
        <f t="shared" si="291"/>
        <v>0</v>
      </c>
      <c r="BT519" s="3317">
        <f t="shared" si="292"/>
        <v>0</v>
      </c>
    </row>
    <row r="520" spans="1:72">
      <c r="A520" s="3262"/>
      <c r="B520" s="3263"/>
      <c r="C520" s="3263"/>
      <c r="D520" s="3268"/>
      <c r="E520" s="3264">
        <f t="shared" ref="E520:E551" si="297">IF($C$3="是",ROUND($A$3*G520/$B$3,2),ROUND($A$3*(G520-AT520)/$B$3,2))</f>
        <v>0</v>
      </c>
      <c r="F520" s="3265"/>
      <c r="G520" s="3266">
        <f t="shared" si="268"/>
        <v>0</v>
      </c>
      <c r="H520" s="3267">
        <f t="shared" si="269"/>
        <v>0</v>
      </c>
      <c r="I520" s="3275"/>
      <c r="J520" s="3275"/>
      <c r="K520" s="3275"/>
      <c r="L520" s="3275"/>
      <c r="M520" s="3275"/>
      <c r="N520" s="3275"/>
      <c r="O520" s="3275"/>
      <c r="P520" s="3275"/>
      <c r="Q520" s="3275"/>
      <c r="R520" s="3275"/>
      <c r="S520" s="3275"/>
      <c r="T520" s="3275"/>
      <c r="U520" s="3275"/>
      <c r="V520" s="3275"/>
      <c r="W520" s="3275"/>
      <c r="X520" s="3275"/>
      <c r="Y520" s="3275"/>
      <c r="Z520" s="3275"/>
      <c r="AA520" s="3275"/>
      <c r="AB520" s="3275"/>
      <c r="AC520" s="3264">
        <f t="shared" si="270"/>
        <v>0</v>
      </c>
      <c r="AD520" s="3285"/>
      <c r="AE520" s="3285"/>
      <c r="AF520" s="3285"/>
      <c r="AG520" s="3285"/>
      <c r="AH520" s="3285"/>
      <c r="AI520" s="3285"/>
      <c r="AJ520" s="3285"/>
      <c r="AK520" s="3285"/>
      <c r="AL520" s="3285"/>
      <c r="AM520" s="3285"/>
      <c r="AN520" s="3285"/>
      <c r="AO520" s="3285"/>
      <c r="AP520" s="3285"/>
      <c r="AQ520" s="3285"/>
      <c r="AR520" s="3285"/>
      <c r="AS520" s="3285"/>
      <c r="AT520" s="3295"/>
      <c r="AU520" s="3296"/>
      <c r="AV520" s="830">
        <f t="shared" si="294"/>
        <v>0</v>
      </c>
      <c r="AW520" s="830">
        <f t="shared" si="295"/>
        <v>0</v>
      </c>
      <c r="AX520" s="830">
        <f t="shared" si="296"/>
        <v>0</v>
      </c>
      <c r="AY520" s="3310">
        <f t="shared" si="271"/>
        <v>0</v>
      </c>
      <c r="AZ520" s="3264">
        <f t="shared" si="272"/>
        <v>0</v>
      </c>
      <c r="BA520" s="3264">
        <f t="shared" si="273"/>
        <v>0</v>
      </c>
      <c r="BB520" s="3264">
        <f t="shared" si="274"/>
        <v>0</v>
      </c>
      <c r="BC520" s="3264">
        <f t="shared" si="275"/>
        <v>0</v>
      </c>
      <c r="BD520" s="3264">
        <f t="shared" si="276"/>
        <v>0</v>
      </c>
      <c r="BE520" s="3264">
        <f t="shared" si="277"/>
        <v>0</v>
      </c>
      <c r="BF520" s="3264">
        <f t="shared" si="278"/>
        <v>0</v>
      </c>
      <c r="BG520" s="3264">
        <f t="shared" si="279"/>
        <v>0</v>
      </c>
      <c r="BH520" s="3264">
        <f t="shared" si="280"/>
        <v>0</v>
      </c>
      <c r="BI520" s="3264">
        <f t="shared" si="281"/>
        <v>0</v>
      </c>
      <c r="BJ520" s="3264">
        <f t="shared" si="282"/>
        <v>0</v>
      </c>
      <c r="BK520" s="3264">
        <f t="shared" si="283"/>
        <v>0</v>
      </c>
      <c r="BL520" s="3264">
        <f t="shared" si="284"/>
        <v>0</v>
      </c>
      <c r="BM520" s="3264">
        <f t="shared" si="285"/>
        <v>0</v>
      </c>
      <c r="BN520" s="3264">
        <f t="shared" si="286"/>
        <v>0</v>
      </c>
      <c r="BO520" s="3264">
        <f t="shared" si="287"/>
        <v>0</v>
      </c>
      <c r="BP520" s="3264">
        <f t="shared" si="288"/>
        <v>0</v>
      </c>
      <c r="BQ520" s="3264">
        <f t="shared" si="289"/>
        <v>0</v>
      </c>
      <c r="BR520" s="3264">
        <f t="shared" si="290"/>
        <v>0</v>
      </c>
      <c r="BS520" s="3264">
        <f t="shared" si="291"/>
        <v>0</v>
      </c>
      <c r="BT520" s="3317">
        <f t="shared" si="292"/>
        <v>0</v>
      </c>
    </row>
    <row r="521" spans="1:72">
      <c r="A521" s="3262"/>
      <c r="B521" s="3263"/>
      <c r="C521" s="3263"/>
      <c r="D521" s="3268"/>
      <c r="E521" s="3264">
        <f t="shared" si="297"/>
        <v>0</v>
      </c>
      <c r="F521" s="3265"/>
      <c r="G521" s="3266">
        <f t="shared" si="268"/>
        <v>0</v>
      </c>
      <c r="H521" s="3267">
        <f t="shared" si="269"/>
        <v>0</v>
      </c>
      <c r="I521" s="3275"/>
      <c r="J521" s="3275"/>
      <c r="K521" s="3275"/>
      <c r="L521" s="3275"/>
      <c r="M521" s="3275"/>
      <c r="N521" s="3275"/>
      <c r="O521" s="3275"/>
      <c r="P521" s="3275"/>
      <c r="Q521" s="3275"/>
      <c r="R521" s="3275"/>
      <c r="S521" s="3275"/>
      <c r="T521" s="3275"/>
      <c r="U521" s="3275"/>
      <c r="V521" s="3275"/>
      <c r="W521" s="3275"/>
      <c r="X521" s="3275"/>
      <c r="Y521" s="3275"/>
      <c r="Z521" s="3275"/>
      <c r="AA521" s="3275"/>
      <c r="AB521" s="3275"/>
      <c r="AC521" s="3264">
        <f t="shared" si="270"/>
        <v>0</v>
      </c>
      <c r="AD521" s="3285"/>
      <c r="AE521" s="3285"/>
      <c r="AF521" s="3285"/>
      <c r="AG521" s="3285"/>
      <c r="AH521" s="3285"/>
      <c r="AI521" s="3285"/>
      <c r="AJ521" s="3285"/>
      <c r="AK521" s="3285"/>
      <c r="AL521" s="3285"/>
      <c r="AM521" s="3285"/>
      <c r="AN521" s="3285"/>
      <c r="AO521" s="3285"/>
      <c r="AP521" s="3285"/>
      <c r="AQ521" s="3285"/>
      <c r="AR521" s="3285"/>
      <c r="AS521" s="3285"/>
      <c r="AT521" s="3295"/>
      <c r="AU521" s="3296"/>
      <c r="AV521" s="830">
        <f t="shared" ref="AV521:AV552" si="298">A521</f>
        <v>0</v>
      </c>
      <c r="AW521" s="830">
        <f t="shared" ref="AW521:AW552" si="299">B521</f>
        <v>0</v>
      </c>
      <c r="AX521" s="830">
        <f t="shared" ref="AX521:AX552" si="300">C521</f>
        <v>0</v>
      </c>
      <c r="AY521" s="3310">
        <f t="shared" si="271"/>
        <v>0</v>
      </c>
      <c r="AZ521" s="3264">
        <f t="shared" si="272"/>
        <v>0</v>
      </c>
      <c r="BA521" s="3264">
        <f t="shared" si="273"/>
        <v>0</v>
      </c>
      <c r="BB521" s="3264">
        <f t="shared" si="274"/>
        <v>0</v>
      </c>
      <c r="BC521" s="3264">
        <f t="shared" si="275"/>
        <v>0</v>
      </c>
      <c r="BD521" s="3264">
        <f t="shared" si="276"/>
        <v>0</v>
      </c>
      <c r="BE521" s="3264">
        <f t="shared" si="277"/>
        <v>0</v>
      </c>
      <c r="BF521" s="3264">
        <f t="shared" si="278"/>
        <v>0</v>
      </c>
      <c r="BG521" s="3264">
        <f t="shared" si="279"/>
        <v>0</v>
      </c>
      <c r="BH521" s="3264">
        <f t="shared" si="280"/>
        <v>0</v>
      </c>
      <c r="BI521" s="3264">
        <f t="shared" si="281"/>
        <v>0</v>
      </c>
      <c r="BJ521" s="3264">
        <f t="shared" si="282"/>
        <v>0</v>
      </c>
      <c r="BK521" s="3264">
        <f t="shared" si="283"/>
        <v>0</v>
      </c>
      <c r="BL521" s="3264">
        <f t="shared" si="284"/>
        <v>0</v>
      </c>
      <c r="BM521" s="3264">
        <f t="shared" si="285"/>
        <v>0</v>
      </c>
      <c r="BN521" s="3264">
        <f t="shared" si="286"/>
        <v>0</v>
      </c>
      <c r="BO521" s="3264">
        <f t="shared" si="287"/>
        <v>0</v>
      </c>
      <c r="BP521" s="3264">
        <f t="shared" si="288"/>
        <v>0</v>
      </c>
      <c r="BQ521" s="3264">
        <f t="shared" si="289"/>
        <v>0</v>
      </c>
      <c r="BR521" s="3264">
        <f t="shared" si="290"/>
        <v>0</v>
      </c>
      <c r="BS521" s="3264">
        <f t="shared" si="291"/>
        <v>0</v>
      </c>
      <c r="BT521" s="3317">
        <f t="shared" si="292"/>
        <v>0</v>
      </c>
    </row>
    <row r="522" spans="1:72">
      <c r="A522" s="3262"/>
      <c r="B522" s="3263"/>
      <c r="C522" s="3263"/>
      <c r="D522" s="3268"/>
      <c r="E522" s="3264">
        <f t="shared" si="297"/>
        <v>0</v>
      </c>
      <c r="F522" s="3265"/>
      <c r="G522" s="3266">
        <f t="shared" ref="G522:G552" si="301">H522+AC522+AT522</f>
        <v>0</v>
      </c>
      <c r="H522" s="3267">
        <f t="shared" ref="H522:H552" si="302">SUMIF(I$12:AB$12,"总值",I522:AB522)</f>
        <v>0</v>
      </c>
      <c r="I522" s="3275"/>
      <c r="J522" s="3275"/>
      <c r="K522" s="3275"/>
      <c r="L522" s="3275"/>
      <c r="M522" s="3275"/>
      <c r="N522" s="3275"/>
      <c r="O522" s="3275"/>
      <c r="P522" s="3275"/>
      <c r="Q522" s="3275"/>
      <c r="R522" s="3275"/>
      <c r="S522" s="3275"/>
      <c r="T522" s="3275"/>
      <c r="U522" s="3275"/>
      <c r="V522" s="3275"/>
      <c r="W522" s="3275"/>
      <c r="X522" s="3275"/>
      <c r="Y522" s="3275"/>
      <c r="Z522" s="3275"/>
      <c r="AA522" s="3275"/>
      <c r="AB522" s="3275"/>
      <c r="AC522" s="3264">
        <f t="shared" ref="AC522:AC552" si="303">SUMIF(AD$12:AS$12,"总值",AD522:AS522)</f>
        <v>0</v>
      </c>
      <c r="AD522" s="3285"/>
      <c r="AE522" s="3285"/>
      <c r="AF522" s="3285"/>
      <c r="AG522" s="3285"/>
      <c r="AH522" s="3285"/>
      <c r="AI522" s="3285"/>
      <c r="AJ522" s="3285"/>
      <c r="AK522" s="3285"/>
      <c r="AL522" s="3285"/>
      <c r="AM522" s="3285"/>
      <c r="AN522" s="3285"/>
      <c r="AO522" s="3285"/>
      <c r="AP522" s="3285"/>
      <c r="AQ522" s="3285"/>
      <c r="AR522" s="3285"/>
      <c r="AS522" s="3285"/>
      <c r="AT522" s="3295"/>
      <c r="AU522" s="3296"/>
      <c r="AV522" s="830">
        <f t="shared" si="298"/>
        <v>0</v>
      </c>
      <c r="AW522" s="830">
        <f t="shared" si="299"/>
        <v>0</v>
      </c>
      <c r="AX522" s="830">
        <f t="shared" si="300"/>
        <v>0</v>
      </c>
      <c r="AY522" s="3310">
        <f t="shared" ref="AY522:AY552" si="304">ROUND($AY$6*AZ522/$AZ$5,2)</f>
        <v>0</v>
      </c>
      <c r="AZ522" s="3264">
        <f t="shared" ref="AZ522:AZ552" si="305">BA522+BL522</f>
        <v>0</v>
      </c>
      <c r="BA522" s="3264">
        <f t="shared" ref="BA522:BA552" si="306">SUM(BB522:BK522)</f>
        <v>0</v>
      </c>
      <c r="BB522" s="3264">
        <f t="shared" ref="BB522:BB552" si="307">IF($D522="是",I522-J522,0)</f>
        <v>0</v>
      </c>
      <c r="BC522" s="3264">
        <f t="shared" ref="BC522:BC552" si="308">IF($D522="是",K522-L522,0)</f>
        <v>0</v>
      </c>
      <c r="BD522" s="3264">
        <f t="shared" ref="BD522:BD552" si="309">IF($D522="是",M522-N522,0)</f>
        <v>0</v>
      </c>
      <c r="BE522" s="3264">
        <f t="shared" ref="BE522:BE552" si="310">IF($D522="是",O522-P522,0)</f>
        <v>0</v>
      </c>
      <c r="BF522" s="3264">
        <f t="shared" ref="BF522:BF552" si="311">IF($D522="是",Q522-R522,0)</f>
        <v>0</v>
      </c>
      <c r="BG522" s="3264">
        <f t="shared" ref="BG522:BG552" si="312">IF($D522="是",S522-T522,0)</f>
        <v>0</v>
      </c>
      <c r="BH522" s="3264">
        <f t="shared" ref="BH522:BH552" si="313">IF($D522="是",U522-V522,0)</f>
        <v>0</v>
      </c>
      <c r="BI522" s="3264">
        <f t="shared" ref="BI522:BI552" si="314">IF($D522="是",W522-X522,0)</f>
        <v>0</v>
      </c>
      <c r="BJ522" s="3264">
        <f t="shared" ref="BJ522:BJ552" si="315">IF($D522="是",Y522-Z522,0)</f>
        <v>0</v>
      </c>
      <c r="BK522" s="3264">
        <f t="shared" ref="BK522:BK552" si="316">IF($D522="是",AA522-AB522,0)</f>
        <v>0</v>
      </c>
      <c r="BL522" s="3264">
        <f t="shared" ref="BL522:BL552" si="317">SUM(BM522:BT522)</f>
        <v>0</v>
      </c>
      <c r="BM522" s="3264">
        <f t="shared" ref="BM522:BM552" si="318">IF($D522="是",AD522-AE522,0)</f>
        <v>0</v>
      </c>
      <c r="BN522" s="3264">
        <f t="shared" ref="BN522:BN552" si="319">IF($D522="是",AF522-AG522,0)</f>
        <v>0</v>
      </c>
      <c r="BO522" s="3264">
        <f t="shared" ref="BO522:BO552" si="320">IF($D522="是",AH522-AI522,0)</f>
        <v>0</v>
      </c>
      <c r="BP522" s="3264">
        <f t="shared" ref="BP522:BP552" si="321">IF($D522="是",AJ522-AK522,0)</f>
        <v>0</v>
      </c>
      <c r="BQ522" s="3264">
        <f t="shared" ref="BQ522:BQ552" si="322">IF($D522="是",AL522-AM522,0)</f>
        <v>0</v>
      </c>
      <c r="BR522" s="3264">
        <f t="shared" ref="BR522:BR552" si="323">IF($D522="是",AN522-AO522,0)</f>
        <v>0</v>
      </c>
      <c r="BS522" s="3264">
        <f t="shared" ref="BS522:BS552" si="324">IF($D522="是",AP522-AQ522,0)</f>
        <v>0</v>
      </c>
      <c r="BT522" s="3317">
        <f t="shared" ref="BT522:BT552" si="325">IF($D522="是",AR522-AS522,0)</f>
        <v>0</v>
      </c>
    </row>
    <row r="523" spans="1:72">
      <c r="A523" s="3262"/>
      <c r="B523" s="3263"/>
      <c r="C523" s="3263"/>
      <c r="D523" s="3268"/>
      <c r="E523" s="3264">
        <f t="shared" si="297"/>
        <v>0</v>
      </c>
      <c r="F523" s="3265"/>
      <c r="G523" s="3266">
        <f t="shared" si="301"/>
        <v>0</v>
      </c>
      <c r="H523" s="3267">
        <f t="shared" si="302"/>
        <v>0</v>
      </c>
      <c r="I523" s="3275"/>
      <c r="J523" s="3275"/>
      <c r="K523" s="3275"/>
      <c r="L523" s="3275"/>
      <c r="M523" s="3275"/>
      <c r="N523" s="3275"/>
      <c r="O523" s="3275"/>
      <c r="P523" s="3275"/>
      <c r="Q523" s="3275"/>
      <c r="R523" s="3275"/>
      <c r="S523" s="3275"/>
      <c r="T523" s="3275"/>
      <c r="U523" s="3275"/>
      <c r="V523" s="3275"/>
      <c r="W523" s="3275"/>
      <c r="X523" s="3275"/>
      <c r="Y523" s="3275"/>
      <c r="Z523" s="3275"/>
      <c r="AA523" s="3275"/>
      <c r="AB523" s="3275"/>
      <c r="AC523" s="3264">
        <f t="shared" si="303"/>
        <v>0</v>
      </c>
      <c r="AD523" s="3285"/>
      <c r="AE523" s="3285"/>
      <c r="AF523" s="3285"/>
      <c r="AG523" s="3285"/>
      <c r="AH523" s="3285"/>
      <c r="AI523" s="3285"/>
      <c r="AJ523" s="3285"/>
      <c r="AK523" s="3285"/>
      <c r="AL523" s="3285"/>
      <c r="AM523" s="3285"/>
      <c r="AN523" s="3285"/>
      <c r="AO523" s="3285"/>
      <c r="AP523" s="3285"/>
      <c r="AQ523" s="3285"/>
      <c r="AR523" s="3285"/>
      <c r="AS523" s="3285"/>
      <c r="AT523" s="3295"/>
      <c r="AU523" s="3296"/>
      <c r="AV523" s="830">
        <f t="shared" si="298"/>
        <v>0</v>
      </c>
      <c r="AW523" s="830">
        <f t="shared" si="299"/>
        <v>0</v>
      </c>
      <c r="AX523" s="830">
        <f t="shared" si="300"/>
        <v>0</v>
      </c>
      <c r="AY523" s="3310">
        <f t="shared" si="304"/>
        <v>0</v>
      </c>
      <c r="AZ523" s="3264">
        <f t="shared" si="305"/>
        <v>0</v>
      </c>
      <c r="BA523" s="3264">
        <f t="shared" si="306"/>
        <v>0</v>
      </c>
      <c r="BB523" s="3264">
        <f t="shared" si="307"/>
        <v>0</v>
      </c>
      <c r="BC523" s="3264">
        <f t="shared" si="308"/>
        <v>0</v>
      </c>
      <c r="BD523" s="3264">
        <f t="shared" si="309"/>
        <v>0</v>
      </c>
      <c r="BE523" s="3264">
        <f t="shared" si="310"/>
        <v>0</v>
      </c>
      <c r="BF523" s="3264">
        <f t="shared" si="311"/>
        <v>0</v>
      </c>
      <c r="BG523" s="3264">
        <f t="shared" si="312"/>
        <v>0</v>
      </c>
      <c r="BH523" s="3264">
        <f t="shared" si="313"/>
        <v>0</v>
      </c>
      <c r="BI523" s="3264">
        <f t="shared" si="314"/>
        <v>0</v>
      </c>
      <c r="BJ523" s="3264">
        <f t="shared" si="315"/>
        <v>0</v>
      </c>
      <c r="BK523" s="3264">
        <f t="shared" si="316"/>
        <v>0</v>
      </c>
      <c r="BL523" s="3264">
        <f t="shared" si="317"/>
        <v>0</v>
      </c>
      <c r="BM523" s="3264">
        <f t="shared" si="318"/>
        <v>0</v>
      </c>
      <c r="BN523" s="3264">
        <f t="shared" si="319"/>
        <v>0</v>
      </c>
      <c r="BO523" s="3264">
        <f t="shared" si="320"/>
        <v>0</v>
      </c>
      <c r="BP523" s="3264">
        <f t="shared" si="321"/>
        <v>0</v>
      </c>
      <c r="BQ523" s="3264">
        <f t="shared" si="322"/>
        <v>0</v>
      </c>
      <c r="BR523" s="3264">
        <f t="shared" si="323"/>
        <v>0</v>
      </c>
      <c r="BS523" s="3264">
        <f t="shared" si="324"/>
        <v>0</v>
      </c>
      <c r="BT523" s="3317">
        <f t="shared" si="325"/>
        <v>0</v>
      </c>
    </row>
    <row r="524" spans="1:72">
      <c r="A524" s="3262"/>
      <c r="B524" s="3263"/>
      <c r="C524" s="3263"/>
      <c r="D524" s="3268"/>
      <c r="E524" s="3264">
        <f t="shared" si="297"/>
        <v>0</v>
      </c>
      <c r="F524" s="3265"/>
      <c r="G524" s="3266">
        <f t="shared" si="301"/>
        <v>0</v>
      </c>
      <c r="H524" s="3267">
        <f t="shared" si="302"/>
        <v>0</v>
      </c>
      <c r="I524" s="3275"/>
      <c r="J524" s="3275"/>
      <c r="K524" s="3275"/>
      <c r="L524" s="3275"/>
      <c r="M524" s="3275"/>
      <c r="N524" s="3275"/>
      <c r="O524" s="3275"/>
      <c r="P524" s="3275"/>
      <c r="Q524" s="3275"/>
      <c r="R524" s="3275"/>
      <c r="S524" s="3275"/>
      <c r="T524" s="3275"/>
      <c r="U524" s="3275"/>
      <c r="V524" s="3275"/>
      <c r="W524" s="3275"/>
      <c r="X524" s="3275"/>
      <c r="Y524" s="3275"/>
      <c r="Z524" s="3275"/>
      <c r="AA524" s="3275"/>
      <c r="AB524" s="3275"/>
      <c r="AC524" s="3264">
        <f t="shared" si="303"/>
        <v>0</v>
      </c>
      <c r="AD524" s="3285"/>
      <c r="AE524" s="3285"/>
      <c r="AF524" s="3285"/>
      <c r="AG524" s="3285"/>
      <c r="AH524" s="3285"/>
      <c r="AI524" s="3285"/>
      <c r="AJ524" s="3285"/>
      <c r="AK524" s="3285"/>
      <c r="AL524" s="3285"/>
      <c r="AM524" s="3285"/>
      <c r="AN524" s="3285"/>
      <c r="AO524" s="3285"/>
      <c r="AP524" s="3285"/>
      <c r="AQ524" s="3285"/>
      <c r="AR524" s="3285"/>
      <c r="AS524" s="3285"/>
      <c r="AT524" s="3295"/>
      <c r="AU524" s="3296"/>
      <c r="AV524" s="830">
        <f t="shared" si="298"/>
        <v>0</v>
      </c>
      <c r="AW524" s="830">
        <f t="shared" si="299"/>
        <v>0</v>
      </c>
      <c r="AX524" s="830">
        <f t="shared" si="300"/>
        <v>0</v>
      </c>
      <c r="AY524" s="3310">
        <f t="shared" si="304"/>
        <v>0</v>
      </c>
      <c r="AZ524" s="3264">
        <f t="shared" si="305"/>
        <v>0</v>
      </c>
      <c r="BA524" s="3264">
        <f t="shared" si="306"/>
        <v>0</v>
      </c>
      <c r="BB524" s="3264">
        <f t="shared" si="307"/>
        <v>0</v>
      </c>
      <c r="BC524" s="3264">
        <f t="shared" si="308"/>
        <v>0</v>
      </c>
      <c r="BD524" s="3264">
        <f t="shared" si="309"/>
        <v>0</v>
      </c>
      <c r="BE524" s="3264">
        <f t="shared" si="310"/>
        <v>0</v>
      </c>
      <c r="BF524" s="3264">
        <f t="shared" si="311"/>
        <v>0</v>
      </c>
      <c r="BG524" s="3264">
        <f t="shared" si="312"/>
        <v>0</v>
      </c>
      <c r="BH524" s="3264">
        <f t="shared" si="313"/>
        <v>0</v>
      </c>
      <c r="BI524" s="3264">
        <f t="shared" si="314"/>
        <v>0</v>
      </c>
      <c r="BJ524" s="3264">
        <f t="shared" si="315"/>
        <v>0</v>
      </c>
      <c r="BK524" s="3264">
        <f t="shared" si="316"/>
        <v>0</v>
      </c>
      <c r="BL524" s="3264">
        <f t="shared" si="317"/>
        <v>0</v>
      </c>
      <c r="BM524" s="3264">
        <f t="shared" si="318"/>
        <v>0</v>
      </c>
      <c r="BN524" s="3264">
        <f t="shared" si="319"/>
        <v>0</v>
      </c>
      <c r="BO524" s="3264">
        <f t="shared" si="320"/>
        <v>0</v>
      </c>
      <c r="BP524" s="3264">
        <f t="shared" si="321"/>
        <v>0</v>
      </c>
      <c r="BQ524" s="3264">
        <f t="shared" si="322"/>
        <v>0</v>
      </c>
      <c r="BR524" s="3264">
        <f t="shared" si="323"/>
        <v>0</v>
      </c>
      <c r="BS524" s="3264">
        <f t="shared" si="324"/>
        <v>0</v>
      </c>
      <c r="BT524" s="3317">
        <f t="shared" si="325"/>
        <v>0</v>
      </c>
    </row>
    <row r="525" spans="1:72">
      <c r="A525" s="3262"/>
      <c r="B525" s="3263"/>
      <c r="C525" s="3263"/>
      <c r="D525" s="3268"/>
      <c r="E525" s="3264">
        <f t="shared" si="297"/>
        <v>0</v>
      </c>
      <c r="F525" s="3265"/>
      <c r="G525" s="3266">
        <f t="shared" si="301"/>
        <v>0</v>
      </c>
      <c r="H525" s="3267">
        <f t="shared" si="302"/>
        <v>0</v>
      </c>
      <c r="I525" s="3275"/>
      <c r="J525" s="3275"/>
      <c r="K525" s="3275"/>
      <c r="L525" s="3275"/>
      <c r="M525" s="3275"/>
      <c r="N525" s="3275"/>
      <c r="O525" s="3275"/>
      <c r="P525" s="3275"/>
      <c r="Q525" s="3275"/>
      <c r="R525" s="3275"/>
      <c r="S525" s="3275"/>
      <c r="T525" s="3275"/>
      <c r="U525" s="3275"/>
      <c r="V525" s="3275"/>
      <c r="W525" s="3275"/>
      <c r="X525" s="3275"/>
      <c r="Y525" s="3275"/>
      <c r="Z525" s="3275"/>
      <c r="AA525" s="3275"/>
      <c r="AB525" s="3275"/>
      <c r="AC525" s="3264">
        <f t="shared" si="303"/>
        <v>0</v>
      </c>
      <c r="AD525" s="3285"/>
      <c r="AE525" s="3285"/>
      <c r="AF525" s="3285"/>
      <c r="AG525" s="3285"/>
      <c r="AH525" s="3285"/>
      <c r="AI525" s="3285"/>
      <c r="AJ525" s="3285"/>
      <c r="AK525" s="3285"/>
      <c r="AL525" s="3285"/>
      <c r="AM525" s="3285"/>
      <c r="AN525" s="3285"/>
      <c r="AO525" s="3285"/>
      <c r="AP525" s="3285"/>
      <c r="AQ525" s="3285"/>
      <c r="AR525" s="3285"/>
      <c r="AS525" s="3285"/>
      <c r="AT525" s="3295"/>
      <c r="AU525" s="3296"/>
      <c r="AV525" s="830">
        <f t="shared" si="298"/>
        <v>0</v>
      </c>
      <c r="AW525" s="830">
        <f t="shared" si="299"/>
        <v>0</v>
      </c>
      <c r="AX525" s="830">
        <f t="shared" si="300"/>
        <v>0</v>
      </c>
      <c r="AY525" s="3310">
        <f t="shared" si="304"/>
        <v>0</v>
      </c>
      <c r="AZ525" s="3264">
        <f t="shared" si="305"/>
        <v>0</v>
      </c>
      <c r="BA525" s="3264">
        <f t="shared" si="306"/>
        <v>0</v>
      </c>
      <c r="BB525" s="3264">
        <f t="shared" si="307"/>
        <v>0</v>
      </c>
      <c r="BC525" s="3264">
        <f t="shared" si="308"/>
        <v>0</v>
      </c>
      <c r="BD525" s="3264">
        <f t="shared" si="309"/>
        <v>0</v>
      </c>
      <c r="BE525" s="3264">
        <f t="shared" si="310"/>
        <v>0</v>
      </c>
      <c r="BF525" s="3264">
        <f t="shared" si="311"/>
        <v>0</v>
      </c>
      <c r="BG525" s="3264">
        <f t="shared" si="312"/>
        <v>0</v>
      </c>
      <c r="BH525" s="3264">
        <f t="shared" si="313"/>
        <v>0</v>
      </c>
      <c r="BI525" s="3264">
        <f t="shared" si="314"/>
        <v>0</v>
      </c>
      <c r="BJ525" s="3264">
        <f t="shared" si="315"/>
        <v>0</v>
      </c>
      <c r="BK525" s="3264">
        <f t="shared" si="316"/>
        <v>0</v>
      </c>
      <c r="BL525" s="3264">
        <f t="shared" si="317"/>
        <v>0</v>
      </c>
      <c r="BM525" s="3264">
        <f t="shared" si="318"/>
        <v>0</v>
      </c>
      <c r="BN525" s="3264">
        <f t="shared" si="319"/>
        <v>0</v>
      </c>
      <c r="BO525" s="3264">
        <f t="shared" si="320"/>
        <v>0</v>
      </c>
      <c r="BP525" s="3264">
        <f t="shared" si="321"/>
        <v>0</v>
      </c>
      <c r="BQ525" s="3264">
        <f t="shared" si="322"/>
        <v>0</v>
      </c>
      <c r="BR525" s="3264">
        <f t="shared" si="323"/>
        <v>0</v>
      </c>
      <c r="BS525" s="3264">
        <f t="shared" si="324"/>
        <v>0</v>
      </c>
      <c r="BT525" s="3317">
        <f t="shared" si="325"/>
        <v>0</v>
      </c>
    </row>
    <row r="526" spans="1:72">
      <c r="A526" s="3262"/>
      <c r="B526" s="3263"/>
      <c r="C526" s="3263"/>
      <c r="D526" s="3268"/>
      <c r="E526" s="3264">
        <f t="shared" si="297"/>
        <v>0</v>
      </c>
      <c r="F526" s="3265"/>
      <c r="G526" s="3266">
        <f t="shared" si="301"/>
        <v>0</v>
      </c>
      <c r="H526" s="3267">
        <f t="shared" si="302"/>
        <v>0</v>
      </c>
      <c r="I526" s="3275"/>
      <c r="J526" s="3275"/>
      <c r="K526" s="3275"/>
      <c r="L526" s="3275"/>
      <c r="M526" s="3275"/>
      <c r="N526" s="3275"/>
      <c r="O526" s="3275"/>
      <c r="P526" s="3275"/>
      <c r="Q526" s="3275"/>
      <c r="R526" s="3275"/>
      <c r="S526" s="3275"/>
      <c r="T526" s="3275"/>
      <c r="U526" s="3275"/>
      <c r="V526" s="3275"/>
      <c r="W526" s="3275"/>
      <c r="X526" s="3275"/>
      <c r="Y526" s="3275"/>
      <c r="Z526" s="3275"/>
      <c r="AA526" s="3275"/>
      <c r="AB526" s="3275"/>
      <c r="AC526" s="3264">
        <f t="shared" si="303"/>
        <v>0</v>
      </c>
      <c r="AD526" s="3285"/>
      <c r="AE526" s="3285"/>
      <c r="AF526" s="3285"/>
      <c r="AG526" s="3285"/>
      <c r="AH526" s="3285"/>
      <c r="AI526" s="3285"/>
      <c r="AJ526" s="3285"/>
      <c r="AK526" s="3285"/>
      <c r="AL526" s="3285"/>
      <c r="AM526" s="3285"/>
      <c r="AN526" s="3285"/>
      <c r="AO526" s="3285"/>
      <c r="AP526" s="3285"/>
      <c r="AQ526" s="3285"/>
      <c r="AR526" s="3285"/>
      <c r="AS526" s="3285"/>
      <c r="AT526" s="3295"/>
      <c r="AU526" s="3296"/>
      <c r="AV526" s="830">
        <f t="shared" si="298"/>
        <v>0</v>
      </c>
      <c r="AW526" s="830">
        <f t="shared" si="299"/>
        <v>0</v>
      </c>
      <c r="AX526" s="830">
        <f t="shared" si="300"/>
        <v>0</v>
      </c>
      <c r="AY526" s="3310">
        <f t="shared" si="304"/>
        <v>0</v>
      </c>
      <c r="AZ526" s="3264">
        <f t="shared" si="305"/>
        <v>0</v>
      </c>
      <c r="BA526" s="3264">
        <f t="shared" si="306"/>
        <v>0</v>
      </c>
      <c r="BB526" s="3264">
        <f t="shared" si="307"/>
        <v>0</v>
      </c>
      <c r="BC526" s="3264">
        <f t="shared" si="308"/>
        <v>0</v>
      </c>
      <c r="BD526" s="3264">
        <f t="shared" si="309"/>
        <v>0</v>
      </c>
      <c r="BE526" s="3264">
        <f t="shared" si="310"/>
        <v>0</v>
      </c>
      <c r="BF526" s="3264">
        <f t="shared" si="311"/>
        <v>0</v>
      </c>
      <c r="BG526" s="3264">
        <f t="shared" si="312"/>
        <v>0</v>
      </c>
      <c r="BH526" s="3264">
        <f t="shared" si="313"/>
        <v>0</v>
      </c>
      <c r="BI526" s="3264">
        <f t="shared" si="314"/>
        <v>0</v>
      </c>
      <c r="BJ526" s="3264">
        <f t="shared" si="315"/>
        <v>0</v>
      </c>
      <c r="BK526" s="3264">
        <f t="shared" si="316"/>
        <v>0</v>
      </c>
      <c r="BL526" s="3264">
        <f t="shared" si="317"/>
        <v>0</v>
      </c>
      <c r="BM526" s="3264">
        <f t="shared" si="318"/>
        <v>0</v>
      </c>
      <c r="BN526" s="3264">
        <f t="shared" si="319"/>
        <v>0</v>
      </c>
      <c r="BO526" s="3264">
        <f t="shared" si="320"/>
        <v>0</v>
      </c>
      <c r="BP526" s="3264">
        <f t="shared" si="321"/>
        <v>0</v>
      </c>
      <c r="BQ526" s="3264">
        <f t="shared" si="322"/>
        <v>0</v>
      </c>
      <c r="BR526" s="3264">
        <f t="shared" si="323"/>
        <v>0</v>
      </c>
      <c r="BS526" s="3264">
        <f t="shared" si="324"/>
        <v>0</v>
      </c>
      <c r="BT526" s="3317">
        <f t="shared" si="325"/>
        <v>0</v>
      </c>
    </row>
    <row r="527" spans="1:72">
      <c r="A527" s="3262"/>
      <c r="B527" s="3263"/>
      <c r="C527" s="3263"/>
      <c r="D527" s="3268"/>
      <c r="E527" s="3264">
        <f t="shared" si="297"/>
        <v>0</v>
      </c>
      <c r="F527" s="3265"/>
      <c r="G527" s="3266">
        <f t="shared" si="301"/>
        <v>0</v>
      </c>
      <c r="H527" s="3267">
        <f t="shared" si="302"/>
        <v>0</v>
      </c>
      <c r="I527" s="3275"/>
      <c r="J527" s="3275"/>
      <c r="K527" s="3275"/>
      <c r="L527" s="3275"/>
      <c r="M527" s="3275"/>
      <c r="N527" s="3275"/>
      <c r="O527" s="3275"/>
      <c r="P527" s="3275"/>
      <c r="Q527" s="3275"/>
      <c r="R527" s="3275"/>
      <c r="S527" s="3275"/>
      <c r="T527" s="3275"/>
      <c r="U527" s="3275"/>
      <c r="V527" s="3275"/>
      <c r="W527" s="3275"/>
      <c r="X527" s="3275"/>
      <c r="Y527" s="3275"/>
      <c r="Z527" s="3275"/>
      <c r="AA527" s="3275"/>
      <c r="AB527" s="3275"/>
      <c r="AC527" s="3264">
        <f t="shared" si="303"/>
        <v>0</v>
      </c>
      <c r="AD527" s="3285"/>
      <c r="AE527" s="3285"/>
      <c r="AF527" s="3285"/>
      <c r="AG527" s="3285"/>
      <c r="AH527" s="3285"/>
      <c r="AI527" s="3285"/>
      <c r="AJ527" s="3285"/>
      <c r="AK527" s="3285"/>
      <c r="AL527" s="3285"/>
      <c r="AM527" s="3285"/>
      <c r="AN527" s="3285"/>
      <c r="AO527" s="3285"/>
      <c r="AP527" s="3285"/>
      <c r="AQ527" s="3285"/>
      <c r="AR527" s="3285"/>
      <c r="AS527" s="3285"/>
      <c r="AT527" s="3295"/>
      <c r="AU527" s="3296"/>
      <c r="AV527" s="830">
        <f t="shared" si="298"/>
        <v>0</v>
      </c>
      <c r="AW527" s="830">
        <f t="shared" si="299"/>
        <v>0</v>
      </c>
      <c r="AX527" s="830">
        <f t="shared" si="300"/>
        <v>0</v>
      </c>
      <c r="AY527" s="3310">
        <f t="shared" si="304"/>
        <v>0</v>
      </c>
      <c r="AZ527" s="3264">
        <f t="shared" si="305"/>
        <v>0</v>
      </c>
      <c r="BA527" s="3264">
        <f t="shared" si="306"/>
        <v>0</v>
      </c>
      <c r="BB527" s="3264">
        <f t="shared" si="307"/>
        <v>0</v>
      </c>
      <c r="BC527" s="3264">
        <f t="shared" si="308"/>
        <v>0</v>
      </c>
      <c r="BD527" s="3264">
        <f t="shared" si="309"/>
        <v>0</v>
      </c>
      <c r="BE527" s="3264">
        <f t="shared" si="310"/>
        <v>0</v>
      </c>
      <c r="BF527" s="3264">
        <f t="shared" si="311"/>
        <v>0</v>
      </c>
      <c r="BG527" s="3264">
        <f t="shared" si="312"/>
        <v>0</v>
      </c>
      <c r="BH527" s="3264">
        <f t="shared" si="313"/>
        <v>0</v>
      </c>
      <c r="BI527" s="3264">
        <f t="shared" si="314"/>
        <v>0</v>
      </c>
      <c r="BJ527" s="3264">
        <f t="shared" si="315"/>
        <v>0</v>
      </c>
      <c r="BK527" s="3264">
        <f t="shared" si="316"/>
        <v>0</v>
      </c>
      <c r="BL527" s="3264">
        <f t="shared" si="317"/>
        <v>0</v>
      </c>
      <c r="BM527" s="3264">
        <f t="shared" si="318"/>
        <v>0</v>
      </c>
      <c r="BN527" s="3264">
        <f t="shared" si="319"/>
        <v>0</v>
      </c>
      <c r="BO527" s="3264">
        <f t="shared" si="320"/>
        <v>0</v>
      </c>
      <c r="BP527" s="3264">
        <f t="shared" si="321"/>
        <v>0</v>
      </c>
      <c r="BQ527" s="3264">
        <f t="shared" si="322"/>
        <v>0</v>
      </c>
      <c r="BR527" s="3264">
        <f t="shared" si="323"/>
        <v>0</v>
      </c>
      <c r="BS527" s="3264">
        <f t="shared" si="324"/>
        <v>0</v>
      </c>
      <c r="BT527" s="3317">
        <f t="shared" si="325"/>
        <v>0</v>
      </c>
    </row>
    <row r="528" spans="1:72">
      <c r="A528" s="3262"/>
      <c r="B528" s="3263"/>
      <c r="C528" s="3263"/>
      <c r="D528" s="3268"/>
      <c r="E528" s="3264">
        <f t="shared" si="297"/>
        <v>0</v>
      </c>
      <c r="F528" s="3265"/>
      <c r="G528" s="3266">
        <f t="shared" si="301"/>
        <v>0</v>
      </c>
      <c r="H528" s="3267">
        <f t="shared" si="302"/>
        <v>0</v>
      </c>
      <c r="I528" s="3275"/>
      <c r="J528" s="3275"/>
      <c r="K528" s="3275"/>
      <c r="L528" s="3275"/>
      <c r="M528" s="3275"/>
      <c r="N528" s="3275"/>
      <c r="O528" s="3275"/>
      <c r="P528" s="3275"/>
      <c r="Q528" s="3275"/>
      <c r="R528" s="3275"/>
      <c r="S528" s="3275"/>
      <c r="T528" s="3275"/>
      <c r="U528" s="3275"/>
      <c r="V528" s="3275"/>
      <c r="W528" s="3275"/>
      <c r="X528" s="3275"/>
      <c r="Y528" s="3275"/>
      <c r="Z528" s="3275"/>
      <c r="AA528" s="3275"/>
      <c r="AB528" s="3275"/>
      <c r="AC528" s="3264">
        <f t="shared" si="303"/>
        <v>0</v>
      </c>
      <c r="AD528" s="3285"/>
      <c r="AE528" s="3285"/>
      <c r="AF528" s="3285"/>
      <c r="AG528" s="3285"/>
      <c r="AH528" s="3285"/>
      <c r="AI528" s="3285"/>
      <c r="AJ528" s="3285"/>
      <c r="AK528" s="3285"/>
      <c r="AL528" s="3285"/>
      <c r="AM528" s="3285"/>
      <c r="AN528" s="3285"/>
      <c r="AO528" s="3285"/>
      <c r="AP528" s="3285"/>
      <c r="AQ528" s="3285"/>
      <c r="AR528" s="3285"/>
      <c r="AS528" s="3285"/>
      <c r="AT528" s="3295"/>
      <c r="AU528" s="3296"/>
      <c r="AV528" s="830">
        <f t="shared" si="298"/>
        <v>0</v>
      </c>
      <c r="AW528" s="830">
        <f t="shared" si="299"/>
        <v>0</v>
      </c>
      <c r="AX528" s="830">
        <f t="shared" si="300"/>
        <v>0</v>
      </c>
      <c r="AY528" s="3310">
        <f t="shared" si="304"/>
        <v>0</v>
      </c>
      <c r="AZ528" s="3264">
        <f t="shared" si="305"/>
        <v>0</v>
      </c>
      <c r="BA528" s="3264">
        <f t="shared" si="306"/>
        <v>0</v>
      </c>
      <c r="BB528" s="3264">
        <f t="shared" si="307"/>
        <v>0</v>
      </c>
      <c r="BC528" s="3264">
        <f t="shared" si="308"/>
        <v>0</v>
      </c>
      <c r="BD528" s="3264">
        <f t="shared" si="309"/>
        <v>0</v>
      </c>
      <c r="BE528" s="3264">
        <f t="shared" si="310"/>
        <v>0</v>
      </c>
      <c r="BF528" s="3264">
        <f t="shared" si="311"/>
        <v>0</v>
      </c>
      <c r="BG528" s="3264">
        <f t="shared" si="312"/>
        <v>0</v>
      </c>
      <c r="BH528" s="3264">
        <f t="shared" si="313"/>
        <v>0</v>
      </c>
      <c r="BI528" s="3264">
        <f t="shared" si="314"/>
        <v>0</v>
      </c>
      <c r="BJ528" s="3264">
        <f t="shared" si="315"/>
        <v>0</v>
      </c>
      <c r="BK528" s="3264">
        <f t="shared" si="316"/>
        <v>0</v>
      </c>
      <c r="BL528" s="3264">
        <f t="shared" si="317"/>
        <v>0</v>
      </c>
      <c r="BM528" s="3264">
        <f t="shared" si="318"/>
        <v>0</v>
      </c>
      <c r="BN528" s="3264">
        <f t="shared" si="319"/>
        <v>0</v>
      </c>
      <c r="BO528" s="3264">
        <f t="shared" si="320"/>
        <v>0</v>
      </c>
      <c r="BP528" s="3264">
        <f t="shared" si="321"/>
        <v>0</v>
      </c>
      <c r="BQ528" s="3264">
        <f t="shared" si="322"/>
        <v>0</v>
      </c>
      <c r="BR528" s="3264">
        <f t="shared" si="323"/>
        <v>0</v>
      </c>
      <c r="BS528" s="3264">
        <f t="shared" si="324"/>
        <v>0</v>
      </c>
      <c r="BT528" s="3317">
        <f t="shared" si="325"/>
        <v>0</v>
      </c>
    </row>
    <row r="529" spans="1:72">
      <c r="A529" s="3262"/>
      <c r="B529" s="3263"/>
      <c r="C529" s="3263"/>
      <c r="D529" s="3268"/>
      <c r="E529" s="3264">
        <f t="shared" si="297"/>
        <v>0</v>
      </c>
      <c r="F529" s="3265"/>
      <c r="G529" s="3266">
        <f t="shared" si="301"/>
        <v>0</v>
      </c>
      <c r="H529" s="3267">
        <f t="shared" si="302"/>
        <v>0</v>
      </c>
      <c r="I529" s="3275"/>
      <c r="J529" s="3275"/>
      <c r="K529" s="3275"/>
      <c r="L529" s="3275"/>
      <c r="M529" s="3275"/>
      <c r="N529" s="3275"/>
      <c r="O529" s="3275"/>
      <c r="P529" s="3275"/>
      <c r="Q529" s="3275"/>
      <c r="R529" s="3275"/>
      <c r="S529" s="3275"/>
      <c r="T529" s="3275"/>
      <c r="U529" s="3275"/>
      <c r="V529" s="3275"/>
      <c r="W529" s="3275"/>
      <c r="X529" s="3275"/>
      <c r="Y529" s="3275"/>
      <c r="Z529" s="3275"/>
      <c r="AA529" s="3275"/>
      <c r="AB529" s="3275"/>
      <c r="AC529" s="3264">
        <f t="shared" si="303"/>
        <v>0</v>
      </c>
      <c r="AD529" s="3285"/>
      <c r="AE529" s="3285"/>
      <c r="AF529" s="3285"/>
      <c r="AG529" s="3285"/>
      <c r="AH529" s="3285"/>
      <c r="AI529" s="3285"/>
      <c r="AJ529" s="3285"/>
      <c r="AK529" s="3285"/>
      <c r="AL529" s="3285"/>
      <c r="AM529" s="3285"/>
      <c r="AN529" s="3285"/>
      <c r="AO529" s="3285"/>
      <c r="AP529" s="3285"/>
      <c r="AQ529" s="3285"/>
      <c r="AR529" s="3285"/>
      <c r="AS529" s="3285"/>
      <c r="AT529" s="3295"/>
      <c r="AU529" s="3296"/>
      <c r="AV529" s="830">
        <f t="shared" si="298"/>
        <v>0</v>
      </c>
      <c r="AW529" s="830">
        <f t="shared" si="299"/>
        <v>0</v>
      </c>
      <c r="AX529" s="830">
        <f t="shared" si="300"/>
        <v>0</v>
      </c>
      <c r="AY529" s="3310">
        <f t="shared" si="304"/>
        <v>0</v>
      </c>
      <c r="AZ529" s="3264">
        <f t="shared" si="305"/>
        <v>0</v>
      </c>
      <c r="BA529" s="3264">
        <f t="shared" si="306"/>
        <v>0</v>
      </c>
      <c r="BB529" s="3264">
        <f t="shared" si="307"/>
        <v>0</v>
      </c>
      <c r="BC529" s="3264">
        <f t="shared" si="308"/>
        <v>0</v>
      </c>
      <c r="BD529" s="3264">
        <f t="shared" si="309"/>
        <v>0</v>
      </c>
      <c r="BE529" s="3264">
        <f t="shared" si="310"/>
        <v>0</v>
      </c>
      <c r="BF529" s="3264">
        <f t="shared" si="311"/>
        <v>0</v>
      </c>
      <c r="BG529" s="3264">
        <f t="shared" si="312"/>
        <v>0</v>
      </c>
      <c r="BH529" s="3264">
        <f t="shared" si="313"/>
        <v>0</v>
      </c>
      <c r="BI529" s="3264">
        <f t="shared" si="314"/>
        <v>0</v>
      </c>
      <c r="BJ529" s="3264">
        <f t="shared" si="315"/>
        <v>0</v>
      </c>
      <c r="BK529" s="3264">
        <f t="shared" si="316"/>
        <v>0</v>
      </c>
      <c r="BL529" s="3264">
        <f t="shared" si="317"/>
        <v>0</v>
      </c>
      <c r="BM529" s="3264">
        <f t="shared" si="318"/>
        <v>0</v>
      </c>
      <c r="BN529" s="3264">
        <f t="shared" si="319"/>
        <v>0</v>
      </c>
      <c r="BO529" s="3264">
        <f t="shared" si="320"/>
        <v>0</v>
      </c>
      <c r="BP529" s="3264">
        <f t="shared" si="321"/>
        <v>0</v>
      </c>
      <c r="BQ529" s="3264">
        <f t="shared" si="322"/>
        <v>0</v>
      </c>
      <c r="BR529" s="3264">
        <f t="shared" si="323"/>
        <v>0</v>
      </c>
      <c r="BS529" s="3264">
        <f t="shared" si="324"/>
        <v>0</v>
      </c>
      <c r="BT529" s="3317">
        <f t="shared" si="325"/>
        <v>0</v>
      </c>
    </row>
    <row r="530" spans="1:72">
      <c r="A530" s="3262"/>
      <c r="B530" s="3263"/>
      <c r="C530" s="3263"/>
      <c r="D530" s="3268"/>
      <c r="E530" s="3264">
        <f t="shared" si="297"/>
        <v>0</v>
      </c>
      <c r="F530" s="3265"/>
      <c r="G530" s="3266">
        <f t="shared" si="301"/>
        <v>0</v>
      </c>
      <c r="H530" s="3267">
        <f t="shared" si="302"/>
        <v>0</v>
      </c>
      <c r="I530" s="3275"/>
      <c r="J530" s="3275"/>
      <c r="K530" s="3275"/>
      <c r="L530" s="3275"/>
      <c r="M530" s="3275"/>
      <c r="N530" s="3275"/>
      <c r="O530" s="3275"/>
      <c r="P530" s="3275"/>
      <c r="Q530" s="3275"/>
      <c r="R530" s="3275"/>
      <c r="S530" s="3275"/>
      <c r="T530" s="3275"/>
      <c r="U530" s="3275"/>
      <c r="V530" s="3275"/>
      <c r="W530" s="3275"/>
      <c r="X530" s="3275"/>
      <c r="Y530" s="3275"/>
      <c r="Z530" s="3275"/>
      <c r="AA530" s="3275"/>
      <c r="AB530" s="3275"/>
      <c r="AC530" s="3264">
        <f t="shared" si="303"/>
        <v>0</v>
      </c>
      <c r="AD530" s="3285"/>
      <c r="AE530" s="3285"/>
      <c r="AF530" s="3285"/>
      <c r="AG530" s="3285"/>
      <c r="AH530" s="3285"/>
      <c r="AI530" s="3285"/>
      <c r="AJ530" s="3285"/>
      <c r="AK530" s="3285"/>
      <c r="AL530" s="3285"/>
      <c r="AM530" s="3285"/>
      <c r="AN530" s="3285"/>
      <c r="AO530" s="3285"/>
      <c r="AP530" s="3285"/>
      <c r="AQ530" s="3285"/>
      <c r="AR530" s="3285"/>
      <c r="AS530" s="3285"/>
      <c r="AT530" s="3295"/>
      <c r="AU530" s="3296"/>
      <c r="AV530" s="830">
        <f t="shared" si="298"/>
        <v>0</v>
      </c>
      <c r="AW530" s="830">
        <f t="shared" si="299"/>
        <v>0</v>
      </c>
      <c r="AX530" s="830">
        <f t="shared" si="300"/>
        <v>0</v>
      </c>
      <c r="AY530" s="3310">
        <f t="shared" si="304"/>
        <v>0</v>
      </c>
      <c r="AZ530" s="3264">
        <f t="shared" si="305"/>
        <v>0</v>
      </c>
      <c r="BA530" s="3264">
        <f t="shared" si="306"/>
        <v>0</v>
      </c>
      <c r="BB530" s="3264">
        <f t="shared" si="307"/>
        <v>0</v>
      </c>
      <c r="BC530" s="3264">
        <f t="shared" si="308"/>
        <v>0</v>
      </c>
      <c r="BD530" s="3264">
        <f t="shared" si="309"/>
        <v>0</v>
      </c>
      <c r="BE530" s="3264">
        <f t="shared" si="310"/>
        <v>0</v>
      </c>
      <c r="BF530" s="3264">
        <f t="shared" si="311"/>
        <v>0</v>
      </c>
      <c r="BG530" s="3264">
        <f t="shared" si="312"/>
        <v>0</v>
      </c>
      <c r="BH530" s="3264">
        <f t="shared" si="313"/>
        <v>0</v>
      </c>
      <c r="BI530" s="3264">
        <f t="shared" si="314"/>
        <v>0</v>
      </c>
      <c r="BJ530" s="3264">
        <f t="shared" si="315"/>
        <v>0</v>
      </c>
      <c r="BK530" s="3264">
        <f t="shared" si="316"/>
        <v>0</v>
      </c>
      <c r="BL530" s="3264">
        <f t="shared" si="317"/>
        <v>0</v>
      </c>
      <c r="BM530" s="3264">
        <f t="shared" si="318"/>
        <v>0</v>
      </c>
      <c r="BN530" s="3264">
        <f t="shared" si="319"/>
        <v>0</v>
      </c>
      <c r="BO530" s="3264">
        <f t="shared" si="320"/>
        <v>0</v>
      </c>
      <c r="BP530" s="3264">
        <f t="shared" si="321"/>
        <v>0</v>
      </c>
      <c r="BQ530" s="3264">
        <f t="shared" si="322"/>
        <v>0</v>
      </c>
      <c r="BR530" s="3264">
        <f t="shared" si="323"/>
        <v>0</v>
      </c>
      <c r="BS530" s="3264">
        <f t="shared" si="324"/>
        <v>0</v>
      </c>
      <c r="BT530" s="3317">
        <f t="shared" si="325"/>
        <v>0</v>
      </c>
    </row>
    <row r="531" spans="1:72">
      <c r="A531" s="3262"/>
      <c r="B531" s="3263"/>
      <c r="C531" s="3263"/>
      <c r="D531" s="3268"/>
      <c r="E531" s="3264">
        <f t="shared" si="297"/>
        <v>0</v>
      </c>
      <c r="F531" s="3265"/>
      <c r="G531" s="3266">
        <f t="shared" si="301"/>
        <v>0</v>
      </c>
      <c r="H531" s="3267">
        <f t="shared" si="302"/>
        <v>0</v>
      </c>
      <c r="I531" s="3275"/>
      <c r="J531" s="3275"/>
      <c r="K531" s="3275"/>
      <c r="L531" s="3275"/>
      <c r="M531" s="3275"/>
      <c r="N531" s="3275"/>
      <c r="O531" s="3275"/>
      <c r="P531" s="3275"/>
      <c r="Q531" s="3275"/>
      <c r="R531" s="3275"/>
      <c r="S531" s="3275"/>
      <c r="T531" s="3275"/>
      <c r="U531" s="3275"/>
      <c r="V531" s="3275"/>
      <c r="W531" s="3275"/>
      <c r="X531" s="3275"/>
      <c r="Y531" s="3275"/>
      <c r="Z531" s="3275"/>
      <c r="AA531" s="3275"/>
      <c r="AB531" s="3275"/>
      <c r="AC531" s="3264">
        <f t="shared" si="303"/>
        <v>0</v>
      </c>
      <c r="AD531" s="3285"/>
      <c r="AE531" s="3285"/>
      <c r="AF531" s="3285"/>
      <c r="AG531" s="3285"/>
      <c r="AH531" s="3285"/>
      <c r="AI531" s="3285"/>
      <c r="AJ531" s="3285"/>
      <c r="AK531" s="3285"/>
      <c r="AL531" s="3285"/>
      <c r="AM531" s="3285"/>
      <c r="AN531" s="3285"/>
      <c r="AO531" s="3285"/>
      <c r="AP531" s="3285"/>
      <c r="AQ531" s="3285"/>
      <c r="AR531" s="3285"/>
      <c r="AS531" s="3285"/>
      <c r="AT531" s="3295"/>
      <c r="AU531" s="3296"/>
      <c r="AV531" s="830">
        <f t="shared" si="298"/>
        <v>0</v>
      </c>
      <c r="AW531" s="830">
        <f t="shared" si="299"/>
        <v>0</v>
      </c>
      <c r="AX531" s="830">
        <f t="shared" si="300"/>
        <v>0</v>
      </c>
      <c r="AY531" s="3310">
        <f t="shared" si="304"/>
        <v>0</v>
      </c>
      <c r="AZ531" s="3264">
        <f t="shared" si="305"/>
        <v>0</v>
      </c>
      <c r="BA531" s="3264">
        <f t="shared" si="306"/>
        <v>0</v>
      </c>
      <c r="BB531" s="3264">
        <f t="shared" si="307"/>
        <v>0</v>
      </c>
      <c r="BC531" s="3264">
        <f t="shared" si="308"/>
        <v>0</v>
      </c>
      <c r="BD531" s="3264">
        <f t="shared" si="309"/>
        <v>0</v>
      </c>
      <c r="BE531" s="3264">
        <f t="shared" si="310"/>
        <v>0</v>
      </c>
      <c r="BF531" s="3264">
        <f t="shared" si="311"/>
        <v>0</v>
      </c>
      <c r="BG531" s="3264">
        <f t="shared" si="312"/>
        <v>0</v>
      </c>
      <c r="BH531" s="3264">
        <f t="shared" si="313"/>
        <v>0</v>
      </c>
      <c r="BI531" s="3264">
        <f t="shared" si="314"/>
        <v>0</v>
      </c>
      <c r="BJ531" s="3264">
        <f t="shared" si="315"/>
        <v>0</v>
      </c>
      <c r="BK531" s="3264">
        <f t="shared" si="316"/>
        <v>0</v>
      </c>
      <c r="BL531" s="3264">
        <f t="shared" si="317"/>
        <v>0</v>
      </c>
      <c r="BM531" s="3264">
        <f t="shared" si="318"/>
        <v>0</v>
      </c>
      <c r="BN531" s="3264">
        <f t="shared" si="319"/>
        <v>0</v>
      </c>
      <c r="BO531" s="3264">
        <f t="shared" si="320"/>
        <v>0</v>
      </c>
      <c r="BP531" s="3264">
        <f t="shared" si="321"/>
        <v>0</v>
      </c>
      <c r="BQ531" s="3264">
        <f t="shared" si="322"/>
        <v>0</v>
      </c>
      <c r="BR531" s="3264">
        <f t="shared" si="323"/>
        <v>0</v>
      </c>
      <c r="BS531" s="3264">
        <f t="shared" si="324"/>
        <v>0</v>
      </c>
      <c r="BT531" s="3317">
        <f t="shared" si="325"/>
        <v>0</v>
      </c>
    </row>
    <row r="532" spans="1:72">
      <c r="A532" s="3262"/>
      <c r="B532" s="3263"/>
      <c r="C532" s="3263"/>
      <c r="D532" s="3268"/>
      <c r="E532" s="3264">
        <f t="shared" si="297"/>
        <v>0</v>
      </c>
      <c r="F532" s="3265"/>
      <c r="G532" s="3266">
        <f t="shared" si="301"/>
        <v>0</v>
      </c>
      <c r="H532" s="3267">
        <f t="shared" si="302"/>
        <v>0</v>
      </c>
      <c r="I532" s="3275"/>
      <c r="J532" s="3275"/>
      <c r="K532" s="3275"/>
      <c r="L532" s="3275"/>
      <c r="M532" s="3275"/>
      <c r="N532" s="3275"/>
      <c r="O532" s="3275"/>
      <c r="P532" s="3275"/>
      <c r="Q532" s="3275"/>
      <c r="R532" s="3275"/>
      <c r="S532" s="3275"/>
      <c r="T532" s="3275"/>
      <c r="U532" s="3275"/>
      <c r="V532" s="3275"/>
      <c r="W532" s="3275"/>
      <c r="X532" s="3275"/>
      <c r="Y532" s="3275"/>
      <c r="Z532" s="3275"/>
      <c r="AA532" s="3275"/>
      <c r="AB532" s="3275"/>
      <c r="AC532" s="3264">
        <f t="shared" si="303"/>
        <v>0</v>
      </c>
      <c r="AD532" s="3285"/>
      <c r="AE532" s="3285"/>
      <c r="AF532" s="3285"/>
      <c r="AG532" s="3285"/>
      <c r="AH532" s="3285"/>
      <c r="AI532" s="3285"/>
      <c r="AJ532" s="3285"/>
      <c r="AK532" s="3285"/>
      <c r="AL532" s="3285"/>
      <c r="AM532" s="3285"/>
      <c r="AN532" s="3285"/>
      <c r="AO532" s="3285"/>
      <c r="AP532" s="3285"/>
      <c r="AQ532" s="3285"/>
      <c r="AR532" s="3285"/>
      <c r="AS532" s="3285"/>
      <c r="AT532" s="3295"/>
      <c r="AU532" s="3296"/>
      <c r="AV532" s="830">
        <f t="shared" si="298"/>
        <v>0</v>
      </c>
      <c r="AW532" s="830">
        <f t="shared" si="299"/>
        <v>0</v>
      </c>
      <c r="AX532" s="830">
        <f t="shared" si="300"/>
        <v>0</v>
      </c>
      <c r="AY532" s="3310">
        <f t="shared" si="304"/>
        <v>0</v>
      </c>
      <c r="AZ532" s="3264">
        <f t="shared" si="305"/>
        <v>0</v>
      </c>
      <c r="BA532" s="3264">
        <f t="shared" si="306"/>
        <v>0</v>
      </c>
      <c r="BB532" s="3264">
        <f t="shared" si="307"/>
        <v>0</v>
      </c>
      <c r="BC532" s="3264">
        <f t="shared" si="308"/>
        <v>0</v>
      </c>
      <c r="BD532" s="3264">
        <f t="shared" si="309"/>
        <v>0</v>
      </c>
      <c r="BE532" s="3264">
        <f t="shared" si="310"/>
        <v>0</v>
      </c>
      <c r="BF532" s="3264">
        <f t="shared" si="311"/>
        <v>0</v>
      </c>
      <c r="BG532" s="3264">
        <f t="shared" si="312"/>
        <v>0</v>
      </c>
      <c r="BH532" s="3264">
        <f t="shared" si="313"/>
        <v>0</v>
      </c>
      <c r="BI532" s="3264">
        <f t="shared" si="314"/>
        <v>0</v>
      </c>
      <c r="BJ532" s="3264">
        <f t="shared" si="315"/>
        <v>0</v>
      </c>
      <c r="BK532" s="3264">
        <f t="shared" si="316"/>
        <v>0</v>
      </c>
      <c r="BL532" s="3264">
        <f t="shared" si="317"/>
        <v>0</v>
      </c>
      <c r="BM532" s="3264">
        <f t="shared" si="318"/>
        <v>0</v>
      </c>
      <c r="BN532" s="3264">
        <f t="shared" si="319"/>
        <v>0</v>
      </c>
      <c r="BO532" s="3264">
        <f t="shared" si="320"/>
        <v>0</v>
      </c>
      <c r="BP532" s="3264">
        <f t="shared" si="321"/>
        <v>0</v>
      </c>
      <c r="BQ532" s="3264">
        <f t="shared" si="322"/>
        <v>0</v>
      </c>
      <c r="BR532" s="3264">
        <f t="shared" si="323"/>
        <v>0</v>
      </c>
      <c r="BS532" s="3264">
        <f t="shared" si="324"/>
        <v>0</v>
      </c>
      <c r="BT532" s="3317">
        <f t="shared" si="325"/>
        <v>0</v>
      </c>
    </row>
    <row r="533" spans="1:72">
      <c r="A533" s="3262"/>
      <c r="B533" s="3263"/>
      <c r="C533" s="3263"/>
      <c r="D533" s="3268"/>
      <c r="E533" s="3264">
        <f t="shared" si="297"/>
        <v>0</v>
      </c>
      <c r="F533" s="3265"/>
      <c r="G533" s="3266">
        <f t="shared" si="301"/>
        <v>0</v>
      </c>
      <c r="H533" s="3267">
        <f t="shared" si="302"/>
        <v>0</v>
      </c>
      <c r="I533" s="3275"/>
      <c r="J533" s="3275"/>
      <c r="K533" s="3275"/>
      <c r="L533" s="3275"/>
      <c r="M533" s="3275"/>
      <c r="N533" s="3275"/>
      <c r="O533" s="3275"/>
      <c r="P533" s="3275"/>
      <c r="Q533" s="3275"/>
      <c r="R533" s="3275"/>
      <c r="S533" s="3275"/>
      <c r="T533" s="3275"/>
      <c r="U533" s="3275"/>
      <c r="V533" s="3275"/>
      <c r="W533" s="3275"/>
      <c r="X533" s="3275"/>
      <c r="Y533" s="3275"/>
      <c r="Z533" s="3275"/>
      <c r="AA533" s="3275"/>
      <c r="AB533" s="3275"/>
      <c r="AC533" s="3264">
        <f t="shared" si="303"/>
        <v>0</v>
      </c>
      <c r="AD533" s="3285"/>
      <c r="AE533" s="3285"/>
      <c r="AF533" s="3285"/>
      <c r="AG533" s="3285"/>
      <c r="AH533" s="3285"/>
      <c r="AI533" s="3285"/>
      <c r="AJ533" s="3285"/>
      <c r="AK533" s="3285"/>
      <c r="AL533" s="3285"/>
      <c r="AM533" s="3285"/>
      <c r="AN533" s="3285"/>
      <c r="AO533" s="3285"/>
      <c r="AP533" s="3285"/>
      <c r="AQ533" s="3285"/>
      <c r="AR533" s="3285"/>
      <c r="AS533" s="3285"/>
      <c r="AT533" s="3295"/>
      <c r="AU533" s="3296"/>
      <c r="AV533" s="830">
        <f t="shared" si="298"/>
        <v>0</v>
      </c>
      <c r="AW533" s="830">
        <f t="shared" si="299"/>
        <v>0</v>
      </c>
      <c r="AX533" s="830">
        <f t="shared" si="300"/>
        <v>0</v>
      </c>
      <c r="AY533" s="3310">
        <f t="shared" si="304"/>
        <v>0</v>
      </c>
      <c r="AZ533" s="3264">
        <f t="shared" si="305"/>
        <v>0</v>
      </c>
      <c r="BA533" s="3264">
        <f t="shared" si="306"/>
        <v>0</v>
      </c>
      <c r="BB533" s="3264">
        <f t="shared" si="307"/>
        <v>0</v>
      </c>
      <c r="BC533" s="3264">
        <f t="shared" si="308"/>
        <v>0</v>
      </c>
      <c r="BD533" s="3264">
        <f t="shared" si="309"/>
        <v>0</v>
      </c>
      <c r="BE533" s="3264">
        <f t="shared" si="310"/>
        <v>0</v>
      </c>
      <c r="BF533" s="3264">
        <f t="shared" si="311"/>
        <v>0</v>
      </c>
      <c r="BG533" s="3264">
        <f t="shared" si="312"/>
        <v>0</v>
      </c>
      <c r="BH533" s="3264">
        <f t="shared" si="313"/>
        <v>0</v>
      </c>
      <c r="BI533" s="3264">
        <f t="shared" si="314"/>
        <v>0</v>
      </c>
      <c r="BJ533" s="3264">
        <f t="shared" si="315"/>
        <v>0</v>
      </c>
      <c r="BK533" s="3264">
        <f t="shared" si="316"/>
        <v>0</v>
      </c>
      <c r="BL533" s="3264">
        <f t="shared" si="317"/>
        <v>0</v>
      </c>
      <c r="BM533" s="3264">
        <f t="shared" si="318"/>
        <v>0</v>
      </c>
      <c r="BN533" s="3264">
        <f t="shared" si="319"/>
        <v>0</v>
      </c>
      <c r="BO533" s="3264">
        <f t="shared" si="320"/>
        <v>0</v>
      </c>
      <c r="BP533" s="3264">
        <f t="shared" si="321"/>
        <v>0</v>
      </c>
      <c r="BQ533" s="3264">
        <f t="shared" si="322"/>
        <v>0</v>
      </c>
      <c r="BR533" s="3264">
        <f t="shared" si="323"/>
        <v>0</v>
      </c>
      <c r="BS533" s="3264">
        <f t="shared" si="324"/>
        <v>0</v>
      </c>
      <c r="BT533" s="3317">
        <f t="shared" si="325"/>
        <v>0</v>
      </c>
    </row>
    <row r="534" spans="1:72">
      <c r="A534" s="3262"/>
      <c r="B534" s="3263"/>
      <c r="C534" s="3263"/>
      <c r="D534" s="3268"/>
      <c r="E534" s="3264">
        <f t="shared" si="297"/>
        <v>0</v>
      </c>
      <c r="F534" s="3265"/>
      <c r="G534" s="3266">
        <f t="shared" si="301"/>
        <v>0</v>
      </c>
      <c r="H534" s="3267">
        <f t="shared" si="302"/>
        <v>0</v>
      </c>
      <c r="I534" s="3275"/>
      <c r="J534" s="3275"/>
      <c r="K534" s="3275"/>
      <c r="L534" s="3275"/>
      <c r="M534" s="3275"/>
      <c r="N534" s="3275"/>
      <c r="O534" s="3275"/>
      <c r="P534" s="3275"/>
      <c r="Q534" s="3275"/>
      <c r="R534" s="3275"/>
      <c r="S534" s="3275"/>
      <c r="T534" s="3275"/>
      <c r="U534" s="3275"/>
      <c r="V534" s="3275"/>
      <c r="W534" s="3275"/>
      <c r="X534" s="3275"/>
      <c r="Y534" s="3275"/>
      <c r="Z534" s="3275"/>
      <c r="AA534" s="3275"/>
      <c r="AB534" s="3275"/>
      <c r="AC534" s="3264">
        <f t="shared" si="303"/>
        <v>0</v>
      </c>
      <c r="AD534" s="3285"/>
      <c r="AE534" s="3285"/>
      <c r="AF534" s="3285"/>
      <c r="AG534" s="3285"/>
      <c r="AH534" s="3285"/>
      <c r="AI534" s="3285"/>
      <c r="AJ534" s="3285"/>
      <c r="AK534" s="3285"/>
      <c r="AL534" s="3285"/>
      <c r="AM534" s="3285"/>
      <c r="AN534" s="3285"/>
      <c r="AO534" s="3285"/>
      <c r="AP534" s="3285"/>
      <c r="AQ534" s="3285"/>
      <c r="AR534" s="3285"/>
      <c r="AS534" s="3285"/>
      <c r="AT534" s="3295"/>
      <c r="AU534" s="3296"/>
      <c r="AV534" s="830">
        <f t="shared" si="298"/>
        <v>0</v>
      </c>
      <c r="AW534" s="830">
        <f t="shared" si="299"/>
        <v>0</v>
      </c>
      <c r="AX534" s="830">
        <f t="shared" si="300"/>
        <v>0</v>
      </c>
      <c r="AY534" s="3310">
        <f t="shared" si="304"/>
        <v>0</v>
      </c>
      <c r="AZ534" s="3264">
        <f t="shared" si="305"/>
        <v>0</v>
      </c>
      <c r="BA534" s="3264">
        <f t="shared" si="306"/>
        <v>0</v>
      </c>
      <c r="BB534" s="3264">
        <f t="shared" si="307"/>
        <v>0</v>
      </c>
      <c r="BC534" s="3264">
        <f t="shared" si="308"/>
        <v>0</v>
      </c>
      <c r="BD534" s="3264">
        <f t="shared" si="309"/>
        <v>0</v>
      </c>
      <c r="BE534" s="3264">
        <f t="shared" si="310"/>
        <v>0</v>
      </c>
      <c r="BF534" s="3264">
        <f t="shared" si="311"/>
        <v>0</v>
      </c>
      <c r="BG534" s="3264">
        <f t="shared" si="312"/>
        <v>0</v>
      </c>
      <c r="BH534" s="3264">
        <f t="shared" si="313"/>
        <v>0</v>
      </c>
      <c r="BI534" s="3264">
        <f t="shared" si="314"/>
        <v>0</v>
      </c>
      <c r="BJ534" s="3264">
        <f t="shared" si="315"/>
        <v>0</v>
      </c>
      <c r="BK534" s="3264">
        <f t="shared" si="316"/>
        <v>0</v>
      </c>
      <c r="BL534" s="3264">
        <f t="shared" si="317"/>
        <v>0</v>
      </c>
      <c r="BM534" s="3264">
        <f t="shared" si="318"/>
        <v>0</v>
      </c>
      <c r="BN534" s="3264">
        <f t="shared" si="319"/>
        <v>0</v>
      </c>
      <c r="BO534" s="3264">
        <f t="shared" si="320"/>
        <v>0</v>
      </c>
      <c r="BP534" s="3264">
        <f t="shared" si="321"/>
        <v>0</v>
      </c>
      <c r="BQ534" s="3264">
        <f t="shared" si="322"/>
        <v>0</v>
      </c>
      <c r="BR534" s="3264">
        <f t="shared" si="323"/>
        <v>0</v>
      </c>
      <c r="BS534" s="3264">
        <f t="shared" si="324"/>
        <v>0</v>
      </c>
      <c r="BT534" s="3317">
        <f t="shared" si="325"/>
        <v>0</v>
      </c>
    </row>
    <row r="535" spans="1:72">
      <c r="A535" s="3262"/>
      <c r="B535" s="3263"/>
      <c r="C535" s="3263"/>
      <c r="D535" s="3268"/>
      <c r="E535" s="3264">
        <f t="shared" si="297"/>
        <v>0</v>
      </c>
      <c r="F535" s="3265"/>
      <c r="G535" s="3266">
        <f t="shared" si="301"/>
        <v>0</v>
      </c>
      <c r="H535" s="3267">
        <f t="shared" si="302"/>
        <v>0</v>
      </c>
      <c r="I535" s="3275"/>
      <c r="J535" s="3275"/>
      <c r="K535" s="3275"/>
      <c r="L535" s="3275"/>
      <c r="M535" s="3275"/>
      <c r="N535" s="3275"/>
      <c r="O535" s="3275"/>
      <c r="P535" s="3275"/>
      <c r="Q535" s="3275"/>
      <c r="R535" s="3275"/>
      <c r="S535" s="3275"/>
      <c r="T535" s="3275"/>
      <c r="U535" s="3275"/>
      <c r="V535" s="3275"/>
      <c r="W535" s="3275"/>
      <c r="X535" s="3275"/>
      <c r="Y535" s="3275"/>
      <c r="Z535" s="3275"/>
      <c r="AA535" s="3275"/>
      <c r="AB535" s="3275"/>
      <c r="AC535" s="3264">
        <f t="shared" si="303"/>
        <v>0</v>
      </c>
      <c r="AD535" s="3285"/>
      <c r="AE535" s="3285"/>
      <c r="AF535" s="3285"/>
      <c r="AG535" s="3285"/>
      <c r="AH535" s="3285"/>
      <c r="AI535" s="3285"/>
      <c r="AJ535" s="3285"/>
      <c r="AK535" s="3285"/>
      <c r="AL535" s="3285"/>
      <c r="AM535" s="3285"/>
      <c r="AN535" s="3285"/>
      <c r="AO535" s="3285"/>
      <c r="AP535" s="3285"/>
      <c r="AQ535" s="3285"/>
      <c r="AR535" s="3285"/>
      <c r="AS535" s="3285"/>
      <c r="AT535" s="3295"/>
      <c r="AU535" s="3296"/>
      <c r="AV535" s="830">
        <f t="shared" si="298"/>
        <v>0</v>
      </c>
      <c r="AW535" s="830">
        <f t="shared" si="299"/>
        <v>0</v>
      </c>
      <c r="AX535" s="830">
        <f t="shared" si="300"/>
        <v>0</v>
      </c>
      <c r="AY535" s="3310">
        <f t="shared" si="304"/>
        <v>0</v>
      </c>
      <c r="AZ535" s="3264">
        <f t="shared" si="305"/>
        <v>0</v>
      </c>
      <c r="BA535" s="3264">
        <f t="shared" si="306"/>
        <v>0</v>
      </c>
      <c r="BB535" s="3264">
        <f t="shared" si="307"/>
        <v>0</v>
      </c>
      <c r="BC535" s="3264">
        <f t="shared" si="308"/>
        <v>0</v>
      </c>
      <c r="BD535" s="3264">
        <f t="shared" si="309"/>
        <v>0</v>
      </c>
      <c r="BE535" s="3264">
        <f t="shared" si="310"/>
        <v>0</v>
      </c>
      <c r="BF535" s="3264">
        <f t="shared" si="311"/>
        <v>0</v>
      </c>
      <c r="BG535" s="3264">
        <f t="shared" si="312"/>
        <v>0</v>
      </c>
      <c r="BH535" s="3264">
        <f t="shared" si="313"/>
        <v>0</v>
      </c>
      <c r="BI535" s="3264">
        <f t="shared" si="314"/>
        <v>0</v>
      </c>
      <c r="BJ535" s="3264">
        <f t="shared" si="315"/>
        <v>0</v>
      </c>
      <c r="BK535" s="3264">
        <f t="shared" si="316"/>
        <v>0</v>
      </c>
      <c r="BL535" s="3264">
        <f t="shared" si="317"/>
        <v>0</v>
      </c>
      <c r="BM535" s="3264">
        <f t="shared" si="318"/>
        <v>0</v>
      </c>
      <c r="BN535" s="3264">
        <f t="shared" si="319"/>
        <v>0</v>
      </c>
      <c r="BO535" s="3264">
        <f t="shared" si="320"/>
        <v>0</v>
      </c>
      <c r="BP535" s="3264">
        <f t="shared" si="321"/>
        <v>0</v>
      </c>
      <c r="BQ535" s="3264">
        <f t="shared" si="322"/>
        <v>0</v>
      </c>
      <c r="BR535" s="3264">
        <f t="shared" si="323"/>
        <v>0</v>
      </c>
      <c r="BS535" s="3264">
        <f t="shared" si="324"/>
        <v>0</v>
      </c>
      <c r="BT535" s="3317">
        <f t="shared" si="325"/>
        <v>0</v>
      </c>
    </row>
    <row r="536" spans="1:72">
      <c r="A536" s="3262"/>
      <c r="B536" s="3263"/>
      <c r="C536" s="3263"/>
      <c r="D536" s="3268"/>
      <c r="E536" s="3264">
        <f t="shared" si="297"/>
        <v>0</v>
      </c>
      <c r="F536" s="3265"/>
      <c r="G536" s="3266">
        <f t="shared" si="301"/>
        <v>0</v>
      </c>
      <c r="H536" s="3267">
        <f t="shared" si="302"/>
        <v>0</v>
      </c>
      <c r="I536" s="3275"/>
      <c r="J536" s="3275"/>
      <c r="K536" s="3275"/>
      <c r="L536" s="3275"/>
      <c r="M536" s="3275"/>
      <c r="N536" s="3275"/>
      <c r="O536" s="3275"/>
      <c r="P536" s="3275"/>
      <c r="Q536" s="3275"/>
      <c r="R536" s="3275"/>
      <c r="S536" s="3275"/>
      <c r="T536" s="3275"/>
      <c r="U536" s="3275"/>
      <c r="V536" s="3275"/>
      <c r="W536" s="3275"/>
      <c r="X536" s="3275"/>
      <c r="Y536" s="3275"/>
      <c r="Z536" s="3275"/>
      <c r="AA536" s="3275"/>
      <c r="AB536" s="3275"/>
      <c r="AC536" s="3264">
        <f t="shared" si="303"/>
        <v>0</v>
      </c>
      <c r="AD536" s="3285"/>
      <c r="AE536" s="3285"/>
      <c r="AF536" s="3285"/>
      <c r="AG536" s="3285"/>
      <c r="AH536" s="3285"/>
      <c r="AI536" s="3285"/>
      <c r="AJ536" s="3285"/>
      <c r="AK536" s="3285"/>
      <c r="AL536" s="3285"/>
      <c r="AM536" s="3285"/>
      <c r="AN536" s="3285"/>
      <c r="AO536" s="3285"/>
      <c r="AP536" s="3285"/>
      <c r="AQ536" s="3285"/>
      <c r="AR536" s="3285"/>
      <c r="AS536" s="3285"/>
      <c r="AT536" s="3295"/>
      <c r="AU536" s="3296"/>
      <c r="AV536" s="830">
        <f t="shared" si="298"/>
        <v>0</v>
      </c>
      <c r="AW536" s="830">
        <f t="shared" si="299"/>
        <v>0</v>
      </c>
      <c r="AX536" s="830">
        <f t="shared" si="300"/>
        <v>0</v>
      </c>
      <c r="AY536" s="3310">
        <f t="shared" si="304"/>
        <v>0</v>
      </c>
      <c r="AZ536" s="3264">
        <f t="shared" si="305"/>
        <v>0</v>
      </c>
      <c r="BA536" s="3264">
        <f t="shared" si="306"/>
        <v>0</v>
      </c>
      <c r="BB536" s="3264">
        <f t="shared" si="307"/>
        <v>0</v>
      </c>
      <c r="BC536" s="3264">
        <f t="shared" si="308"/>
        <v>0</v>
      </c>
      <c r="BD536" s="3264">
        <f t="shared" si="309"/>
        <v>0</v>
      </c>
      <c r="BE536" s="3264">
        <f t="shared" si="310"/>
        <v>0</v>
      </c>
      <c r="BF536" s="3264">
        <f t="shared" si="311"/>
        <v>0</v>
      </c>
      <c r="BG536" s="3264">
        <f t="shared" si="312"/>
        <v>0</v>
      </c>
      <c r="BH536" s="3264">
        <f t="shared" si="313"/>
        <v>0</v>
      </c>
      <c r="BI536" s="3264">
        <f t="shared" si="314"/>
        <v>0</v>
      </c>
      <c r="BJ536" s="3264">
        <f t="shared" si="315"/>
        <v>0</v>
      </c>
      <c r="BK536" s="3264">
        <f t="shared" si="316"/>
        <v>0</v>
      </c>
      <c r="BL536" s="3264">
        <f t="shared" si="317"/>
        <v>0</v>
      </c>
      <c r="BM536" s="3264">
        <f t="shared" si="318"/>
        <v>0</v>
      </c>
      <c r="BN536" s="3264">
        <f t="shared" si="319"/>
        <v>0</v>
      </c>
      <c r="BO536" s="3264">
        <f t="shared" si="320"/>
        <v>0</v>
      </c>
      <c r="BP536" s="3264">
        <f t="shared" si="321"/>
        <v>0</v>
      </c>
      <c r="BQ536" s="3264">
        <f t="shared" si="322"/>
        <v>0</v>
      </c>
      <c r="BR536" s="3264">
        <f t="shared" si="323"/>
        <v>0</v>
      </c>
      <c r="BS536" s="3264">
        <f t="shared" si="324"/>
        <v>0</v>
      </c>
      <c r="BT536" s="3317">
        <f t="shared" si="325"/>
        <v>0</v>
      </c>
    </row>
    <row r="537" spans="1:72">
      <c r="A537" s="3262"/>
      <c r="B537" s="3263"/>
      <c r="C537" s="3263"/>
      <c r="D537" s="3268"/>
      <c r="E537" s="3264">
        <f t="shared" si="297"/>
        <v>0</v>
      </c>
      <c r="F537" s="3265"/>
      <c r="G537" s="3266">
        <f t="shared" si="301"/>
        <v>0</v>
      </c>
      <c r="H537" s="3267">
        <f t="shared" si="302"/>
        <v>0</v>
      </c>
      <c r="I537" s="3275"/>
      <c r="J537" s="3275"/>
      <c r="K537" s="3275"/>
      <c r="L537" s="3275"/>
      <c r="M537" s="3275"/>
      <c r="N537" s="3275"/>
      <c r="O537" s="3275"/>
      <c r="P537" s="3275"/>
      <c r="Q537" s="3275"/>
      <c r="R537" s="3275"/>
      <c r="S537" s="3275"/>
      <c r="T537" s="3275"/>
      <c r="U537" s="3275"/>
      <c r="V537" s="3275"/>
      <c r="W537" s="3275"/>
      <c r="X537" s="3275"/>
      <c r="Y537" s="3275"/>
      <c r="Z537" s="3275"/>
      <c r="AA537" s="3275"/>
      <c r="AB537" s="3275"/>
      <c r="AC537" s="3264">
        <f t="shared" si="303"/>
        <v>0</v>
      </c>
      <c r="AD537" s="3285"/>
      <c r="AE537" s="3285"/>
      <c r="AF537" s="3285"/>
      <c r="AG537" s="3285"/>
      <c r="AH537" s="3285"/>
      <c r="AI537" s="3285"/>
      <c r="AJ537" s="3285"/>
      <c r="AK537" s="3285"/>
      <c r="AL537" s="3285"/>
      <c r="AM537" s="3285"/>
      <c r="AN537" s="3285"/>
      <c r="AO537" s="3285"/>
      <c r="AP537" s="3285"/>
      <c r="AQ537" s="3285"/>
      <c r="AR537" s="3285"/>
      <c r="AS537" s="3285"/>
      <c r="AT537" s="3295"/>
      <c r="AU537" s="3296"/>
      <c r="AV537" s="830">
        <f t="shared" si="298"/>
        <v>0</v>
      </c>
      <c r="AW537" s="830">
        <f t="shared" si="299"/>
        <v>0</v>
      </c>
      <c r="AX537" s="830">
        <f t="shared" si="300"/>
        <v>0</v>
      </c>
      <c r="AY537" s="3310">
        <f t="shared" si="304"/>
        <v>0</v>
      </c>
      <c r="AZ537" s="3264">
        <f t="shared" si="305"/>
        <v>0</v>
      </c>
      <c r="BA537" s="3264">
        <f t="shared" si="306"/>
        <v>0</v>
      </c>
      <c r="BB537" s="3264">
        <f t="shared" si="307"/>
        <v>0</v>
      </c>
      <c r="BC537" s="3264">
        <f t="shared" si="308"/>
        <v>0</v>
      </c>
      <c r="BD537" s="3264">
        <f t="shared" si="309"/>
        <v>0</v>
      </c>
      <c r="BE537" s="3264">
        <f t="shared" si="310"/>
        <v>0</v>
      </c>
      <c r="BF537" s="3264">
        <f t="shared" si="311"/>
        <v>0</v>
      </c>
      <c r="BG537" s="3264">
        <f t="shared" si="312"/>
        <v>0</v>
      </c>
      <c r="BH537" s="3264">
        <f t="shared" si="313"/>
        <v>0</v>
      </c>
      <c r="BI537" s="3264">
        <f t="shared" si="314"/>
        <v>0</v>
      </c>
      <c r="BJ537" s="3264">
        <f t="shared" si="315"/>
        <v>0</v>
      </c>
      <c r="BK537" s="3264">
        <f t="shared" si="316"/>
        <v>0</v>
      </c>
      <c r="BL537" s="3264">
        <f t="shared" si="317"/>
        <v>0</v>
      </c>
      <c r="BM537" s="3264">
        <f t="shared" si="318"/>
        <v>0</v>
      </c>
      <c r="BN537" s="3264">
        <f t="shared" si="319"/>
        <v>0</v>
      </c>
      <c r="BO537" s="3264">
        <f t="shared" si="320"/>
        <v>0</v>
      </c>
      <c r="BP537" s="3264">
        <f t="shared" si="321"/>
        <v>0</v>
      </c>
      <c r="BQ537" s="3264">
        <f t="shared" si="322"/>
        <v>0</v>
      </c>
      <c r="BR537" s="3264">
        <f t="shared" si="323"/>
        <v>0</v>
      </c>
      <c r="BS537" s="3264">
        <f t="shared" si="324"/>
        <v>0</v>
      </c>
      <c r="BT537" s="3317">
        <f t="shared" si="325"/>
        <v>0</v>
      </c>
    </row>
    <row r="538" spans="1:72">
      <c r="A538" s="3262"/>
      <c r="B538" s="3263"/>
      <c r="C538" s="3263"/>
      <c r="D538" s="3268"/>
      <c r="E538" s="3264">
        <f t="shared" si="297"/>
        <v>0</v>
      </c>
      <c r="F538" s="3265"/>
      <c r="G538" s="3266">
        <f t="shared" si="301"/>
        <v>0</v>
      </c>
      <c r="H538" s="3267">
        <f t="shared" si="302"/>
        <v>0</v>
      </c>
      <c r="I538" s="3275"/>
      <c r="J538" s="3275"/>
      <c r="K538" s="3275"/>
      <c r="L538" s="3275"/>
      <c r="M538" s="3275"/>
      <c r="N538" s="3275"/>
      <c r="O538" s="3275"/>
      <c r="P538" s="3275"/>
      <c r="Q538" s="3275"/>
      <c r="R538" s="3275"/>
      <c r="S538" s="3275"/>
      <c r="T538" s="3275"/>
      <c r="U538" s="3275"/>
      <c r="V538" s="3275"/>
      <c r="W538" s="3275"/>
      <c r="X538" s="3275"/>
      <c r="Y538" s="3275"/>
      <c r="Z538" s="3275"/>
      <c r="AA538" s="3275"/>
      <c r="AB538" s="3275"/>
      <c r="AC538" s="3264">
        <f t="shared" si="303"/>
        <v>0</v>
      </c>
      <c r="AD538" s="3285"/>
      <c r="AE538" s="3285"/>
      <c r="AF538" s="3285"/>
      <c r="AG538" s="3285"/>
      <c r="AH538" s="3285"/>
      <c r="AI538" s="3285"/>
      <c r="AJ538" s="3285"/>
      <c r="AK538" s="3285"/>
      <c r="AL538" s="3285"/>
      <c r="AM538" s="3285"/>
      <c r="AN538" s="3285"/>
      <c r="AO538" s="3285"/>
      <c r="AP538" s="3285"/>
      <c r="AQ538" s="3285"/>
      <c r="AR538" s="3285"/>
      <c r="AS538" s="3285"/>
      <c r="AT538" s="3295"/>
      <c r="AU538" s="3296"/>
      <c r="AV538" s="830">
        <f t="shared" si="298"/>
        <v>0</v>
      </c>
      <c r="AW538" s="830">
        <f t="shared" si="299"/>
        <v>0</v>
      </c>
      <c r="AX538" s="830">
        <f t="shared" si="300"/>
        <v>0</v>
      </c>
      <c r="AY538" s="3310">
        <f t="shared" si="304"/>
        <v>0</v>
      </c>
      <c r="AZ538" s="3264">
        <f t="shared" si="305"/>
        <v>0</v>
      </c>
      <c r="BA538" s="3264">
        <f t="shared" si="306"/>
        <v>0</v>
      </c>
      <c r="BB538" s="3264">
        <f t="shared" si="307"/>
        <v>0</v>
      </c>
      <c r="BC538" s="3264">
        <f t="shared" si="308"/>
        <v>0</v>
      </c>
      <c r="BD538" s="3264">
        <f t="shared" si="309"/>
        <v>0</v>
      </c>
      <c r="BE538" s="3264">
        <f t="shared" si="310"/>
        <v>0</v>
      </c>
      <c r="BF538" s="3264">
        <f t="shared" si="311"/>
        <v>0</v>
      </c>
      <c r="BG538" s="3264">
        <f t="shared" si="312"/>
        <v>0</v>
      </c>
      <c r="BH538" s="3264">
        <f t="shared" si="313"/>
        <v>0</v>
      </c>
      <c r="BI538" s="3264">
        <f t="shared" si="314"/>
        <v>0</v>
      </c>
      <c r="BJ538" s="3264">
        <f t="shared" si="315"/>
        <v>0</v>
      </c>
      <c r="BK538" s="3264">
        <f t="shared" si="316"/>
        <v>0</v>
      </c>
      <c r="BL538" s="3264">
        <f t="shared" si="317"/>
        <v>0</v>
      </c>
      <c r="BM538" s="3264">
        <f t="shared" si="318"/>
        <v>0</v>
      </c>
      <c r="BN538" s="3264">
        <f t="shared" si="319"/>
        <v>0</v>
      </c>
      <c r="BO538" s="3264">
        <f t="shared" si="320"/>
        <v>0</v>
      </c>
      <c r="BP538" s="3264">
        <f t="shared" si="321"/>
        <v>0</v>
      </c>
      <c r="BQ538" s="3264">
        <f t="shared" si="322"/>
        <v>0</v>
      </c>
      <c r="BR538" s="3264">
        <f t="shared" si="323"/>
        <v>0</v>
      </c>
      <c r="BS538" s="3264">
        <f t="shared" si="324"/>
        <v>0</v>
      </c>
      <c r="BT538" s="3317">
        <f t="shared" si="325"/>
        <v>0</v>
      </c>
    </row>
    <row r="539" spans="1:72">
      <c r="A539" s="3262"/>
      <c r="B539" s="3263"/>
      <c r="C539" s="3263"/>
      <c r="D539" s="3268"/>
      <c r="E539" s="3264">
        <f t="shared" si="297"/>
        <v>0</v>
      </c>
      <c r="F539" s="3265"/>
      <c r="G539" s="3266">
        <f t="shared" si="301"/>
        <v>0</v>
      </c>
      <c r="H539" s="3267">
        <f t="shared" si="302"/>
        <v>0</v>
      </c>
      <c r="I539" s="3275"/>
      <c r="J539" s="3275"/>
      <c r="K539" s="3275"/>
      <c r="L539" s="3275"/>
      <c r="M539" s="3275"/>
      <c r="N539" s="3275"/>
      <c r="O539" s="3275"/>
      <c r="P539" s="3275"/>
      <c r="Q539" s="3275"/>
      <c r="R539" s="3275"/>
      <c r="S539" s="3275"/>
      <c r="T539" s="3275"/>
      <c r="U539" s="3275"/>
      <c r="V539" s="3275"/>
      <c r="W539" s="3275"/>
      <c r="X539" s="3275"/>
      <c r="Y539" s="3275"/>
      <c r="Z539" s="3275"/>
      <c r="AA539" s="3275"/>
      <c r="AB539" s="3275"/>
      <c r="AC539" s="3264">
        <f t="shared" si="303"/>
        <v>0</v>
      </c>
      <c r="AD539" s="3285"/>
      <c r="AE539" s="3285"/>
      <c r="AF539" s="3285"/>
      <c r="AG539" s="3285"/>
      <c r="AH539" s="3285"/>
      <c r="AI539" s="3285"/>
      <c r="AJ539" s="3285"/>
      <c r="AK539" s="3285"/>
      <c r="AL539" s="3285"/>
      <c r="AM539" s="3285"/>
      <c r="AN539" s="3285"/>
      <c r="AO539" s="3285"/>
      <c r="AP539" s="3285"/>
      <c r="AQ539" s="3285"/>
      <c r="AR539" s="3285"/>
      <c r="AS539" s="3285"/>
      <c r="AT539" s="3295"/>
      <c r="AU539" s="3296"/>
      <c r="AV539" s="830">
        <f t="shared" si="298"/>
        <v>0</v>
      </c>
      <c r="AW539" s="830">
        <f t="shared" si="299"/>
        <v>0</v>
      </c>
      <c r="AX539" s="830">
        <f t="shared" si="300"/>
        <v>0</v>
      </c>
      <c r="AY539" s="3310">
        <f t="shared" si="304"/>
        <v>0</v>
      </c>
      <c r="AZ539" s="3264">
        <f t="shared" si="305"/>
        <v>0</v>
      </c>
      <c r="BA539" s="3264">
        <f t="shared" si="306"/>
        <v>0</v>
      </c>
      <c r="BB539" s="3264">
        <f t="shared" si="307"/>
        <v>0</v>
      </c>
      <c r="BC539" s="3264">
        <f t="shared" si="308"/>
        <v>0</v>
      </c>
      <c r="BD539" s="3264">
        <f t="shared" si="309"/>
        <v>0</v>
      </c>
      <c r="BE539" s="3264">
        <f t="shared" si="310"/>
        <v>0</v>
      </c>
      <c r="BF539" s="3264">
        <f t="shared" si="311"/>
        <v>0</v>
      </c>
      <c r="BG539" s="3264">
        <f t="shared" si="312"/>
        <v>0</v>
      </c>
      <c r="BH539" s="3264">
        <f t="shared" si="313"/>
        <v>0</v>
      </c>
      <c r="BI539" s="3264">
        <f t="shared" si="314"/>
        <v>0</v>
      </c>
      <c r="BJ539" s="3264">
        <f t="shared" si="315"/>
        <v>0</v>
      </c>
      <c r="BK539" s="3264">
        <f t="shared" si="316"/>
        <v>0</v>
      </c>
      <c r="BL539" s="3264">
        <f t="shared" si="317"/>
        <v>0</v>
      </c>
      <c r="BM539" s="3264">
        <f t="shared" si="318"/>
        <v>0</v>
      </c>
      <c r="BN539" s="3264">
        <f t="shared" si="319"/>
        <v>0</v>
      </c>
      <c r="BO539" s="3264">
        <f t="shared" si="320"/>
        <v>0</v>
      </c>
      <c r="BP539" s="3264">
        <f t="shared" si="321"/>
        <v>0</v>
      </c>
      <c r="BQ539" s="3264">
        <f t="shared" si="322"/>
        <v>0</v>
      </c>
      <c r="BR539" s="3264">
        <f t="shared" si="323"/>
        <v>0</v>
      </c>
      <c r="BS539" s="3264">
        <f t="shared" si="324"/>
        <v>0</v>
      </c>
      <c r="BT539" s="3317">
        <f t="shared" si="325"/>
        <v>0</v>
      </c>
    </row>
    <row r="540" spans="1:72">
      <c r="A540" s="3262"/>
      <c r="B540" s="3263"/>
      <c r="C540" s="3263"/>
      <c r="D540" s="3268"/>
      <c r="E540" s="3264">
        <f t="shared" si="297"/>
        <v>0</v>
      </c>
      <c r="F540" s="3265"/>
      <c r="G540" s="3266">
        <f t="shared" si="301"/>
        <v>0</v>
      </c>
      <c r="H540" s="3267">
        <f t="shared" si="302"/>
        <v>0</v>
      </c>
      <c r="I540" s="3275"/>
      <c r="J540" s="3275"/>
      <c r="K540" s="3275"/>
      <c r="L540" s="3275"/>
      <c r="M540" s="3275"/>
      <c r="N540" s="3275"/>
      <c r="O540" s="3275"/>
      <c r="P540" s="3275"/>
      <c r="Q540" s="3275"/>
      <c r="R540" s="3275"/>
      <c r="S540" s="3275"/>
      <c r="T540" s="3275"/>
      <c r="U540" s="3275"/>
      <c r="V540" s="3275"/>
      <c r="W540" s="3275"/>
      <c r="X540" s="3275"/>
      <c r="Y540" s="3275"/>
      <c r="Z540" s="3275"/>
      <c r="AA540" s="3275"/>
      <c r="AB540" s="3275"/>
      <c r="AC540" s="3264">
        <f t="shared" si="303"/>
        <v>0</v>
      </c>
      <c r="AD540" s="3285"/>
      <c r="AE540" s="3285"/>
      <c r="AF540" s="3285"/>
      <c r="AG540" s="3285"/>
      <c r="AH540" s="3285"/>
      <c r="AI540" s="3285"/>
      <c r="AJ540" s="3285"/>
      <c r="AK540" s="3285"/>
      <c r="AL540" s="3285"/>
      <c r="AM540" s="3285"/>
      <c r="AN540" s="3285"/>
      <c r="AO540" s="3285"/>
      <c r="AP540" s="3285"/>
      <c r="AQ540" s="3285"/>
      <c r="AR540" s="3285"/>
      <c r="AS540" s="3285"/>
      <c r="AT540" s="3295"/>
      <c r="AU540" s="3296"/>
      <c r="AV540" s="830">
        <f t="shared" si="298"/>
        <v>0</v>
      </c>
      <c r="AW540" s="830">
        <f t="shared" si="299"/>
        <v>0</v>
      </c>
      <c r="AX540" s="830">
        <f t="shared" si="300"/>
        <v>0</v>
      </c>
      <c r="AY540" s="3310">
        <f t="shared" si="304"/>
        <v>0</v>
      </c>
      <c r="AZ540" s="3264">
        <f t="shared" si="305"/>
        <v>0</v>
      </c>
      <c r="BA540" s="3264">
        <f t="shared" si="306"/>
        <v>0</v>
      </c>
      <c r="BB540" s="3264">
        <f t="shared" si="307"/>
        <v>0</v>
      </c>
      <c r="BC540" s="3264">
        <f t="shared" si="308"/>
        <v>0</v>
      </c>
      <c r="BD540" s="3264">
        <f t="shared" si="309"/>
        <v>0</v>
      </c>
      <c r="BE540" s="3264">
        <f t="shared" si="310"/>
        <v>0</v>
      </c>
      <c r="BF540" s="3264">
        <f t="shared" si="311"/>
        <v>0</v>
      </c>
      <c r="BG540" s="3264">
        <f t="shared" si="312"/>
        <v>0</v>
      </c>
      <c r="BH540" s="3264">
        <f t="shared" si="313"/>
        <v>0</v>
      </c>
      <c r="BI540" s="3264">
        <f t="shared" si="314"/>
        <v>0</v>
      </c>
      <c r="BJ540" s="3264">
        <f t="shared" si="315"/>
        <v>0</v>
      </c>
      <c r="BK540" s="3264">
        <f t="shared" si="316"/>
        <v>0</v>
      </c>
      <c r="BL540" s="3264">
        <f t="shared" si="317"/>
        <v>0</v>
      </c>
      <c r="BM540" s="3264">
        <f t="shared" si="318"/>
        <v>0</v>
      </c>
      <c r="BN540" s="3264">
        <f t="shared" si="319"/>
        <v>0</v>
      </c>
      <c r="BO540" s="3264">
        <f t="shared" si="320"/>
        <v>0</v>
      </c>
      <c r="BP540" s="3264">
        <f t="shared" si="321"/>
        <v>0</v>
      </c>
      <c r="BQ540" s="3264">
        <f t="shared" si="322"/>
        <v>0</v>
      </c>
      <c r="BR540" s="3264">
        <f t="shared" si="323"/>
        <v>0</v>
      </c>
      <c r="BS540" s="3264">
        <f t="shared" si="324"/>
        <v>0</v>
      </c>
      <c r="BT540" s="3317">
        <f t="shared" si="325"/>
        <v>0</v>
      </c>
    </row>
    <row r="541" spans="1:72">
      <c r="A541" s="3262"/>
      <c r="B541" s="3263"/>
      <c r="C541" s="3263"/>
      <c r="D541" s="3268"/>
      <c r="E541" s="3264">
        <f t="shared" si="297"/>
        <v>0</v>
      </c>
      <c r="F541" s="3265"/>
      <c r="G541" s="3266">
        <f t="shared" si="301"/>
        <v>0</v>
      </c>
      <c r="H541" s="3267">
        <f t="shared" si="302"/>
        <v>0</v>
      </c>
      <c r="I541" s="3275"/>
      <c r="J541" s="3275"/>
      <c r="K541" s="3275"/>
      <c r="L541" s="3275"/>
      <c r="M541" s="3275"/>
      <c r="N541" s="3275"/>
      <c r="O541" s="3275"/>
      <c r="P541" s="3275"/>
      <c r="Q541" s="3275"/>
      <c r="R541" s="3275"/>
      <c r="S541" s="3275"/>
      <c r="T541" s="3275"/>
      <c r="U541" s="3275"/>
      <c r="V541" s="3275"/>
      <c r="W541" s="3275"/>
      <c r="X541" s="3275"/>
      <c r="Y541" s="3275"/>
      <c r="Z541" s="3275"/>
      <c r="AA541" s="3275"/>
      <c r="AB541" s="3275"/>
      <c r="AC541" s="3264">
        <f t="shared" si="303"/>
        <v>0</v>
      </c>
      <c r="AD541" s="3285"/>
      <c r="AE541" s="3285"/>
      <c r="AF541" s="3285"/>
      <c r="AG541" s="3285"/>
      <c r="AH541" s="3285"/>
      <c r="AI541" s="3285"/>
      <c r="AJ541" s="3285"/>
      <c r="AK541" s="3285"/>
      <c r="AL541" s="3285"/>
      <c r="AM541" s="3285"/>
      <c r="AN541" s="3285"/>
      <c r="AO541" s="3285"/>
      <c r="AP541" s="3285"/>
      <c r="AQ541" s="3285"/>
      <c r="AR541" s="3285"/>
      <c r="AS541" s="3285"/>
      <c r="AT541" s="3295"/>
      <c r="AU541" s="3296"/>
      <c r="AV541" s="830">
        <f t="shared" si="298"/>
        <v>0</v>
      </c>
      <c r="AW541" s="830">
        <f t="shared" si="299"/>
        <v>0</v>
      </c>
      <c r="AX541" s="830">
        <f t="shared" si="300"/>
        <v>0</v>
      </c>
      <c r="AY541" s="3310">
        <f t="shared" si="304"/>
        <v>0</v>
      </c>
      <c r="AZ541" s="3264">
        <f t="shared" si="305"/>
        <v>0</v>
      </c>
      <c r="BA541" s="3264">
        <f t="shared" si="306"/>
        <v>0</v>
      </c>
      <c r="BB541" s="3264">
        <f t="shared" si="307"/>
        <v>0</v>
      </c>
      <c r="BC541" s="3264">
        <f t="shared" si="308"/>
        <v>0</v>
      </c>
      <c r="BD541" s="3264">
        <f t="shared" si="309"/>
        <v>0</v>
      </c>
      <c r="BE541" s="3264">
        <f t="shared" si="310"/>
        <v>0</v>
      </c>
      <c r="BF541" s="3264">
        <f t="shared" si="311"/>
        <v>0</v>
      </c>
      <c r="BG541" s="3264">
        <f t="shared" si="312"/>
        <v>0</v>
      </c>
      <c r="BH541" s="3264">
        <f t="shared" si="313"/>
        <v>0</v>
      </c>
      <c r="BI541" s="3264">
        <f t="shared" si="314"/>
        <v>0</v>
      </c>
      <c r="BJ541" s="3264">
        <f t="shared" si="315"/>
        <v>0</v>
      </c>
      <c r="BK541" s="3264">
        <f t="shared" si="316"/>
        <v>0</v>
      </c>
      <c r="BL541" s="3264">
        <f t="shared" si="317"/>
        <v>0</v>
      </c>
      <c r="BM541" s="3264">
        <f t="shared" si="318"/>
        <v>0</v>
      </c>
      <c r="BN541" s="3264">
        <f t="shared" si="319"/>
        <v>0</v>
      </c>
      <c r="BO541" s="3264">
        <f t="shared" si="320"/>
        <v>0</v>
      </c>
      <c r="BP541" s="3264">
        <f t="shared" si="321"/>
        <v>0</v>
      </c>
      <c r="BQ541" s="3264">
        <f t="shared" si="322"/>
        <v>0</v>
      </c>
      <c r="BR541" s="3264">
        <f t="shared" si="323"/>
        <v>0</v>
      </c>
      <c r="BS541" s="3264">
        <f t="shared" si="324"/>
        <v>0</v>
      </c>
      <c r="BT541" s="3317">
        <f t="shared" si="325"/>
        <v>0</v>
      </c>
    </row>
    <row r="542" spans="1:72">
      <c r="A542" s="3262"/>
      <c r="B542" s="3263"/>
      <c r="C542" s="3263"/>
      <c r="D542" s="3268"/>
      <c r="E542" s="3264">
        <f t="shared" si="297"/>
        <v>0</v>
      </c>
      <c r="F542" s="3265"/>
      <c r="G542" s="3266">
        <f t="shared" si="301"/>
        <v>0</v>
      </c>
      <c r="H542" s="3267">
        <f t="shared" si="302"/>
        <v>0</v>
      </c>
      <c r="I542" s="3275"/>
      <c r="J542" s="3275"/>
      <c r="K542" s="3275"/>
      <c r="L542" s="3275"/>
      <c r="M542" s="3275"/>
      <c r="N542" s="3275"/>
      <c r="O542" s="3275"/>
      <c r="P542" s="3275"/>
      <c r="Q542" s="3275"/>
      <c r="R542" s="3275"/>
      <c r="S542" s="3275"/>
      <c r="T542" s="3275"/>
      <c r="U542" s="3275"/>
      <c r="V542" s="3275"/>
      <c r="W542" s="3275"/>
      <c r="X542" s="3275"/>
      <c r="Y542" s="3275"/>
      <c r="Z542" s="3275"/>
      <c r="AA542" s="3275"/>
      <c r="AB542" s="3275"/>
      <c r="AC542" s="3264">
        <f t="shared" si="303"/>
        <v>0</v>
      </c>
      <c r="AD542" s="3285"/>
      <c r="AE542" s="3285"/>
      <c r="AF542" s="3285"/>
      <c r="AG542" s="3285"/>
      <c r="AH542" s="3285"/>
      <c r="AI542" s="3285"/>
      <c r="AJ542" s="3285"/>
      <c r="AK542" s="3285"/>
      <c r="AL542" s="3285"/>
      <c r="AM542" s="3285"/>
      <c r="AN542" s="3285"/>
      <c r="AO542" s="3285"/>
      <c r="AP542" s="3285"/>
      <c r="AQ542" s="3285"/>
      <c r="AR542" s="3285"/>
      <c r="AS542" s="3285"/>
      <c r="AT542" s="3295"/>
      <c r="AU542" s="3296"/>
      <c r="AV542" s="830">
        <f t="shared" si="298"/>
        <v>0</v>
      </c>
      <c r="AW542" s="830">
        <f t="shared" si="299"/>
        <v>0</v>
      </c>
      <c r="AX542" s="830">
        <f t="shared" si="300"/>
        <v>0</v>
      </c>
      <c r="AY542" s="3310">
        <f t="shared" si="304"/>
        <v>0</v>
      </c>
      <c r="AZ542" s="3264">
        <f t="shared" si="305"/>
        <v>0</v>
      </c>
      <c r="BA542" s="3264">
        <f t="shared" si="306"/>
        <v>0</v>
      </c>
      <c r="BB542" s="3264">
        <f t="shared" si="307"/>
        <v>0</v>
      </c>
      <c r="BC542" s="3264">
        <f t="shared" si="308"/>
        <v>0</v>
      </c>
      <c r="BD542" s="3264">
        <f t="shared" si="309"/>
        <v>0</v>
      </c>
      <c r="BE542" s="3264">
        <f t="shared" si="310"/>
        <v>0</v>
      </c>
      <c r="BF542" s="3264">
        <f t="shared" si="311"/>
        <v>0</v>
      </c>
      <c r="BG542" s="3264">
        <f t="shared" si="312"/>
        <v>0</v>
      </c>
      <c r="BH542" s="3264">
        <f t="shared" si="313"/>
        <v>0</v>
      </c>
      <c r="BI542" s="3264">
        <f t="shared" si="314"/>
        <v>0</v>
      </c>
      <c r="BJ542" s="3264">
        <f t="shared" si="315"/>
        <v>0</v>
      </c>
      <c r="BK542" s="3264">
        <f t="shared" si="316"/>
        <v>0</v>
      </c>
      <c r="BL542" s="3264">
        <f t="shared" si="317"/>
        <v>0</v>
      </c>
      <c r="BM542" s="3264">
        <f t="shared" si="318"/>
        <v>0</v>
      </c>
      <c r="BN542" s="3264">
        <f t="shared" si="319"/>
        <v>0</v>
      </c>
      <c r="BO542" s="3264">
        <f t="shared" si="320"/>
        <v>0</v>
      </c>
      <c r="BP542" s="3264">
        <f t="shared" si="321"/>
        <v>0</v>
      </c>
      <c r="BQ542" s="3264">
        <f t="shared" si="322"/>
        <v>0</v>
      </c>
      <c r="BR542" s="3264">
        <f t="shared" si="323"/>
        <v>0</v>
      </c>
      <c r="BS542" s="3264">
        <f t="shared" si="324"/>
        <v>0</v>
      </c>
      <c r="BT542" s="3317">
        <f t="shared" si="325"/>
        <v>0</v>
      </c>
    </row>
    <row r="543" spans="1:72">
      <c r="A543" s="3262"/>
      <c r="B543" s="3263"/>
      <c r="C543" s="3263"/>
      <c r="D543" s="3268"/>
      <c r="E543" s="3264">
        <f t="shared" si="297"/>
        <v>0</v>
      </c>
      <c r="F543" s="3265"/>
      <c r="G543" s="3266">
        <f t="shared" si="301"/>
        <v>0</v>
      </c>
      <c r="H543" s="3267">
        <f t="shared" si="302"/>
        <v>0</v>
      </c>
      <c r="I543" s="3275"/>
      <c r="J543" s="3275"/>
      <c r="K543" s="3275"/>
      <c r="L543" s="3275"/>
      <c r="M543" s="3275"/>
      <c r="N543" s="3275"/>
      <c r="O543" s="3275"/>
      <c r="P543" s="3275"/>
      <c r="Q543" s="3275"/>
      <c r="R543" s="3275"/>
      <c r="S543" s="3275"/>
      <c r="T543" s="3275"/>
      <c r="U543" s="3275"/>
      <c r="V543" s="3275"/>
      <c r="W543" s="3275"/>
      <c r="X543" s="3275"/>
      <c r="Y543" s="3275"/>
      <c r="Z543" s="3275"/>
      <c r="AA543" s="3275"/>
      <c r="AB543" s="3275"/>
      <c r="AC543" s="3264">
        <f t="shared" si="303"/>
        <v>0</v>
      </c>
      <c r="AD543" s="3285"/>
      <c r="AE543" s="3285"/>
      <c r="AF543" s="3285"/>
      <c r="AG543" s="3285"/>
      <c r="AH543" s="3285"/>
      <c r="AI543" s="3285"/>
      <c r="AJ543" s="3285"/>
      <c r="AK543" s="3285"/>
      <c r="AL543" s="3285"/>
      <c r="AM543" s="3285"/>
      <c r="AN543" s="3285"/>
      <c r="AO543" s="3285"/>
      <c r="AP543" s="3285"/>
      <c r="AQ543" s="3285"/>
      <c r="AR543" s="3285"/>
      <c r="AS543" s="3285"/>
      <c r="AT543" s="3295"/>
      <c r="AU543" s="3296"/>
      <c r="AV543" s="830">
        <f t="shared" si="298"/>
        <v>0</v>
      </c>
      <c r="AW543" s="830">
        <f t="shared" si="299"/>
        <v>0</v>
      </c>
      <c r="AX543" s="830">
        <f t="shared" si="300"/>
        <v>0</v>
      </c>
      <c r="AY543" s="3310">
        <f t="shared" si="304"/>
        <v>0</v>
      </c>
      <c r="AZ543" s="3264">
        <f t="shared" si="305"/>
        <v>0</v>
      </c>
      <c r="BA543" s="3264">
        <f t="shared" si="306"/>
        <v>0</v>
      </c>
      <c r="BB543" s="3264">
        <f t="shared" si="307"/>
        <v>0</v>
      </c>
      <c r="BC543" s="3264">
        <f t="shared" si="308"/>
        <v>0</v>
      </c>
      <c r="BD543" s="3264">
        <f t="shared" si="309"/>
        <v>0</v>
      </c>
      <c r="BE543" s="3264">
        <f t="shared" si="310"/>
        <v>0</v>
      </c>
      <c r="BF543" s="3264">
        <f t="shared" si="311"/>
        <v>0</v>
      </c>
      <c r="BG543" s="3264">
        <f t="shared" si="312"/>
        <v>0</v>
      </c>
      <c r="BH543" s="3264">
        <f t="shared" si="313"/>
        <v>0</v>
      </c>
      <c r="BI543" s="3264">
        <f t="shared" si="314"/>
        <v>0</v>
      </c>
      <c r="BJ543" s="3264">
        <f t="shared" si="315"/>
        <v>0</v>
      </c>
      <c r="BK543" s="3264">
        <f t="shared" si="316"/>
        <v>0</v>
      </c>
      <c r="BL543" s="3264">
        <f t="shared" si="317"/>
        <v>0</v>
      </c>
      <c r="BM543" s="3264">
        <f t="shared" si="318"/>
        <v>0</v>
      </c>
      <c r="BN543" s="3264">
        <f t="shared" si="319"/>
        <v>0</v>
      </c>
      <c r="BO543" s="3264">
        <f t="shared" si="320"/>
        <v>0</v>
      </c>
      <c r="BP543" s="3264">
        <f t="shared" si="321"/>
        <v>0</v>
      </c>
      <c r="BQ543" s="3264">
        <f t="shared" si="322"/>
        <v>0</v>
      </c>
      <c r="BR543" s="3264">
        <f t="shared" si="323"/>
        <v>0</v>
      </c>
      <c r="BS543" s="3264">
        <f t="shared" si="324"/>
        <v>0</v>
      </c>
      <c r="BT543" s="3317">
        <f t="shared" si="325"/>
        <v>0</v>
      </c>
    </row>
    <row r="544" spans="1:72">
      <c r="A544" s="3262"/>
      <c r="B544" s="3263"/>
      <c r="C544" s="3263"/>
      <c r="D544" s="3268"/>
      <c r="E544" s="3264">
        <f t="shared" si="297"/>
        <v>0</v>
      </c>
      <c r="F544" s="3265"/>
      <c r="G544" s="3266">
        <f t="shared" si="301"/>
        <v>0</v>
      </c>
      <c r="H544" s="3267">
        <f t="shared" si="302"/>
        <v>0</v>
      </c>
      <c r="I544" s="3275"/>
      <c r="J544" s="3275"/>
      <c r="K544" s="3275"/>
      <c r="L544" s="3275"/>
      <c r="M544" s="3275"/>
      <c r="N544" s="3275"/>
      <c r="O544" s="3275"/>
      <c r="P544" s="3275"/>
      <c r="Q544" s="3275"/>
      <c r="R544" s="3275"/>
      <c r="S544" s="3275"/>
      <c r="T544" s="3275"/>
      <c r="U544" s="3275"/>
      <c r="V544" s="3275"/>
      <c r="W544" s="3275"/>
      <c r="X544" s="3275"/>
      <c r="Y544" s="3275"/>
      <c r="Z544" s="3275"/>
      <c r="AA544" s="3275"/>
      <c r="AB544" s="3275"/>
      <c r="AC544" s="3264">
        <f t="shared" si="303"/>
        <v>0</v>
      </c>
      <c r="AD544" s="3285"/>
      <c r="AE544" s="3285"/>
      <c r="AF544" s="3285"/>
      <c r="AG544" s="3285"/>
      <c r="AH544" s="3285"/>
      <c r="AI544" s="3285"/>
      <c r="AJ544" s="3285"/>
      <c r="AK544" s="3285"/>
      <c r="AL544" s="3285"/>
      <c r="AM544" s="3285"/>
      <c r="AN544" s="3285"/>
      <c r="AO544" s="3285"/>
      <c r="AP544" s="3285"/>
      <c r="AQ544" s="3285"/>
      <c r="AR544" s="3285"/>
      <c r="AS544" s="3285"/>
      <c r="AT544" s="3295"/>
      <c r="AU544" s="3296"/>
      <c r="AV544" s="830">
        <f t="shared" si="298"/>
        <v>0</v>
      </c>
      <c r="AW544" s="830">
        <f t="shared" si="299"/>
        <v>0</v>
      </c>
      <c r="AX544" s="830">
        <f t="shared" si="300"/>
        <v>0</v>
      </c>
      <c r="AY544" s="3310">
        <f t="shared" si="304"/>
        <v>0</v>
      </c>
      <c r="AZ544" s="3264">
        <f t="shared" si="305"/>
        <v>0</v>
      </c>
      <c r="BA544" s="3264">
        <f t="shared" si="306"/>
        <v>0</v>
      </c>
      <c r="BB544" s="3264">
        <f t="shared" si="307"/>
        <v>0</v>
      </c>
      <c r="BC544" s="3264">
        <f t="shared" si="308"/>
        <v>0</v>
      </c>
      <c r="BD544" s="3264">
        <f t="shared" si="309"/>
        <v>0</v>
      </c>
      <c r="BE544" s="3264">
        <f t="shared" si="310"/>
        <v>0</v>
      </c>
      <c r="BF544" s="3264">
        <f t="shared" si="311"/>
        <v>0</v>
      </c>
      <c r="BG544" s="3264">
        <f t="shared" si="312"/>
        <v>0</v>
      </c>
      <c r="BH544" s="3264">
        <f t="shared" si="313"/>
        <v>0</v>
      </c>
      <c r="BI544" s="3264">
        <f t="shared" si="314"/>
        <v>0</v>
      </c>
      <c r="BJ544" s="3264">
        <f t="shared" si="315"/>
        <v>0</v>
      </c>
      <c r="BK544" s="3264">
        <f t="shared" si="316"/>
        <v>0</v>
      </c>
      <c r="BL544" s="3264">
        <f t="shared" si="317"/>
        <v>0</v>
      </c>
      <c r="BM544" s="3264">
        <f t="shared" si="318"/>
        <v>0</v>
      </c>
      <c r="BN544" s="3264">
        <f t="shared" si="319"/>
        <v>0</v>
      </c>
      <c r="BO544" s="3264">
        <f t="shared" si="320"/>
        <v>0</v>
      </c>
      <c r="BP544" s="3264">
        <f t="shared" si="321"/>
        <v>0</v>
      </c>
      <c r="BQ544" s="3264">
        <f t="shared" si="322"/>
        <v>0</v>
      </c>
      <c r="BR544" s="3264">
        <f t="shared" si="323"/>
        <v>0</v>
      </c>
      <c r="BS544" s="3264">
        <f t="shared" si="324"/>
        <v>0</v>
      </c>
      <c r="BT544" s="3317">
        <f t="shared" si="325"/>
        <v>0</v>
      </c>
    </row>
    <row r="545" spans="1:72">
      <c r="A545" s="3262"/>
      <c r="B545" s="3263"/>
      <c r="C545" s="3263"/>
      <c r="D545" s="3268"/>
      <c r="E545" s="3264">
        <f t="shared" si="297"/>
        <v>0</v>
      </c>
      <c r="F545" s="3265"/>
      <c r="G545" s="3266">
        <f t="shared" si="301"/>
        <v>0</v>
      </c>
      <c r="H545" s="3267">
        <f t="shared" si="302"/>
        <v>0</v>
      </c>
      <c r="I545" s="3275"/>
      <c r="J545" s="3275"/>
      <c r="K545" s="3275"/>
      <c r="L545" s="3275"/>
      <c r="M545" s="3275"/>
      <c r="N545" s="3275"/>
      <c r="O545" s="3275"/>
      <c r="P545" s="3275"/>
      <c r="Q545" s="3275"/>
      <c r="R545" s="3275"/>
      <c r="S545" s="3275"/>
      <c r="T545" s="3275"/>
      <c r="U545" s="3275"/>
      <c r="V545" s="3275"/>
      <c r="W545" s="3275"/>
      <c r="X545" s="3275"/>
      <c r="Y545" s="3275"/>
      <c r="Z545" s="3275"/>
      <c r="AA545" s="3275"/>
      <c r="AB545" s="3275"/>
      <c r="AC545" s="3264">
        <f t="shared" si="303"/>
        <v>0</v>
      </c>
      <c r="AD545" s="3285"/>
      <c r="AE545" s="3285"/>
      <c r="AF545" s="3285"/>
      <c r="AG545" s="3285"/>
      <c r="AH545" s="3285"/>
      <c r="AI545" s="3285"/>
      <c r="AJ545" s="3285"/>
      <c r="AK545" s="3285"/>
      <c r="AL545" s="3285"/>
      <c r="AM545" s="3285"/>
      <c r="AN545" s="3285"/>
      <c r="AO545" s="3285"/>
      <c r="AP545" s="3285"/>
      <c r="AQ545" s="3285"/>
      <c r="AR545" s="3285"/>
      <c r="AS545" s="3285"/>
      <c r="AT545" s="3295"/>
      <c r="AU545" s="3296"/>
      <c r="AV545" s="830">
        <f t="shared" si="298"/>
        <v>0</v>
      </c>
      <c r="AW545" s="830">
        <f t="shared" si="299"/>
        <v>0</v>
      </c>
      <c r="AX545" s="830">
        <f t="shared" si="300"/>
        <v>0</v>
      </c>
      <c r="AY545" s="3310">
        <f t="shared" si="304"/>
        <v>0</v>
      </c>
      <c r="AZ545" s="3264">
        <f t="shared" si="305"/>
        <v>0</v>
      </c>
      <c r="BA545" s="3264">
        <f t="shared" si="306"/>
        <v>0</v>
      </c>
      <c r="BB545" s="3264">
        <f t="shared" si="307"/>
        <v>0</v>
      </c>
      <c r="BC545" s="3264">
        <f t="shared" si="308"/>
        <v>0</v>
      </c>
      <c r="BD545" s="3264">
        <f t="shared" si="309"/>
        <v>0</v>
      </c>
      <c r="BE545" s="3264">
        <f t="shared" si="310"/>
        <v>0</v>
      </c>
      <c r="BF545" s="3264">
        <f t="shared" si="311"/>
        <v>0</v>
      </c>
      <c r="BG545" s="3264">
        <f t="shared" si="312"/>
        <v>0</v>
      </c>
      <c r="BH545" s="3264">
        <f t="shared" si="313"/>
        <v>0</v>
      </c>
      <c r="BI545" s="3264">
        <f t="shared" si="314"/>
        <v>0</v>
      </c>
      <c r="BJ545" s="3264">
        <f t="shared" si="315"/>
        <v>0</v>
      </c>
      <c r="BK545" s="3264">
        <f t="shared" si="316"/>
        <v>0</v>
      </c>
      <c r="BL545" s="3264">
        <f t="shared" si="317"/>
        <v>0</v>
      </c>
      <c r="BM545" s="3264">
        <f t="shared" si="318"/>
        <v>0</v>
      </c>
      <c r="BN545" s="3264">
        <f t="shared" si="319"/>
        <v>0</v>
      </c>
      <c r="BO545" s="3264">
        <f t="shared" si="320"/>
        <v>0</v>
      </c>
      <c r="BP545" s="3264">
        <f t="shared" si="321"/>
        <v>0</v>
      </c>
      <c r="BQ545" s="3264">
        <f t="shared" si="322"/>
        <v>0</v>
      </c>
      <c r="BR545" s="3264">
        <f t="shared" si="323"/>
        <v>0</v>
      </c>
      <c r="BS545" s="3264">
        <f t="shared" si="324"/>
        <v>0</v>
      </c>
      <c r="BT545" s="3317">
        <f t="shared" si="325"/>
        <v>0</v>
      </c>
    </row>
    <row r="546" spans="1:72">
      <c r="A546" s="3262"/>
      <c r="B546" s="3263"/>
      <c r="C546" s="3263"/>
      <c r="D546" s="3268"/>
      <c r="E546" s="3264">
        <f t="shared" si="297"/>
        <v>0</v>
      </c>
      <c r="F546" s="3265"/>
      <c r="G546" s="3266">
        <f t="shared" si="301"/>
        <v>0</v>
      </c>
      <c r="H546" s="3267">
        <f t="shared" si="302"/>
        <v>0</v>
      </c>
      <c r="I546" s="3275"/>
      <c r="J546" s="3275"/>
      <c r="K546" s="3275"/>
      <c r="L546" s="3275"/>
      <c r="M546" s="3275"/>
      <c r="N546" s="3275"/>
      <c r="O546" s="3275"/>
      <c r="P546" s="3275"/>
      <c r="Q546" s="3275"/>
      <c r="R546" s="3275"/>
      <c r="S546" s="3275"/>
      <c r="T546" s="3275"/>
      <c r="U546" s="3275"/>
      <c r="V546" s="3275"/>
      <c r="W546" s="3275"/>
      <c r="X546" s="3275"/>
      <c r="Y546" s="3275"/>
      <c r="Z546" s="3275"/>
      <c r="AA546" s="3275"/>
      <c r="AB546" s="3275"/>
      <c r="AC546" s="3264">
        <f t="shared" si="303"/>
        <v>0</v>
      </c>
      <c r="AD546" s="3285"/>
      <c r="AE546" s="3285"/>
      <c r="AF546" s="3285"/>
      <c r="AG546" s="3285"/>
      <c r="AH546" s="3285"/>
      <c r="AI546" s="3285"/>
      <c r="AJ546" s="3285"/>
      <c r="AK546" s="3285"/>
      <c r="AL546" s="3285"/>
      <c r="AM546" s="3285"/>
      <c r="AN546" s="3285"/>
      <c r="AO546" s="3285"/>
      <c r="AP546" s="3285"/>
      <c r="AQ546" s="3285"/>
      <c r="AR546" s="3285"/>
      <c r="AS546" s="3285"/>
      <c r="AT546" s="3295"/>
      <c r="AU546" s="3296"/>
      <c r="AV546" s="830">
        <f t="shared" si="298"/>
        <v>0</v>
      </c>
      <c r="AW546" s="830">
        <f t="shared" si="299"/>
        <v>0</v>
      </c>
      <c r="AX546" s="830">
        <f t="shared" si="300"/>
        <v>0</v>
      </c>
      <c r="AY546" s="3310">
        <f t="shared" si="304"/>
        <v>0</v>
      </c>
      <c r="AZ546" s="3264">
        <f t="shared" si="305"/>
        <v>0</v>
      </c>
      <c r="BA546" s="3264">
        <f t="shared" si="306"/>
        <v>0</v>
      </c>
      <c r="BB546" s="3264">
        <f t="shared" si="307"/>
        <v>0</v>
      </c>
      <c r="BC546" s="3264">
        <f t="shared" si="308"/>
        <v>0</v>
      </c>
      <c r="BD546" s="3264">
        <f t="shared" si="309"/>
        <v>0</v>
      </c>
      <c r="BE546" s="3264">
        <f t="shared" si="310"/>
        <v>0</v>
      </c>
      <c r="BF546" s="3264">
        <f t="shared" si="311"/>
        <v>0</v>
      </c>
      <c r="BG546" s="3264">
        <f t="shared" si="312"/>
        <v>0</v>
      </c>
      <c r="BH546" s="3264">
        <f t="shared" si="313"/>
        <v>0</v>
      </c>
      <c r="BI546" s="3264">
        <f t="shared" si="314"/>
        <v>0</v>
      </c>
      <c r="BJ546" s="3264">
        <f t="shared" si="315"/>
        <v>0</v>
      </c>
      <c r="BK546" s="3264">
        <f t="shared" si="316"/>
        <v>0</v>
      </c>
      <c r="BL546" s="3264">
        <f t="shared" si="317"/>
        <v>0</v>
      </c>
      <c r="BM546" s="3264">
        <f t="shared" si="318"/>
        <v>0</v>
      </c>
      <c r="BN546" s="3264">
        <f t="shared" si="319"/>
        <v>0</v>
      </c>
      <c r="BO546" s="3264">
        <f t="shared" si="320"/>
        <v>0</v>
      </c>
      <c r="BP546" s="3264">
        <f t="shared" si="321"/>
        <v>0</v>
      </c>
      <c r="BQ546" s="3264">
        <f t="shared" si="322"/>
        <v>0</v>
      </c>
      <c r="BR546" s="3264">
        <f t="shared" si="323"/>
        <v>0</v>
      </c>
      <c r="BS546" s="3264">
        <f t="shared" si="324"/>
        <v>0</v>
      </c>
      <c r="BT546" s="3317">
        <f t="shared" si="325"/>
        <v>0</v>
      </c>
    </row>
    <row r="547" spans="1:72">
      <c r="A547" s="3262"/>
      <c r="B547" s="3263"/>
      <c r="C547" s="3263"/>
      <c r="D547" s="3268"/>
      <c r="E547" s="3264">
        <f t="shared" si="297"/>
        <v>0</v>
      </c>
      <c r="F547" s="3265"/>
      <c r="G547" s="3266">
        <f t="shared" si="301"/>
        <v>0</v>
      </c>
      <c r="H547" s="3267">
        <f t="shared" si="302"/>
        <v>0</v>
      </c>
      <c r="I547" s="3275"/>
      <c r="J547" s="3275"/>
      <c r="K547" s="3275"/>
      <c r="L547" s="3275"/>
      <c r="M547" s="3275"/>
      <c r="N547" s="3275"/>
      <c r="O547" s="3275"/>
      <c r="P547" s="3275"/>
      <c r="Q547" s="3275"/>
      <c r="R547" s="3275"/>
      <c r="S547" s="3275"/>
      <c r="T547" s="3275"/>
      <c r="U547" s="3275"/>
      <c r="V547" s="3275"/>
      <c r="W547" s="3275"/>
      <c r="X547" s="3275"/>
      <c r="Y547" s="3275"/>
      <c r="Z547" s="3275"/>
      <c r="AA547" s="3275"/>
      <c r="AB547" s="3275"/>
      <c r="AC547" s="3264">
        <f t="shared" si="303"/>
        <v>0</v>
      </c>
      <c r="AD547" s="3285"/>
      <c r="AE547" s="3285"/>
      <c r="AF547" s="3285"/>
      <c r="AG547" s="3285"/>
      <c r="AH547" s="3285"/>
      <c r="AI547" s="3285"/>
      <c r="AJ547" s="3285"/>
      <c r="AK547" s="3285"/>
      <c r="AL547" s="3285"/>
      <c r="AM547" s="3285"/>
      <c r="AN547" s="3285"/>
      <c r="AO547" s="3285"/>
      <c r="AP547" s="3285"/>
      <c r="AQ547" s="3285"/>
      <c r="AR547" s="3285"/>
      <c r="AS547" s="3285"/>
      <c r="AT547" s="3295"/>
      <c r="AU547" s="3296"/>
      <c r="AV547" s="830">
        <f t="shared" si="298"/>
        <v>0</v>
      </c>
      <c r="AW547" s="830">
        <f t="shared" si="299"/>
        <v>0</v>
      </c>
      <c r="AX547" s="830">
        <f t="shared" si="300"/>
        <v>0</v>
      </c>
      <c r="AY547" s="3310">
        <f t="shared" si="304"/>
        <v>0</v>
      </c>
      <c r="AZ547" s="3264">
        <f t="shared" si="305"/>
        <v>0</v>
      </c>
      <c r="BA547" s="3264">
        <f t="shared" si="306"/>
        <v>0</v>
      </c>
      <c r="BB547" s="3264">
        <f t="shared" si="307"/>
        <v>0</v>
      </c>
      <c r="BC547" s="3264">
        <f t="shared" si="308"/>
        <v>0</v>
      </c>
      <c r="BD547" s="3264">
        <f t="shared" si="309"/>
        <v>0</v>
      </c>
      <c r="BE547" s="3264">
        <f t="shared" si="310"/>
        <v>0</v>
      </c>
      <c r="BF547" s="3264">
        <f t="shared" si="311"/>
        <v>0</v>
      </c>
      <c r="BG547" s="3264">
        <f t="shared" si="312"/>
        <v>0</v>
      </c>
      <c r="BH547" s="3264">
        <f t="shared" si="313"/>
        <v>0</v>
      </c>
      <c r="BI547" s="3264">
        <f t="shared" si="314"/>
        <v>0</v>
      </c>
      <c r="BJ547" s="3264">
        <f t="shared" si="315"/>
        <v>0</v>
      </c>
      <c r="BK547" s="3264">
        <f t="shared" si="316"/>
        <v>0</v>
      </c>
      <c r="BL547" s="3264">
        <f t="shared" si="317"/>
        <v>0</v>
      </c>
      <c r="BM547" s="3264">
        <f t="shared" si="318"/>
        <v>0</v>
      </c>
      <c r="BN547" s="3264">
        <f t="shared" si="319"/>
        <v>0</v>
      </c>
      <c r="BO547" s="3264">
        <f t="shared" si="320"/>
        <v>0</v>
      </c>
      <c r="BP547" s="3264">
        <f t="shared" si="321"/>
        <v>0</v>
      </c>
      <c r="BQ547" s="3264">
        <f t="shared" si="322"/>
        <v>0</v>
      </c>
      <c r="BR547" s="3264">
        <f t="shared" si="323"/>
        <v>0</v>
      </c>
      <c r="BS547" s="3264">
        <f t="shared" si="324"/>
        <v>0</v>
      </c>
      <c r="BT547" s="3317">
        <f t="shared" si="325"/>
        <v>0</v>
      </c>
    </row>
    <row r="548" spans="1:72">
      <c r="A548" s="3262"/>
      <c r="B548" s="3263"/>
      <c r="C548" s="3263"/>
      <c r="D548" s="3268"/>
      <c r="E548" s="3264">
        <f t="shared" si="297"/>
        <v>0</v>
      </c>
      <c r="F548" s="3265"/>
      <c r="G548" s="3266">
        <f t="shared" si="301"/>
        <v>0</v>
      </c>
      <c r="H548" s="3267">
        <f t="shared" si="302"/>
        <v>0</v>
      </c>
      <c r="I548" s="3275"/>
      <c r="J548" s="3275"/>
      <c r="K548" s="3275"/>
      <c r="L548" s="3275"/>
      <c r="M548" s="3275"/>
      <c r="N548" s="3275"/>
      <c r="O548" s="3275"/>
      <c r="P548" s="3275"/>
      <c r="Q548" s="3275"/>
      <c r="R548" s="3275"/>
      <c r="S548" s="3275"/>
      <c r="T548" s="3275"/>
      <c r="U548" s="3275"/>
      <c r="V548" s="3275"/>
      <c r="W548" s="3275"/>
      <c r="X548" s="3275"/>
      <c r="Y548" s="3275"/>
      <c r="Z548" s="3275"/>
      <c r="AA548" s="3275"/>
      <c r="AB548" s="3275"/>
      <c r="AC548" s="3264">
        <f t="shared" si="303"/>
        <v>0</v>
      </c>
      <c r="AD548" s="3285"/>
      <c r="AE548" s="3285"/>
      <c r="AF548" s="3285"/>
      <c r="AG548" s="3285"/>
      <c r="AH548" s="3285"/>
      <c r="AI548" s="3285"/>
      <c r="AJ548" s="3285"/>
      <c r="AK548" s="3285"/>
      <c r="AL548" s="3285"/>
      <c r="AM548" s="3285"/>
      <c r="AN548" s="3285"/>
      <c r="AO548" s="3285"/>
      <c r="AP548" s="3285"/>
      <c r="AQ548" s="3285"/>
      <c r="AR548" s="3285"/>
      <c r="AS548" s="3285"/>
      <c r="AT548" s="3295"/>
      <c r="AU548" s="3296"/>
      <c r="AV548" s="830">
        <f t="shared" si="298"/>
        <v>0</v>
      </c>
      <c r="AW548" s="830">
        <f t="shared" si="299"/>
        <v>0</v>
      </c>
      <c r="AX548" s="830">
        <f t="shared" si="300"/>
        <v>0</v>
      </c>
      <c r="AY548" s="3310">
        <f t="shared" si="304"/>
        <v>0</v>
      </c>
      <c r="AZ548" s="3264">
        <f t="shared" si="305"/>
        <v>0</v>
      </c>
      <c r="BA548" s="3264">
        <f t="shared" si="306"/>
        <v>0</v>
      </c>
      <c r="BB548" s="3264">
        <f t="shared" si="307"/>
        <v>0</v>
      </c>
      <c r="BC548" s="3264">
        <f t="shared" si="308"/>
        <v>0</v>
      </c>
      <c r="BD548" s="3264">
        <f t="shared" si="309"/>
        <v>0</v>
      </c>
      <c r="BE548" s="3264">
        <f t="shared" si="310"/>
        <v>0</v>
      </c>
      <c r="BF548" s="3264">
        <f t="shared" si="311"/>
        <v>0</v>
      </c>
      <c r="BG548" s="3264">
        <f t="shared" si="312"/>
        <v>0</v>
      </c>
      <c r="BH548" s="3264">
        <f t="shared" si="313"/>
        <v>0</v>
      </c>
      <c r="BI548" s="3264">
        <f t="shared" si="314"/>
        <v>0</v>
      </c>
      <c r="BJ548" s="3264">
        <f t="shared" si="315"/>
        <v>0</v>
      </c>
      <c r="BK548" s="3264">
        <f t="shared" si="316"/>
        <v>0</v>
      </c>
      <c r="BL548" s="3264">
        <f t="shared" si="317"/>
        <v>0</v>
      </c>
      <c r="BM548" s="3264">
        <f t="shared" si="318"/>
        <v>0</v>
      </c>
      <c r="BN548" s="3264">
        <f t="shared" si="319"/>
        <v>0</v>
      </c>
      <c r="BO548" s="3264">
        <f t="shared" si="320"/>
        <v>0</v>
      </c>
      <c r="BP548" s="3264">
        <f t="shared" si="321"/>
        <v>0</v>
      </c>
      <c r="BQ548" s="3264">
        <f t="shared" si="322"/>
        <v>0</v>
      </c>
      <c r="BR548" s="3264">
        <f t="shared" si="323"/>
        <v>0</v>
      </c>
      <c r="BS548" s="3264">
        <f t="shared" si="324"/>
        <v>0</v>
      </c>
      <c r="BT548" s="3317">
        <f t="shared" si="325"/>
        <v>0</v>
      </c>
    </row>
    <row r="549" spans="1:72">
      <c r="A549" s="3262"/>
      <c r="B549" s="3263"/>
      <c r="C549" s="3263"/>
      <c r="D549" s="3268"/>
      <c r="E549" s="3264">
        <f t="shared" si="297"/>
        <v>0</v>
      </c>
      <c r="F549" s="3265"/>
      <c r="G549" s="3266">
        <f t="shared" si="301"/>
        <v>0</v>
      </c>
      <c r="H549" s="3267">
        <f t="shared" si="302"/>
        <v>0</v>
      </c>
      <c r="I549" s="3275"/>
      <c r="J549" s="3275"/>
      <c r="K549" s="3275"/>
      <c r="L549" s="3275"/>
      <c r="M549" s="3275"/>
      <c r="N549" s="3275"/>
      <c r="O549" s="3275"/>
      <c r="P549" s="3275"/>
      <c r="Q549" s="3275"/>
      <c r="R549" s="3275"/>
      <c r="S549" s="3275"/>
      <c r="T549" s="3275"/>
      <c r="U549" s="3275"/>
      <c r="V549" s="3275"/>
      <c r="W549" s="3275"/>
      <c r="X549" s="3275"/>
      <c r="Y549" s="3275"/>
      <c r="Z549" s="3275"/>
      <c r="AA549" s="3275"/>
      <c r="AB549" s="3275"/>
      <c r="AC549" s="3264">
        <f t="shared" si="303"/>
        <v>0</v>
      </c>
      <c r="AD549" s="3285"/>
      <c r="AE549" s="3285"/>
      <c r="AF549" s="3285"/>
      <c r="AG549" s="3285"/>
      <c r="AH549" s="3285"/>
      <c r="AI549" s="3285"/>
      <c r="AJ549" s="3285"/>
      <c r="AK549" s="3285"/>
      <c r="AL549" s="3285"/>
      <c r="AM549" s="3285"/>
      <c r="AN549" s="3285"/>
      <c r="AO549" s="3285"/>
      <c r="AP549" s="3285"/>
      <c r="AQ549" s="3285"/>
      <c r="AR549" s="3285"/>
      <c r="AS549" s="3285"/>
      <c r="AT549" s="3295"/>
      <c r="AU549" s="3296"/>
      <c r="AV549" s="830">
        <f t="shared" si="298"/>
        <v>0</v>
      </c>
      <c r="AW549" s="830">
        <f t="shared" si="299"/>
        <v>0</v>
      </c>
      <c r="AX549" s="830">
        <f t="shared" si="300"/>
        <v>0</v>
      </c>
      <c r="AY549" s="3310">
        <f t="shared" si="304"/>
        <v>0</v>
      </c>
      <c r="AZ549" s="3264">
        <f t="shared" si="305"/>
        <v>0</v>
      </c>
      <c r="BA549" s="3264">
        <f t="shared" si="306"/>
        <v>0</v>
      </c>
      <c r="BB549" s="3264">
        <f t="shared" si="307"/>
        <v>0</v>
      </c>
      <c r="BC549" s="3264">
        <f t="shared" si="308"/>
        <v>0</v>
      </c>
      <c r="BD549" s="3264">
        <f t="shared" si="309"/>
        <v>0</v>
      </c>
      <c r="BE549" s="3264">
        <f t="shared" si="310"/>
        <v>0</v>
      </c>
      <c r="BF549" s="3264">
        <f t="shared" si="311"/>
        <v>0</v>
      </c>
      <c r="BG549" s="3264">
        <f t="shared" si="312"/>
        <v>0</v>
      </c>
      <c r="BH549" s="3264">
        <f t="shared" si="313"/>
        <v>0</v>
      </c>
      <c r="BI549" s="3264">
        <f t="shared" si="314"/>
        <v>0</v>
      </c>
      <c r="BJ549" s="3264">
        <f t="shared" si="315"/>
        <v>0</v>
      </c>
      <c r="BK549" s="3264">
        <f t="shared" si="316"/>
        <v>0</v>
      </c>
      <c r="BL549" s="3264">
        <f t="shared" si="317"/>
        <v>0</v>
      </c>
      <c r="BM549" s="3264">
        <f t="shared" si="318"/>
        <v>0</v>
      </c>
      <c r="BN549" s="3264">
        <f t="shared" si="319"/>
        <v>0</v>
      </c>
      <c r="BO549" s="3264">
        <f t="shared" si="320"/>
        <v>0</v>
      </c>
      <c r="BP549" s="3264">
        <f t="shared" si="321"/>
        <v>0</v>
      </c>
      <c r="BQ549" s="3264">
        <f t="shared" si="322"/>
        <v>0</v>
      </c>
      <c r="BR549" s="3264">
        <f t="shared" si="323"/>
        <v>0</v>
      </c>
      <c r="BS549" s="3264">
        <f t="shared" si="324"/>
        <v>0</v>
      </c>
      <c r="BT549" s="3317">
        <f t="shared" si="325"/>
        <v>0</v>
      </c>
    </row>
    <row r="550" spans="1:72">
      <c r="A550" s="3262"/>
      <c r="B550" s="3263"/>
      <c r="C550" s="3263"/>
      <c r="D550" s="3268"/>
      <c r="E550" s="3264">
        <f t="shared" si="297"/>
        <v>0</v>
      </c>
      <c r="F550" s="3265"/>
      <c r="G550" s="3266">
        <f t="shared" si="301"/>
        <v>0</v>
      </c>
      <c r="H550" s="3267">
        <f t="shared" si="302"/>
        <v>0</v>
      </c>
      <c r="I550" s="3275"/>
      <c r="J550" s="3275"/>
      <c r="K550" s="3275"/>
      <c r="L550" s="3275"/>
      <c r="M550" s="3275"/>
      <c r="N550" s="3275"/>
      <c r="O550" s="3275"/>
      <c r="P550" s="3275"/>
      <c r="Q550" s="3275"/>
      <c r="R550" s="3275"/>
      <c r="S550" s="3275"/>
      <c r="T550" s="3275"/>
      <c r="U550" s="3275"/>
      <c r="V550" s="3275"/>
      <c r="W550" s="3275"/>
      <c r="X550" s="3275"/>
      <c r="Y550" s="3275"/>
      <c r="Z550" s="3275"/>
      <c r="AA550" s="3275"/>
      <c r="AB550" s="3275"/>
      <c r="AC550" s="3264">
        <f t="shared" si="303"/>
        <v>0</v>
      </c>
      <c r="AD550" s="3285"/>
      <c r="AE550" s="3285"/>
      <c r="AF550" s="3285"/>
      <c r="AG550" s="3285"/>
      <c r="AH550" s="3285"/>
      <c r="AI550" s="3285"/>
      <c r="AJ550" s="3285"/>
      <c r="AK550" s="3285"/>
      <c r="AL550" s="3285"/>
      <c r="AM550" s="3285"/>
      <c r="AN550" s="3285"/>
      <c r="AO550" s="3285"/>
      <c r="AP550" s="3285"/>
      <c r="AQ550" s="3285"/>
      <c r="AR550" s="3285"/>
      <c r="AS550" s="3285"/>
      <c r="AT550" s="3295"/>
      <c r="AU550" s="3296"/>
      <c r="AV550" s="830">
        <f t="shared" si="298"/>
        <v>0</v>
      </c>
      <c r="AW550" s="830">
        <f t="shared" si="299"/>
        <v>0</v>
      </c>
      <c r="AX550" s="830">
        <f t="shared" si="300"/>
        <v>0</v>
      </c>
      <c r="AY550" s="3310">
        <f t="shared" si="304"/>
        <v>0</v>
      </c>
      <c r="AZ550" s="3264">
        <f t="shared" si="305"/>
        <v>0</v>
      </c>
      <c r="BA550" s="3264">
        <f t="shared" si="306"/>
        <v>0</v>
      </c>
      <c r="BB550" s="3264">
        <f t="shared" si="307"/>
        <v>0</v>
      </c>
      <c r="BC550" s="3264">
        <f t="shared" si="308"/>
        <v>0</v>
      </c>
      <c r="BD550" s="3264">
        <f t="shared" si="309"/>
        <v>0</v>
      </c>
      <c r="BE550" s="3264">
        <f t="shared" si="310"/>
        <v>0</v>
      </c>
      <c r="BF550" s="3264">
        <f t="shared" si="311"/>
        <v>0</v>
      </c>
      <c r="BG550" s="3264">
        <f t="shared" si="312"/>
        <v>0</v>
      </c>
      <c r="BH550" s="3264">
        <f t="shared" si="313"/>
        <v>0</v>
      </c>
      <c r="BI550" s="3264">
        <f t="shared" si="314"/>
        <v>0</v>
      </c>
      <c r="BJ550" s="3264">
        <f t="shared" si="315"/>
        <v>0</v>
      </c>
      <c r="BK550" s="3264">
        <f t="shared" si="316"/>
        <v>0</v>
      </c>
      <c r="BL550" s="3264">
        <f t="shared" si="317"/>
        <v>0</v>
      </c>
      <c r="BM550" s="3264">
        <f t="shared" si="318"/>
        <v>0</v>
      </c>
      <c r="BN550" s="3264">
        <f t="shared" si="319"/>
        <v>0</v>
      </c>
      <c r="BO550" s="3264">
        <f t="shared" si="320"/>
        <v>0</v>
      </c>
      <c r="BP550" s="3264">
        <f t="shared" si="321"/>
        <v>0</v>
      </c>
      <c r="BQ550" s="3264">
        <f t="shared" si="322"/>
        <v>0</v>
      </c>
      <c r="BR550" s="3264">
        <f t="shared" si="323"/>
        <v>0</v>
      </c>
      <c r="BS550" s="3264">
        <f t="shared" si="324"/>
        <v>0</v>
      </c>
      <c r="BT550" s="3317">
        <f t="shared" si="325"/>
        <v>0</v>
      </c>
    </row>
    <row r="551" spans="1:72">
      <c r="A551" s="3262"/>
      <c r="B551" s="3263"/>
      <c r="C551" s="3263"/>
      <c r="D551" s="3268"/>
      <c r="E551" s="3264">
        <f t="shared" si="297"/>
        <v>0</v>
      </c>
      <c r="F551" s="3265"/>
      <c r="G551" s="3266">
        <f t="shared" si="301"/>
        <v>0</v>
      </c>
      <c r="H551" s="3267">
        <f t="shared" si="302"/>
        <v>0</v>
      </c>
      <c r="I551" s="3275"/>
      <c r="J551" s="3275"/>
      <c r="K551" s="3275"/>
      <c r="L551" s="3275"/>
      <c r="M551" s="3275"/>
      <c r="N551" s="3275"/>
      <c r="O551" s="3275"/>
      <c r="P551" s="3275"/>
      <c r="Q551" s="3275"/>
      <c r="R551" s="3275"/>
      <c r="S551" s="3275"/>
      <c r="T551" s="3275"/>
      <c r="U551" s="3275"/>
      <c r="V551" s="3275"/>
      <c r="W551" s="3275"/>
      <c r="X551" s="3275"/>
      <c r="Y551" s="3275"/>
      <c r="Z551" s="3275"/>
      <c r="AA551" s="3275"/>
      <c r="AB551" s="3275"/>
      <c r="AC551" s="3264">
        <f t="shared" si="303"/>
        <v>0</v>
      </c>
      <c r="AD551" s="3285"/>
      <c r="AE551" s="3285"/>
      <c r="AF551" s="3285"/>
      <c r="AG551" s="3285"/>
      <c r="AH551" s="3285"/>
      <c r="AI551" s="3285"/>
      <c r="AJ551" s="3285"/>
      <c r="AK551" s="3285"/>
      <c r="AL551" s="3285"/>
      <c r="AM551" s="3285"/>
      <c r="AN551" s="3285"/>
      <c r="AO551" s="3285"/>
      <c r="AP551" s="3285"/>
      <c r="AQ551" s="3285"/>
      <c r="AR551" s="3285"/>
      <c r="AS551" s="3285"/>
      <c r="AT551" s="3295"/>
      <c r="AU551" s="3296"/>
      <c r="AV551" s="830">
        <f t="shared" si="298"/>
        <v>0</v>
      </c>
      <c r="AW551" s="830">
        <f t="shared" si="299"/>
        <v>0</v>
      </c>
      <c r="AX551" s="830">
        <f t="shared" si="300"/>
        <v>0</v>
      </c>
      <c r="AY551" s="3310">
        <f t="shared" si="304"/>
        <v>0</v>
      </c>
      <c r="AZ551" s="3264">
        <f t="shared" si="305"/>
        <v>0</v>
      </c>
      <c r="BA551" s="3264">
        <f t="shared" si="306"/>
        <v>0</v>
      </c>
      <c r="BB551" s="3264">
        <f t="shared" si="307"/>
        <v>0</v>
      </c>
      <c r="BC551" s="3264">
        <f t="shared" si="308"/>
        <v>0</v>
      </c>
      <c r="BD551" s="3264">
        <f t="shared" si="309"/>
        <v>0</v>
      </c>
      <c r="BE551" s="3264">
        <f t="shared" si="310"/>
        <v>0</v>
      </c>
      <c r="BF551" s="3264">
        <f t="shared" si="311"/>
        <v>0</v>
      </c>
      <c r="BG551" s="3264">
        <f t="shared" si="312"/>
        <v>0</v>
      </c>
      <c r="BH551" s="3264">
        <f t="shared" si="313"/>
        <v>0</v>
      </c>
      <c r="BI551" s="3264">
        <f t="shared" si="314"/>
        <v>0</v>
      </c>
      <c r="BJ551" s="3264">
        <f t="shared" si="315"/>
        <v>0</v>
      </c>
      <c r="BK551" s="3264">
        <f t="shared" si="316"/>
        <v>0</v>
      </c>
      <c r="BL551" s="3264">
        <f t="shared" si="317"/>
        <v>0</v>
      </c>
      <c r="BM551" s="3264">
        <f t="shared" si="318"/>
        <v>0</v>
      </c>
      <c r="BN551" s="3264">
        <f t="shared" si="319"/>
        <v>0</v>
      </c>
      <c r="BO551" s="3264">
        <f t="shared" si="320"/>
        <v>0</v>
      </c>
      <c r="BP551" s="3264">
        <f t="shared" si="321"/>
        <v>0</v>
      </c>
      <c r="BQ551" s="3264">
        <f t="shared" si="322"/>
        <v>0</v>
      </c>
      <c r="BR551" s="3264">
        <f t="shared" si="323"/>
        <v>0</v>
      </c>
      <c r="BS551" s="3264">
        <f t="shared" si="324"/>
        <v>0</v>
      </c>
      <c r="BT551" s="3317">
        <f t="shared" si="325"/>
        <v>0</v>
      </c>
    </row>
    <row r="552" spans="1:72">
      <c r="A552" s="3262"/>
      <c r="B552" s="3263"/>
      <c r="C552" s="3263"/>
      <c r="D552" s="3268"/>
      <c r="E552" s="3264">
        <f t="shared" ref="E552:E587" si="326">IF($C$3="是",ROUND($A$3*G552/$B$3,2),ROUND($A$3*(G552-AT552)/$B$3,2))</f>
        <v>0</v>
      </c>
      <c r="F552" s="3265"/>
      <c r="G552" s="3266">
        <f t="shared" si="301"/>
        <v>0</v>
      </c>
      <c r="H552" s="3267">
        <f t="shared" si="302"/>
        <v>0</v>
      </c>
      <c r="I552" s="3275"/>
      <c r="J552" s="3275"/>
      <c r="K552" s="3275"/>
      <c r="L552" s="3275"/>
      <c r="M552" s="3275"/>
      <c r="N552" s="3275"/>
      <c r="O552" s="3275"/>
      <c r="P552" s="3275"/>
      <c r="Q552" s="3275"/>
      <c r="R552" s="3275"/>
      <c r="S552" s="3275"/>
      <c r="T552" s="3275"/>
      <c r="U552" s="3275"/>
      <c r="V552" s="3275"/>
      <c r="W552" s="3275"/>
      <c r="X552" s="3275"/>
      <c r="Y552" s="3275"/>
      <c r="Z552" s="3275"/>
      <c r="AA552" s="3275"/>
      <c r="AB552" s="3275"/>
      <c r="AC552" s="3264">
        <f t="shared" si="303"/>
        <v>0</v>
      </c>
      <c r="AD552" s="3285"/>
      <c r="AE552" s="3285"/>
      <c r="AF552" s="3285"/>
      <c r="AG552" s="3285"/>
      <c r="AH552" s="3285"/>
      <c r="AI552" s="3285"/>
      <c r="AJ552" s="3285"/>
      <c r="AK552" s="3285"/>
      <c r="AL552" s="3285"/>
      <c r="AM552" s="3285"/>
      <c r="AN552" s="3285"/>
      <c r="AO552" s="3285"/>
      <c r="AP552" s="3285"/>
      <c r="AQ552" s="3285"/>
      <c r="AR552" s="3285"/>
      <c r="AS552" s="3285"/>
      <c r="AT552" s="3295"/>
      <c r="AU552" s="3296"/>
      <c r="AV552" s="830">
        <f t="shared" si="298"/>
        <v>0</v>
      </c>
      <c r="AW552" s="830">
        <f t="shared" si="299"/>
        <v>0</v>
      </c>
      <c r="AX552" s="830">
        <f t="shared" si="300"/>
        <v>0</v>
      </c>
      <c r="AY552" s="3310">
        <f t="shared" si="304"/>
        <v>0</v>
      </c>
      <c r="AZ552" s="3264">
        <f t="shared" si="305"/>
        <v>0</v>
      </c>
      <c r="BA552" s="3264">
        <f t="shared" si="306"/>
        <v>0</v>
      </c>
      <c r="BB552" s="3264">
        <f t="shared" si="307"/>
        <v>0</v>
      </c>
      <c r="BC552" s="3264">
        <f t="shared" si="308"/>
        <v>0</v>
      </c>
      <c r="BD552" s="3264">
        <f t="shared" si="309"/>
        <v>0</v>
      </c>
      <c r="BE552" s="3264">
        <f t="shared" si="310"/>
        <v>0</v>
      </c>
      <c r="BF552" s="3264">
        <f t="shared" si="311"/>
        <v>0</v>
      </c>
      <c r="BG552" s="3264">
        <f t="shared" si="312"/>
        <v>0</v>
      </c>
      <c r="BH552" s="3264">
        <f t="shared" si="313"/>
        <v>0</v>
      </c>
      <c r="BI552" s="3264">
        <f t="shared" si="314"/>
        <v>0</v>
      </c>
      <c r="BJ552" s="3264">
        <f t="shared" si="315"/>
        <v>0</v>
      </c>
      <c r="BK552" s="3264">
        <f t="shared" si="316"/>
        <v>0</v>
      </c>
      <c r="BL552" s="3264">
        <f t="shared" si="317"/>
        <v>0</v>
      </c>
      <c r="BM552" s="3264">
        <f t="shared" si="318"/>
        <v>0</v>
      </c>
      <c r="BN552" s="3264">
        <f t="shared" si="319"/>
        <v>0</v>
      </c>
      <c r="BO552" s="3264">
        <f t="shared" si="320"/>
        <v>0</v>
      </c>
      <c r="BP552" s="3264">
        <f t="shared" si="321"/>
        <v>0</v>
      </c>
      <c r="BQ552" s="3264">
        <f t="shared" si="322"/>
        <v>0</v>
      </c>
      <c r="BR552" s="3264">
        <f t="shared" si="323"/>
        <v>0</v>
      </c>
      <c r="BS552" s="3264">
        <f t="shared" si="324"/>
        <v>0</v>
      </c>
      <c r="BT552" s="3317">
        <f t="shared" si="325"/>
        <v>0</v>
      </c>
    </row>
    <row r="553" spans="1:72">
      <c r="A553" s="3262"/>
      <c r="B553" s="3263"/>
      <c r="C553" s="3263"/>
      <c r="D553" s="3268"/>
      <c r="E553" s="3264">
        <f t="shared" si="326"/>
        <v>0</v>
      </c>
      <c r="F553" s="3265"/>
      <c r="G553" s="3266">
        <f t="shared" ref="G553:G587" si="327">H553+AC553+AT553</f>
        <v>0</v>
      </c>
      <c r="H553" s="3267">
        <f t="shared" ref="H553:H587" si="328">SUMIF(I$12:AB$12,"总值",I553:AB553)</f>
        <v>0</v>
      </c>
      <c r="I553" s="3275"/>
      <c r="J553" s="3275"/>
      <c r="K553" s="3275"/>
      <c r="L553" s="3275"/>
      <c r="M553" s="3275"/>
      <c r="N553" s="3275"/>
      <c r="O553" s="3275"/>
      <c r="P553" s="3275"/>
      <c r="Q553" s="3275"/>
      <c r="R553" s="3275"/>
      <c r="S553" s="3275"/>
      <c r="T553" s="3275"/>
      <c r="U553" s="3275"/>
      <c r="V553" s="3275"/>
      <c r="W553" s="3275"/>
      <c r="X553" s="3275"/>
      <c r="Y553" s="3275"/>
      <c r="Z553" s="3275"/>
      <c r="AA553" s="3275"/>
      <c r="AB553" s="3275"/>
      <c r="AC553" s="3264">
        <f t="shared" ref="AC553:AC587" si="329">SUMIF(AD$12:AS$12,"总值",AD553:AS553)</f>
        <v>0</v>
      </c>
      <c r="AD553" s="3285"/>
      <c r="AE553" s="3285"/>
      <c r="AF553" s="3285"/>
      <c r="AG553" s="3285"/>
      <c r="AH553" s="3285"/>
      <c r="AI553" s="3285"/>
      <c r="AJ553" s="3285"/>
      <c r="AK553" s="3285"/>
      <c r="AL553" s="3285"/>
      <c r="AM553" s="3285"/>
      <c r="AN553" s="3285"/>
      <c r="AO553" s="3285"/>
      <c r="AP553" s="3285"/>
      <c r="AQ553" s="3285"/>
      <c r="AR553" s="3285"/>
      <c r="AS553" s="3285"/>
      <c r="AT553" s="3295"/>
      <c r="AU553" s="3296"/>
      <c r="AV553" s="830">
        <f t="shared" ref="AV553:AV587" si="330">A553</f>
        <v>0</v>
      </c>
      <c r="AW553" s="830">
        <f t="shared" ref="AW553:AW587" si="331">B553</f>
        <v>0</v>
      </c>
      <c r="AX553" s="830">
        <f t="shared" ref="AX553:AX587" si="332">C553</f>
        <v>0</v>
      </c>
      <c r="AY553" s="3310">
        <f t="shared" ref="AY553:AY587" si="333">ROUND($AY$6*AZ553/$AZ$5,2)</f>
        <v>0</v>
      </c>
      <c r="AZ553" s="3264">
        <f t="shared" ref="AZ553:AZ587" si="334">BA553+BL553</f>
        <v>0</v>
      </c>
      <c r="BA553" s="3264">
        <f t="shared" ref="BA553:BA587" si="335">SUM(BB553:BK553)</f>
        <v>0</v>
      </c>
      <c r="BB553" s="3264">
        <f t="shared" ref="BB553:BB587" si="336">IF($D553="是",I553-J553,0)</f>
        <v>0</v>
      </c>
      <c r="BC553" s="3264">
        <f t="shared" ref="BC553:BC587" si="337">IF($D553="是",K553-L553,0)</f>
        <v>0</v>
      </c>
      <c r="BD553" s="3264">
        <f t="shared" ref="BD553:BD587" si="338">IF($D553="是",M553-N553,0)</f>
        <v>0</v>
      </c>
      <c r="BE553" s="3264">
        <f t="shared" ref="BE553:BE587" si="339">IF($D553="是",O553-P553,0)</f>
        <v>0</v>
      </c>
      <c r="BF553" s="3264">
        <f t="shared" ref="BF553:BF587" si="340">IF($D553="是",Q553-R553,0)</f>
        <v>0</v>
      </c>
      <c r="BG553" s="3264">
        <f t="shared" ref="BG553:BG587" si="341">IF($D553="是",S553-T553,0)</f>
        <v>0</v>
      </c>
      <c r="BH553" s="3264">
        <f t="shared" ref="BH553:BH587" si="342">IF($D553="是",U553-V553,0)</f>
        <v>0</v>
      </c>
      <c r="BI553" s="3264">
        <f t="shared" ref="BI553:BI587" si="343">IF($D553="是",W553-X553,0)</f>
        <v>0</v>
      </c>
      <c r="BJ553" s="3264">
        <f t="shared" ref="BJ553:BJ587" si="344">IF($D553="是",Y553-Z553,0)</f>
        <v>0</v>
      </c>
      <c r="BK553" s="3264">
        <f t="shared" ref="BK553:BK587" si="345">IF($D553="是",AA553-AB553,0)</f>
        <v>0</v>
      </c>
      <c r="BL553" s="3264">
        <f t="shared" ref="BL553:BL587" si="346">SUM(BM553:BT553)</f>
        <v>0</v>
      </c>
      <c r="BM553" s="3264">
        <f t="shared" ref="BM553:BM587" si="347">IF($D553="是",AD553-AE553,0)</f>
        <v>0</v>
      </c>
      <c r="BN553" s="3264">
        <f t="shared" ref="BN553:BN587" si="348">IF($D553="是",AF553-AG553,0)</f>
        <v>0</v>
      </c>
      <c r="BO553" s="3264">
        <f t="shared" ref="BO553:BO587" si="349">IF($D553="是",AH553-AI553,0)</f>
        <v>0</v>
      </c>
      <c r="BP553" s="3264">
        <f t="shared" ref="BP553:BP587" si="350">IF($D553="是",AJ553-AK553,0)</f>
        <v>0</v>
      </c>
      <c r="BQ553" s="3264">
        <f t="shared" ref="BQ553:BQ587" si="351">IF($D553="是",AL553-AM553,0)</f>
        <v>0</v>
      </c>
      <c r="BR553" s="3264">
        <f t="shared" ref="BR553:BR587" si="352">IF($D553="是",AN553-AO553,0)</f>
        <v>0</v>
      </c>
      <c r="BS553" s="3264">
        <f t="shared" ref="BS553:BS587" si="353">IF($D553="是",AP553-AQ553,0)</f>
        <v>0</v>
      </c>
      <c r="BT553" s="3317">
        <f t="shared" ref="BT553:BT587" si="354">IF($D553="是",AR553-AS553,0)</f>
        <v>0</v>
      </c>
    </row>
    <row r="554" spans="1:72">
      <c r="A554" s="3262"/>
      <c r="B554" s="3263"/>
      <c r="C554" s="3263"/>
      <c r="D554" s="3268"/>
      <c r="E554" s="3264">
        <f t="shared" si="326"/>
        <v>0</v>
      </c>
      <c r="F554" s="3265"/>
      <c r="G554" s="3266">
        <f t="shared" si="327"/>
        <v>0</v>
      </c>
      <c r="H554" s="3267">
        <f t="shared" si="328"/>
        <v>0</v>
      </c>
      <c r="I554" s="3275"/>
      <c r="J554" s="3275"/>
      <c r="K554" s="3275"/>
      <c r="L554" s="3275"/>
      <c r="M554" s="3275"/>
      <c r="N554" s="3275"/>
      <c r="O554" s="3275"/>
      <c r="P554" s="3275"/>
      <c r="Q554" s="3275"/>
      <c r="R554" s="3275"/>
      <c r="S554" s="3275"/>
      <c r="T554" s="3275"/>
      <c r="U554" s="3275"/>
      <c r="V554" s="3275"/>
      <c r="W554" s="3275"/>
      <c r="X554" s="3275"/>
      <c r="Y554" s="3275"/>
      <c r="Z554" s="3275"/>
      <c r="AA554" s="3275"/>
      <c r="AB554" s="3275"/>
      <c r="AC554" s="3264">
        <f t="shared" si="329"/>
        <v>0</v>
      </c>
      <c r="AD554" s="3285"/>
      <c r="AE554" s="3285"/>
      <c r="AF554" s="3285"/>
      <c r="AG554" s="3285"/>
      <c r="AH554" s="3285"/>
      <c r="AI554" s="3285"/>
      <c r="AJ554" s="3285"/>
      <c r="AK554" s="3285"/>
      <c r="AL554" s="3285"/>
      <c r="AM554" s="3285"/>
      <c r="AN554" s="3285"/>
      <c r="AO554" s="3285"/>
      <c r="AP554" s="3285"/>
      <c r="AQ554" s="3285"/>
      <c r="AR554" s="3285"/>
      <c r="AS554" s="3285"/>
      <c r="AT554" s="3295"/>
      <c r="AU554" s="3296"/>
      <c r="AV554" s="830">
        <f t="shared" si="330"/>
        <v>0</v>
      </c>
      <c r="AW554" s="830">
        <f t="shared" si="331"/>
        <v>0</v>
      </c>
      <c r="AX554" s="830">
        <f t="shared" si="332"/>
        <v>0</v>
      </c>
      <c r="AY554" s="3310">
        <f t="shared" si="333"/>
        <v>0</v>
      </c>
      <c r="AZ554" s="3264">
        <f t="shared" si="334"/>
        <v>0</v>
      </c>
      <c r="BA554" s="3264">
        <f t="shared" si="335"/>
        <v>0</v>
      </c>
      <c r="BB554" s="3264">
        <f t="shared" si="336"/>
        <v>0</v>
      </c>
      <c r="BC554" s="3264">
        <f t="shared" si="337"/>
        <v>0</v>
      </c>
      <c r="BD554" s="3264">
        <f t="shared" si="338"/>
        <v>0</v>
      </c>
      <c r="BE554" s="3264">
        <f t="shared" si="339"/>
        <v>0</v>
      </c>
      <c r="BF554" s="3264">
        <f t="shared" si="340"/>
        <v>0</v>
      </c>
      <c r="BG554" s="3264">
        <f t="shared" si="341"/>
        <v>0</v>
      </c>
      <c r="BH554" s="3264">
        <f t="shared" si="342"/>
        <v>0</v>
      </c>
      <c r="BI554" s="3264">
        <f t="shared" si="343"/>
        <v>0</v>
      </c>
      <c r="BJ554" s="3264">
        <f t="shared" si="344"/>
        <v>0</v>
      </c>
      <c r="BK554" s="3264">
        <f t="shared" si="345"/>
        <v>0</v>
      </c>
      <c r="BL554" s="3264">
        <f t="shared" si="346"/>
        <v>0</v>
      </c>
      <c r="BM554" s="3264">
        <f t="shared" si="347"/>
        <v>0</v>
      </c>
      <c r="BN554" s="3264">
        <f t="shared" si="348"/>
        <v>0</v>
      </c>
      <c r="BO554" s="3264">
        <f t="shared" si="349"/>
        <v>0</v>
      </c>
      <c r="BP554" s="3264">
        <f t="shared" si="350"/>
        <v>0</v>
      </c>
      <c r="BQ554" s="3264">
        <f t="shared" si="351"/>
        <v>0</v>
      </c>
      <c r="BR554" s="3264">
        <f t="shared" si="352"/>
        <v>0</v>
      </c>
      <c r="BS554" s="3264">
        <f t="shared" si="353"/>
        <v>0</v>
      </c>
      <c r="BT554" s="3317">
        <f t="shared" si="354"/>
        <v>0</v>
      </c>
    </row>
    <row r="555" spans="1:72">
      <c r="A555" s="3262"/>
      <c r="B555" s="3263"/>
      <c r="C555" s="3263"/>
      <c r="D555" s="3268"/>
      <c r="E555" s="3264">
        <f t="shared" si="326"/>
        <v>0</v>
      </c>
      <c r="F555" s="3265"/>
      <c r="G555" s="3266">
        <f t="shared" si="327"/>
        <v>0</v>
      </c>
      <c r="H555" s="3267">
        <f t="shared" si="328"/>
        <v>0</v>
      </c>
      <c r="I555" s="3275"/>
      <c r="J555" s="3275"/>
      <c r="K555" s="3275"/>
      <c r="L555" s="3275"/>
      <c r="M555" s="3275"/>
      <c r="N555" s="3275"/>
      <c r="O555" s="3275"/>
      <c r="P555" s="3275"/>
      <c r="Q555" s="3275"/>
      <c r="R555" s="3275"/>
      <c r="S555" s="3275"/>
      <c r="T555" s="3275"/>
      <c r="U555" s="3275"/>
      <c r="V555" s="3275"/>
      <c r="W555" s="3275"/>
      <c r="X555" s="3275"/>
      <c r="Y555" s="3275"/>
      <c r="Z555" s="3275"/>
      <c r="AA555" s="3275"/>
      <c r="AB555" s="3275"/>
      <c r="AC555" s="3264">
        <f t="shared" si="329"/>
        <v>0</v>
      </c>
      <c r="AD555" s="3285"/>
      <c r="AE555" s="3285"/>
      <c r="AF555" s="3285"/>
      <c r="AG555" s="3285"/>
      <c r="AH555" s="3285"/>
      <c r="AI555" s="3285"/>
      <c r="AJ555" s="3285"/>
      <c r="AK555" s="3285"/>
      <c r="AL555" s="3285"/>
      <c r="AM555" s="3285"/>
      <c r="AN555" s="3285"/>
      <c r="AO555" s="3285"/>
      <c r="AP555" s="3285"/>
      <c r="AQ555" s="3285"/>
      <c r="AR555" s="3285"/>
      <c r="AS555" s="3285"/>
      <c r="AT555" s="3295"/>
      <c r="AU555" s="3296"/>
      <c r="AV555" s="830">
        <f t="shared" si="330"/>
        <v>0</v>
      </c>
      <c r="AW555" s="830">
        <f t="shared" si="331"/>
        <v>0</v>
      </c>
      <c r="AX555" s="830">
        <f t="shared" si="332"/>
        <v>0</v>
      </c>
      <c r="AY555" s="3310">
        <f t="shared" si="333"/>
        <v>0</v>
      </c>
      <c r="AZ555" s="3264">
        <f t="shared" si="334"/>
        <v>0</v>
      </c>
      <c r="BA555" s="3264">
        <f t="shared" si="335"/>
        <v>0</v>
      </c>
      <c r="BB555" s="3264">
        <f t="shared" si="336"/>
        <v>0</v>
      </c>
      <c r="BC555" s="3264">
        <f t="shared" si="337"/>
        <v>0</v>
      </c>
      <c r="BD555" s="3264">
        <f t="shared" si="338"/>
        <v>0</v>
      </c>
      <c r="BE555" s="3264">
        <f t="shared" si="339"/>
        <v>0</v>
      </c>
      <c r="BF555" s="3264">
        <f t="shared" si="340"/>
        <v>0</v>
      </c>
      <c r="BG555" s="3264">
        <f t="shared" si="341"/>
        <v>0</v>
      </c>
      <c r="BH555" s="3264">
        <f t="shared" si="342"/>
        <v>0</v>
      </c>
      <c r="BI555" s="3264">
        <f t="shared" si="343"/>
        <v>0</v>
      </c>
      <c r="BJ555" s="3264">
        <f t="shared" si="344"/>
        <v>0</v>
      </c>
      <c r="BK555" s="3264">
        <f t="shared" si="345"/>
        <v>0</v>
      </c>
      <c r="BL555" s="3264">
        <f t="shared" si="346"/>
        <v>0</v>
      </c>
      <c r="BM555" s="3264">
        <f t="shared" si="347"/>
        <v>0</v>
      </c>
      <c r="BN555" s="3264">
        <f t="shared" si="348"/>
        <v>0</v>
      </c>
      <c r="BO555" s="3264">
        <f t="shared" si="349"/>
        <v>0</v>
      </c>
      <c r="BP555" s="3264">
        <f t="shared" si="350"/>
        <v>0</v>
      </c>
      <c r="BQ555" s="3264">
        <f t="shared" si="351"/>
        <v>0</v>
      </c>
      <c r="BR555" s="3264">
        <f t="shared" si="352"/>
        <v>0</v>
      </c>
      <c r="BS555" s="3264">
        <f t="shared" si="353"/>
        <v>0</v>
      </c>
      <c r="BT555" s="3317">
        <f t="shared" si="354"/>
        <v>0</v>
      </c>
    </row>
    <row r="556" spans="1:72">
      <c r="A556" s="3262"/>
      <c r="B556" s="3263"/>
      <c r="C556" s="3263"/>
      <c r="D556" s="3268"/>
      <c r="E556" s="3264">
        <f t="shared" si="326"/>
        <v>0</v>
      </c>
      <c r="F556" s="3265"/>
      <c r="G556" s="3266">
        <f t="shared" si="327"/>
        <v>0</v>
      </c>
      <c r="H556" s="3267">
        <f t="shared" si="328"/>
        <v>0</v>
      </c>
      <c r="I556" s="3275"/>
      <c r="J556" s="3275"/>
      <c r="K556" s="3275"/>
      <c r="L556" s="3275"/>
      <c r="M556" s="3275"/>
      <c r="N556" s="3275"/>
      <c r="O556" s="3275"/>
      <c r="P556" s="3275"/>
      <c r="Q556" s="3275"/>
      <c r="R556" s="3275"/>
      <c r="S556" s="3275"/>
      <c r="T556" s="3275"/>
      <c r="U556" s="3275"/>
      <c r="V556" s="3275"/>
      <c r="W556" s="3275"/>
      <c r="X556" s="3275"/>
      <c r="Y556" s="3275"/>
      <c r="Z556" s="3275"/>
      <c r="AA556" s="3275"/>
      <c r="AB556" s="3275"/>
      <c r="AC556" s="3264">
        <f t="shared" si="329"/>
        <v>0</v>
      </c>
      <c r="AD556" s="3285"/>
      <c r="AE556" s="3285"/>
      <c r="AF556" s="3285"/>
      <c r="AG556" s="3285"/>
      <c r="AH556" s="3285"/>
      <c r="AI556" s="3285"/>
      <c r="AJ556" s="3285"/>
      <c r="AK556" s="3285"/>
      <c r="AL556" s="3285"/>
      <c r="AM556" s="3285"/>
      <c r="AN556" s="3285"/>
      <c r="AO556" s="3285"/>
      <c r="AP556" s="3285"/>
      <c r="AQ556" s="3285"/>
      <c r="AR556" s="3285"/>
      <c r="AS556" s="3285"/>
      <c r="AT556" s="3295"/>
      <c r="AU556" s="3296"/>
      <c r="AV556" s="830">
        <f t="shared" si="330"/>
        <v>0</v>
      </c>
      <c r="AW556" s="830">
        <f t="shared" si="331"/>
        <v>0</v>
      </c>
      <c r="AX556" s="830">
        <f t="shared" si="332"/>
        <v>0</v>
      </c>
      <c r="AY556" s="3310">
        <f t="shared" si="333"/>
        <v>0</v>
      </c>
      <c r="AZ556" s="3264">
        <f t="shared" si="334"/>
        <v>0</v>
      </c>
      <c r="BA556" s="3264">
        <f t="shared" si="335"/>
        <v>0</v>
      </c>
      <c r="BB556" s="3264">
        <f t="shared" si="336"/>
        <v>0</v>
      </c>
      <c r="BC556" s="3264">
        <f t="shared" si="337"/>
        <v>0</v>
      </c>
      <c r="BD556" s="3264">
        <f t="shared" si="338"/>
        <v>0</v>
      </c>
      <c r="BE556" s="3264">
        <f t="shared" si="339"/>
        <v>0</v>
      </c>
      <c r="BF556" s="3264">
        <f t="shared" si="340"/>
        <v>0</v>
      </c>
      <c r="BG556" s="3264">
        <f t="shared" si="341"/>
        <v>0</v>
      </c>
      <c r="BH556" s="3264">
        <f t="shared" si="342"/>
        <v>0</v>
      </c>
      <c r="BI556" s="3264">
        <f t="shared" si="343"/>
        <v>0</v>
      </c>
      <c r="BJ556" s="3264">
        <f t="shared" si="344"/>
        <v>0</v>
      </c>
      <c r="BK556" s="3264">
        <f t="shared" si="345"/>
        <v>0</v>
      </c>
      <c r="BL556" s="3264">
        <f t="shared" si="346"/>
        <v>0</v>
      </c>
      <c r="BM556" s="3264">
        <f t="shared" si="347"/>
        <v>0</v>
      </c>
      <c r="BN556" s="3264">
        <f t="shared" si="348"/>
        <v>0</v>
      </c>
      <c r="BO556" s="3264">
        <f t="shared" si="349"/>
        <v>0</v>
      </c>
      <c r="BP556" s="3264">
        <f t="shared" si="350"/>
        <v>0</v>
      </c>
      <c r="BQ556" s="3264">
        <f t="shared" si="351"/>
        <v>0</v>
      </c>
      <c r="BR556" s="3264">
        <f t="shared" si="352"/>
        <v>0</v>
      </c>
      <c r="BS556" s="3264">
        <f t="shared" si="353"/>
        <v>0</v>
      </c>
      <c r="BT556" s="3317">
        <f t="shared" si="354"/>
        <v>0</v>
      </c>
    </row>
    <row r="557" spans="1:72">
      <c r="A557" s="3262"/>
      <c r="B557" s="3263"/>
      <c r="C557" s="3263"/>
      <c r="D557" s="3268"/>
      <c r="E557" s="3264">
        <f t="shared" si="326"/>
        <v>0</v>
      </c>
      <c r="F557" s="3265"/>
      <c r="G557" s="3266">
        <f t="shared" si="327"/>
        <v>0</v>
      </c>
      <c r="H557" s="3267">
        <f t="shared" si="328"/>
        <v>0</v>
      </c>
      <c r="I557" s="3275"/>
      <c r="J557" s="3275"/>
      <c r="K557" s="3275"/>
      <c r="L557" s="3275"/>
      <c r="M557" s="3275"/>
      <c r="N557" s="3275"/>
      <c r="O557" s="3275"/>
      <c r="P557" s="3275"/>
      <c r="Q557" s="3275"/>
      <c r="R557" s="3275"/>
      <c r="S557" s="3275"/>
      <c r="T557" s="3275"/>
      <c r="U557" s="3275"/>
      <c r="V557" s="3275"/>
      <c r="W557" s="3275"/>
      <c r="X557" s="3275"/>
      <c r="Y557" s="3275"/>
      <c r="Z557" s="3275"/>
      <c r="AA557" s="3275"/>
      <c r="AB557" s="3275"/>
      <c r="AC557" s="3264">
        <f t="shared" si="329"/>
        <v>0</v>
      </c>
      <c r="AD557" s="3285"/>
      <c r="AE557" s="3285"/>
      <c r="AF557" s="3285"/>
      <c r="AG557" s="3285"/>
      <c r="AH557" s="3285"/>
      <c r="AI557" s="3285"/>
      <c r="AJ557" s="3285"/>
      <c r="AK557" s="3285"/>
      <c r="AL557" s="3285"/>
      <c r="AM557" s="3285"/>
      <c r="AN557" s="3285"/>
      <c r="AO557" s="3285"/>
      <c r="AP557" s="3285"/>
      <c r="AQ557" s="3285"/>
      <c r="AR557" s="3285"/>
      <c r="AS557" s="3285"/>
      <c r="AT557" s="3295"/>
      <c r="AU557" s="3296"/>
      <c r="AV557" s="830">
        <f t="shared" si="330"/>
        <v>0</v>
      </c>
      <c r="AW557" s="830">
        <f t="shared" si="331"/>
        <v>0</v>
      </c>
      <c r="AX557" s="830">
        <f t="shared" si="332"/>
        <v>0</v>
      </c>
      <c r="AY557" s="3310">
        <f t="shared" si="333"/>
        <v>0</v>
      </c>
      <c r="AZ557" s="3264">
        <f t="shared" si="334"/>
        <v>0</v>
      </c>
      <c r="BA557" s="3264">
        <f t="shared" si="335"/>
        <v>0</v>
      </c>
      <c r="BB557" s="3264">
        <f t="shared" si="336"/>
        <v>0</v>
      </c>
      <c r="BC557" s="3264">
        <f t="shared" si="337"/>
        <v>0</v>
      </c>
      <c r="BD557" s="3264">
        <f t="shared" si="338"/>
        <v>0</v>
      </c>
      <c r="BE557" s="3264">
        <f t="shared" si="339"/>
        <v>0</v>
      </c>
      <c r="BF557" s="3264">
        <f t="shared" si="340"/>
        <v>0</v>
      </c>
      <c r="BG557" s="3264">
        <f t="shared" si="341"/>
        <v>0</v>
      </c>
      <c r="BH557" s="3264">
        <f t="shared" si="342"/>
        <v>0</v>
      </c>
      <c r="BI557" s="3264">
        <f t="shared" si="343"/>
        <v>0</v>
      </c>
      <c r="BJ557" s="3264">
        <f t="shared" si="344"/>
        <v>0</v>
      </c>
      <c r="BK557" s="3264">
        <f t="shared" si="345"/>
        <v>0</v>
      </c>
      <c r="BL557" s="3264">
        <f t="shared" si="346"/>
        <v>0</v>
      </c>
      <c r="BM557" s="3264">
        <f t="shared" si="347"/>
        <v>0</v>
      </c>
      <c r="BN557" s="3264">
        <f t="shared" si="348"/>
        <v>0</v>
      </c>
      <c r="BO557" s="3264">
        <f t="shared" si="349"/>
        <v>0</v>
      </c>
      <c r="BP557" s="3264">
        <f t="shared" si="350"/>
        <v>0</v>
      </c>
      <c r="BQ557" s="3264">
        <f t="shared" si="351"/>
        <v>0</v>
      </c>
      <c r="BR557" s="3264">
        <f t="shared" si="352"/>
        <v>0</v>
      </c>
      <c r="BS557" s="3264">
        <f t="shared" si="353"/>
        <v>0</v>
      </c>
      <c r="BT557" s="3317">
        <f t="shared" si="354"/>
        <v>0</v>
      </c>
    </row>
    <row r="558" spans="1:72">
      <c r="A558" s="3262"/>
      <c r="B558" s="3263"/>
      <c r="C558" s="3263"/>
      <c r="D558" s="3268"/>
      <c r="E558" s="3264">
        <f t="shared" si="326"/>
        <v>0</v>
      </c>
      <c r="F558" s="3265"/>
      <c r="G558" s="3266">
        <f t="shared" si="327"/>
        <v>0</v>
      </c>
      <c r="H558" s="3267">
        <f t="shared" si="328"/>
        <v>0</v>
      </c>
      <c r="I558" s="3275"/>
      <c r="J558" s="3275"/>
      <c r="K558" s="3275"/>
      <c r="L558" s="3275"/>
      <c r="M558" s="3275"/>
      <c r="N558" s="3275"/>
      <c r="O558" s="3275"/>
      <c r="P558" s="3275"/>
      <c r="Q558" s="3275"/>
      <c r="R558" s="3275"/>
      <c r="S558" s="3275"/>
      <c r="T558" s="3275"/>
      <c r="U558" s="3275"/>
      <c r="V558" s="3275"/>
      <c r="W558" s="3275"/>
      <c r="X558" s="3275"/>
      <c r="Y558" s="3275"/>
      <c r="Z558" s="3275"/>
      <c r="AA558" s="3275"/>
      <c r="AB558" s="3275"/>
      <c r="AC558" s="3264">
        <f t="shared" si="329"/>
        <v>0</v>
      </c>
      <c r="AD558" s="3285"/>
      <c r="AE558" s="3285"/>
      <c r="AF558" s="3285"/>
      <c r="AG558" s="3285"/>
      <c r="AH558" s="3285"/>
      <c r="AI558" s="3285"/>
      <c r="AJ558" s="3285"/>
      <c r="AK558" s="3285"/>
      <c r="AL558" s="3285"/>
      <c r="AM558" s="3285"/>
      <c r="AN558" s="3285"/>
      <c r="AO558" s="3285"/>
      <c r="AP558" s="3285"/>
      <c r="AQ558" s="3285"/>
      <c r="AR558" s="3285"/>
      <c r="AS558" s="3285"/>
      <c r="AT558" s="3295"/>
      <c r="AU558" s="3296"/>
      <c r="AV558" s="830">
        <f t="shared" si="330"/>
        <v>0</v>
      </c>
      <c r="AW558" s="830">
        <f t="shared" si="331"/>
        <v>0</v>
      </c>
      <c r="AX558" s="830">
        <f t="shared" si="332"/>
        <v>0</v>
      </c>
      <c r="AY558" s="3310">
        <f t="shared" si="333"/>
        <v>0</v>
      </c>
      <c r="AZ558" s="3264">
        <f t="shared" si="334"/>
        <v>0</v>
      </c>
      <c r="BA558" s="3264">
        <f t="shared" si="335"/>
        <v>0</v>
      </c>
      <c r="BB558" s="3264">
        <f t="shared" si="336"/>
        <v>0</v>
      </c>
      <c r="BC558" s="3264">
        <f t="shared" si="337"/>
        <v>0</v>
      </c>
      <c r="BD558" s="3264">
        <f t="shared" si="338"/>
        <v>0</v>
      </c>
      <c r="BE558" s="3264">
        <f t="shared" si="339"/>
        <v>0</v>
      </c>
      <c r="BF558" s="3264">
        <f t="shared" si="340"/>
        <v>0</v>
      </c>
      <c r="BG558" s="3264">
        <f t="shared" si="341"/>
        <v>0</v>
      </c>
      <c r="BH558" s="3264">
        <f t="shared" si="342"/>
        <v>0</v>
      </c>
      <c r="BI558" s="3264">
        <f t="shared" si="343"/>
        <v>0</v>
      </c>
      <c r="BJ558" s="3264">
        <f t="shared" si="344"/>
        <v>0</v>
      </c>
      <c r="BK558" s="3264">
        <f t="shared" si="345"/>
        <v>0</v>
      </c>
      <c r="BL558" s="3264">
        <f t="shared" si="346"/>
        <v>0</v>
      </c>
      <c r="BM558" s="3264">
        <f t="shared" si="347"/>
        <v>0</v>
      </c>
      <c r="BN558" s="3264">
        <f t="shared" si="348"/>
        <v>0</v>
      </c>
      <c r="BO558" s="3264">
        <f t="shared" si="349"/>
        <v>0</v>
      </c>
      <c r="BP558" s="3264">
        <f t="shared" si="350"/>
        <v>0</v>
      </c>
      <c r="BQ558" s="3264">
        <f t="shared" si="351"/>
        <v>0</v>
      </c>
      <c r="BR558" s="3264">
        <f t="shared" si="352"/>
        <v>0</v>
      </c>
      <c r="BS558" s="3264">
        <f t="shared" si="353"/>
        <v>0</v>
      </c>
      <c r="BT558" s="3317">
        <f t="shared" si="354"/>
        <v>0</v>
      </c>
    </row>
    <row r="559" spans="1:72">
      <c r="A559" s="3262"/>
      <c r="B559" s="3263"/>
      <c r="C559" s="3263"/>
      <c r="D559" s="3268"/>
      <c r="E559" s="3264">
        <f t="shared" si="326"/>
        <v>0</v>
      </c>
      <c r="F559" s="3265"/>
      <c r="G559" s="3266">
        <f t="shared" si="327"/>
        <v>0</v>
      </c>
      <c r="H559" s="3267">
        <f t="shared" si="328"/>
        <v>0</v>
      </c>
      <c r="I559" s="3275"/>
      <c r="J559" s="3275"/>
      <c r="K559" s="3275"/>
      <c r="L559" s="3275"/>
      <c r="M559" s="3275"/>
      <c r="N559" s="3275"/>
      <c r="O559" s="3275"/>
      <c r="P559" s="3275"/>
      <c r="Q559" s="3275"/>
      <c r="R559" s="3275"/>
      <c r="S559" s="3275"/>
      <c r="T559" s="3275"/>
      <c r="U559" s="3275"/>
      <c r="V559" s="3275"/>
      <c r="W559" s="3275"/>
      <c r="X559" s="3275"/>
      <c r="Y559" s="3275"/>
      <c r="Z559" s="3275"/>
      <c r="AA559" s="3275"/>
      <c r="AB559" s="3275"/>
      <c r="AC559" s="3264">
        <f t="shared" si="329"/>
        <v>0</v>
      </c>
      <c r="AD559" s="3285"/>
      <c r="AE559" s="3285"/>
      <c r="AF559" s="3285"/>
      <c r="AG559" s="3285"/>
      <c r="AH559" s="3285"/>
      <c r="AI559" s="3285"/>
      <c r="AJ559" s="3285"/>
      <c r="AK559" s="3285"/>
      <c r="AL559" s="3285"/>
      <c r="AM559" s="3285"/>
      <c r="AN559" s="3285"/>
      <c r="AO559" s="3285"/>
      <c r="AP559" s="3285"/>
      <c r="AQ559" s="3285"/>
      <c r="AR559" s="3285"/>
      <c r="AS559" s="3285"/>
      <c r="AT559" s="3295"/>
      <c r="AU559" s="3296"/>
      <c r="AV559" s="830">
        <f t="shared" si="330"/>
        <v>0</v>
      </c>
      <c r="AW559" s="830">
        <f t="shared" si="331"/>
        <v>0</v>
      </c>
      <c r="AX559" s="830">
        <f t="shared" si="332"/>
        <v>0</v>
      </c>
      <c r="AY559" s="3310">
        <f t="shared" si="333"/>
        <v>0</v>
      </c>
      <c r="AZ559" s="3264">
        <f t="shared" si="334"/>
        <v>0</v>
      </c>
      <c r="BA559" s="3264">
        <f t="shared" si="335"/>
        <v>0</v>
      </c>
      <c r="BB559" s="3264">
        <f t="shared" si="336"/>
        <v>0</v>
      </c>
      <c r="BC559" s="3264">
        <f t="shared" si="337"/>
        <v>0</v>
      </c>
      <c r="BD559" s="3264">
        <f t="shared" si="338"/>
        <v>0</v>
      </c>
      <c r="BE559" s="3264">
        <f t="shared" si="339"/>
        <v>0</v>
      </c>
      <c r="BF559" s="3264">
        <f t="shared" si="340"/>
        <v>0</v>
      </c>
      <c r="BG559" s="3264">
        <f t="shared" si="341"/>
        <v>0</v>
      </c>
      <c r="BH559" s="3264">
        <f t="shared" si="342"/>
        <v>0</v>
      </c>
      <c r="BI559" s="3264">
        <f t="shared" si="343"/>
        <v>0</v>
      </c>
      <c r="BJ559" s="3264">
        <f t="shared" si="344"/>
        <v>0</v>
      </c>
      <c r="BK559" s="3264">
        <f t="shared" si="345"/>
        <v>0</v>
      </c>
      <c r="BL559" s="3264">
        <f t="shared" si="346"/>
        <v>0</v>
      </c>
      <c r="BM559" s="3264">
        <f t="shared" si="347"/>
        <v>0</v>
      </c>
      <c r="BN559" s="3264">
        <f t="shared" si="348"/>
        <v>0</v>
      </c>
      <c r="BO559" s="3264">
        <f t="shared" si="349"/>
        <v>0</v>
      </c>
      <c r="BP559" s="3264">
        <f t="shared" si="350"/>
        <v>0</v>
      </c>
      <c r="BQ559" s="3264">
        <f t="shared" si="351"/>
        <v>0</v>
      </c>
      <c r="BR559" s="3264">
        <f t="shared" si="352"/>
        <v>0</v>
      </c>
      <c r="BS559" s="3264">
        <f t="shared" si="353"/>
        <v>0</v>
      </c>
      <c r="BT559" s="3317">
        <f t="shared" si="354"/>
        <v>0</v>
      </c>
    </row>
    <row r="560" spans="1:72">
      <c r="A560" s="3262"/>
      <c r="B560" s="3263"/>
      <c r="C560" s="3263"/>
      <c r="D560" s="3268"/>
      <c r="E560" s="3264">
        <f t="shared" si="326"/>
        <v>0</v>
      </c>
      <c r="F560" s="3265"/>
      <c r="G560" s="3266">
        <f t="shared" si="327"/>
        <v>0</v>
      </c>
      <c r="H560" s="3267">
        <f t="shared" si="328"/>
        <v>0</v>
      </c>
      <c r="I560" s="3275"/>
      <c r="J560" s="3275"/>
      <c r="K560" s="3275"/>
      <c r="L560" s="3275"/>
      <c r="M560" s="3275"/>
      <c r="N560" s="3275"/>
      <c r="O560" s="3275"/>
      <c r="P560" s="3275"/>
      <c r="Q560" s="3275"/>
      <c r="R560" s="3275"/>
      <c r="S560" s="3275"/>
      <c r="T560" s="3275"/>
      <c r="U560" s="3275"/>
      <c r="V560" s="3275"/>
      <c r="W560" s="3275"/>
      <c r="X560" s="3275"/>
      <c r="Y560" s="3275"/>
      <c r="Z560" s="3275"/>
      <c r="AA560" s="3275"/>
      <c r="AB560" s="3275"/>
      <c r="AC560" s="3264">
        <f t="shared" si="329"/>
        <v>0</v>
      </c>
      <c r="AD560" s="3285"/>
      <c r="AE560" s="3285"/>
      <c r="AF560" s="3285"/>
      <c r="AG560" s="3285"/>
      <c r="AH560" s="3285"/>
      <c r="AI560" s="3285"/>
      <c r="AJ560" s="3285"/>
      <c r="AK560" s="3285"/>
      <c r="AL560" s="3285"/>
      <c r="AM560" s="3285"/>
      <c r="AN560" s="3285"/>
      <c r="AO560" s="3285"/>
      <c r="AP560" s="3285"/>
      <c r="AQ560" s="3285"/>
      <c r="AR560" s="3285"/>
      <c r="AS560" s="3285"/>
      <c r="AT560" s="3295"/>
      <c r="AU560" s="3296"/>
      <c r="AV560" s="830">
        <f t="shared" si="330"/>
        <v>0</v>
      </c>
      <c r="AW560" s="830">
        <f t="shared" si="331"/>
        <v>0</v>
      </c>
      <c r="AX560" s="830">
        <f t="shared" si="332"/>
        <v>0</v>
      </c>
      <c r="AY560" s="3310">
        <f t="shared" si="333"/>
        <v>0</v>
      </c>
      <c r="AZ560" s="3264">
        <f t="shared" si="334"/>
        <v>0</v>
      </c>
      <c r="BA560" s="3264">
        <f t="shared" si="335"/>
        <v>0</v>
      </c>
      <c r="BB560" s="3264">
        <f t="shared" si="336"/>
        <v>0</v>
      </c>
      <c r="BC560" s="3264">
        <f t="shared" si="337"/>
        <v>0</v>
      </c>
      <c r="BD560" s="3264">
        <f t="shared" si="338"/>
        <v>0</v>
      </c>
      <c r="BE560" s="3264">
        <f t="shared" si="339"/>
        <v>0</v>
      </c>
      <c r="BF560" s="3264">
        <f t="shared" si="340"/>
        <v>0</v>
      </c>
      <c r="BG560" s="3264">
        <f t="shared" si="341"/>
        <v>0</v>
      </c>
      <c r="BH560" s="3264">
        <f t="shared" si="342"/>
        <v>0</v>
      </c>
      <c r="BI560" s="3264">
        <f t="shared" si="343"/>
        <v>0</v>
      </c>
      <c r="BJ560" s="3264">
        <f t="shared" si="344"/>
        <v>0</v>
      </c>
      <c r="BK560" s="3264">
        <f t="shared" si="345"/>
        <v>0</v>
      </c>
      <c r="BL560" s="3264">
        <f t="shared" si="346"/>
        <v>0</v>
      </c>
      <c r="BM560" s="3264">
        <f t="shared" si="347"/>
        <v>0</v>
      </c>
      <c r="BN560" s="3264">
        <f t="shared" si="348"/>
        <v>0</v>
      </c>
      <c r="BO560" s="3264">
        <f t="shared" si="349"/>
        <v>0</v>
      </c>
      <c r="BP560" s="3264">
        <f t="shared" si="350"/>
        <v>0</v>
      </c>
      <c r="BQ560" s="3264">
        <f t="shared" si="351"/>
        <v>0</v>
      </c>
      <c r="BR560" s="3264">
        <f t="shared" si="352"/>
        <v>0</v>
      </c>
      <c r="BS560" s="3264">
        <f t="shared" si="353"/>
        <v>0</v>
      </c>
      <c r="BT560" s="3317">
        <f t="shared" si="354"/>
        <v>0</v>
      </c>
    </row>
    <row r="561" spans="1:72">
      <c r="A561" s="3262"/>
      <c r="B561" s="3263"/>
      <c r="C561" s="3263"/>
      <c r="D561" s="3268"/>
      <c r="E561" s="3264">
        <f t="shared" si="326"/>
        <v>0</v>
      </c>
      <c r="F561" s="3265"/>
      <c r="G561" s="3266">
        <f t="shared" si="327"/>
        <v>0</v>
      </c>
      <c r="H561" s="3267">
        <f t="shared" si="328"/>
        <v>0</v>
      </c>
      <c r="I561" s="3275"/>
      <c r="J561" s="3275"/>
      <c r="K561" s="3275"/>
      <c r="L561" s="3275"/>
      <c r="M561" s="3275"/>
      <c r="N561" s="3275"/>
      <c r="O561" s="3275"/>
      <c r="P561" s="3275"/>
      <c r="Q561" s="3275"/>
      <c r="R561" s="3275"/>
      <c r="S561" s="3275"/>
      <c r="T561" s="3275"/>
      <c r="U561" s="3275"/>
      <c r="V561" s="3275"/>
      <c r="W561" s="3275"/>
      <c r="X561" s="3275"/>
      <c r="Y561" s="3275"/>
      <c r="Z561" s="3275"/>
      <c r="AA561" s="3275"/>
      <c r="AB561" s="3275"/>
      <c r="AC561" s="3264">
        <f t="shared" si="329"/>
        <v>0</v>
      </c>
      <c r="AD561" s="3285"/>
      <c r="AE561" s="3285"/>
      <c r="AF561" s="3285"/>
      <c r="AG561" s="3285"/>
      <c r="AH561" s="3285"/>
      <c r="AI561" s="3285"/>
      <c r="AJ561" s="3285"/>
      <c r="AK561" s="3285"/>
      <c r="AL561" s="3285"/>
      <c r="AM561" s="3285"/>
      <c r="AN561" s="3285"/>
      <c r="AO561" s="3285"/>
      <c r="AP561" s="3285"/>
      <c r="AQ561" s="3285"/>
      <c r="AR561" s="3285"/>
      <c r="AS561" s="3285"/>
      <c r="AT561" s="3295"/>
      <c r="AU561" s="3296"/>
      <c r="AV561" s="830">
        <f t="shared" si="330"/>
        <v>0</v>
      </c>
      <c r="AW561" s="830">
        <f t="shared" si="331"/>
        <v>0</v>
      </c>
      <c r="AX561" s="830">
        <f t="shared" si="332"/>
        <v>0</v>
      </c>
      <c r="AY561" s="3310">
        <f t="shared" si="333"/>
        <v>0</v>
      </c>
      <c r="AZ561" s="3264">
        <f t="shared" si="334"/>
        <v>0</v>
      </c>
      <c r="BA561" s="3264">
        <f t="shared" si="335"/>
        <v>0</v>
      </c>
      <c r="BB561" s="3264">
        <f t="shared" si="336"/>
        <v>0</v>
      </c>
      <c r="BC561" s="3264">
        <f t="shared" si="337"/>
        <v>0</v>
      </c>
      <c r="BD561" s="3264">
        <f t="shared" si="338"/>
        <v>0</v>
      </c>
      <c r="BE561" s="3264">
        <f t="shared" si="339"/>
        <v>0</v>
      </c>
      <c r="BF561" s="3264">
        <f t="shared" si="340"/>
        <v>0</v>
      </c>
      <c r="BG561" s="3264">
        <f t="shared" si="341"/>
        <v>0</v>
      </c>
      <c r="BH561" s="3264">
        <f t="shared" si="342"/>
        <v>0</v>
      </c>
      <c r="BI561" s="3264">
        <f t="shared" si="343"/>
        <v>0</v>
      </c>
      <c r="BJ561" s="3264">
        <f t="shared" si="344"/>
        <v>0</v>
      </c>
      <c r="BK561" s="3264">
        <f t="shared" si="345"/>
        <v>0</v>
      </c>
      <c r="BL561" s="3264">
        <f t="shared" si="346"/>
        <v>0</v>
      </c>
      <c r="BM561" s="3264">
        <f t="shared" si="347"/>
        <v>0</v>
      </c>
      <c r="BN561" s="3264">
        <f t="shared" si="348"/>
        <v>0</v>
      </c>
      <c r="BO561" s="3264">
        <f t="shared" si="349"/>
        <v>0</v>
      </c>
      <c r="BP561" s="3264">
        <f t="shared" si="350"/>
        <v>0</v>
      </c>
      <c r="BQ561" s="3264">
        <f t="shared" si="351"/>
        <v>0</v>
      </c>
      <c r="BR561" s="3264">
        <f t="shared" si="352"/>
        <v>0</v>
      </c>
      <c r="BS561" s="3264">
        <f t="shared" si="353"/>
        <v>0</v>
      </c>
      <c r="BT561" s="3317">
        <f t="shared" si="354"/>
        <v>0</v>
      </c>
    </row>
    <row r="562" spans="1:72">
      <c r="A562" s="3262"/>
      <c r="B562" s="3263"/>
      <c r="C562" s="3263"/>
      <c r="D562" s="3268"/>
      <c r="E562" s="3264">
        <f t="shared" si="326"/>
        <v>0</v>
      </c>
      <c r="F562" s="3265"/>
      <c r="G562" s="3266">
        <f t="shared" si="327"/>
        <v>0</v>
      </c>
      <c r="H562" s="3267">
        <f t="shared" si="328"/>
        <v>0</v>
      </c>
      <c r="I562" s="3275"/>
      <c r="J562" s="3275"/>
      <c r="K562" s="3275"/>
      <c r="L562" s="3275"/>
      <c r="M562" s="3275"/>
      <c r="N562" s="3275"/>
      <c r="O562" s="3275"/>
      <c r="P562" s="3275"/>
      <c r="Q562" s="3275"/>
      <c r="R562" s="3275"/>
      <c r="S562" s="3275"/>
      <c r="T562" s="3275"/>
      <c r="U562" s="3275"/>
      <c r="V562" s="3275"/>
      <c r="W562" s="3275"/>
      <c r="X562" s="3275"/>
      <c r="Y562" s="3275"/>
      <c r="Z562" s="3275"/>
      <c r="AA562" s="3275"/>
      <c r="AB562" s="3275"/>
      <c r="AC562" s="3264">
        <f t="shared" si="329"/>
        <v>0</v>
      </c>
      <c r="AD562" s="3285"/>
      <c r="AE562" s="3285"/>
      <c r="AF562" s="3285"/>
      <c r="AG562" s="3285"/>
      <c r="AH562" s="3285"/>
      <c r="AI562" s="3285"/>
      <c r="AJ562" s="3285"/>
      <c r="AK562" s="3285"/>
      <c r="AL562" s="3285"/>
      <c r="AM562" s="3285"/>
      <c r="AN562" s="3285"/>
      <c r="AO562" s="3285"/>
      <c r="AP562" s="3285"/>
      <c r="AQ562" s="3285"/>
      <c r="AR562" s="3285"/>
      <c r="AS562" s="3285"/>
      <c r="AT562" s="3295"/>
      <c r="AU562" s="3296"/>
      <c r="AV562" s="830">
        <f t="shared" si="330"/>
        <v>0</v>
      </c>
      <c r="AW562" s="830">
        <f t="shared" si="331"/>
        <v>0</v>
      </c>
      <c r="AX562" s="830">
        <f t="shared" si="332"/>
        <v>0</v>
      </c>
      <c r="AY562" s="3310">
        <f t="shared" si="333"/>
        <v>0</v>
      </c>
      <c r="AZ562" s="3264">
        <f t="shared" si="334"/>
        <v>0</v>
      </c>
      <c r="BA562" s="3264">
        <f t="shared" si="335"/>
        <v>0</v>
      </c>
      <c r="BB562" s="3264">
        <f t="shared" si="336"/>
        <v>0</v>
      </c>
      <c r="BC562" s="3264">
        <f t="shared" si="337"/>
        <v>0</v>
      </c>
      <c r="BD562" s="3264">
        <f t="shared" si="338"/>
        <v>0</v>
      </c>
      <c r="BE562" s="3264">
        <f t="shared" si="339"/>
        <v>0</v>
      </c>
      <c r="BF562" s="3264">
        <f t="shared" si="340"/>
        <v>0</v>
      </c>
      <c r="BG562" s="3264">
        <f t="shared" si="341"/>
        <v>0</v>
      </c>
      <c r="BH562" s="3264">
        <f t="shared" si="342"/>
        <v>0</v>
      </c>
      <c r="BI562" s="3264">
        <f t="shared" si="343"/>
        <v>0</v>
      </c>
      <c r="BJ562" s="3264">
        <f t="shared" si="344"/>
        <v>0</v>
      </c>
      <c r="BK562" s="3264">
        <f t="shared" si="345"/>
        <v>0</v>
      </c>
      <c r="BL562" s="3264">
        <f t="shared" si="346"/>
        <v>0</v>
      </c>
      <c r="BM562" s="3264">
        <f t="shared" si="347"/>
        <v>0</v>
      </c>
      <c r="BN562" s="3264">
        <f t="shared" si="348"/>
        <v>0</v>
      </c>
      <c r="BO562" s="3264">
        <f t="shared" si="349"/>
        <v>0</v>
      </c>
      <c r="BP562" s="3264">
        <f t="shared" si="350"/>
        <v>0</v>
      </c>
      <c r="BQ562" s="3264">
        <f t="shared" si="351"/>
        <v>0</v>
      </c>
      <c r="BR562" s="3264">
        <f t="shared" si="352"/>
        <v>0</v>
      </c>
      <c r="BS562" s="3264">
        <f t="shared" si="353"/>
        <v>0</v>
      </c>
      <c r="BT562" s="3317">
        <f t="shared" si="354"/>
        <v>0</v>
      </c>
    </row>
    <row r="563" spans="1:72">
      <c r="A563" s="3262"/>
      <c r="B563" s="3263"/>
      <c r="C563" s="3263"/>
      <c r="D563" s="3268"/>
      <c r="E563" s="3264">
        <f t="shared" si="326"/>
        <v>0</v>
      </c>
      <c r="F563" s="3265"/>
      <c r="G563" s="3266">
        <f t="shared" si="327"/>
        <v>0</v>
      </c>
      <c r="H563" s="3267">
        <f t="shared" si="328"/>
        <v>0</v>
      </c>
      <c r="I563" s="3275"/>
      <c r="J563" s="3275"/>
      <c r="K563" s="3275"/>
      <c r="L563" s="3275"/>
      <c r="M563" s="3275"/>
      <c r="N563" s="3275"/>
      <c r="O563" s="3275"/>
      <c r="P563" s="3275"/>
      <c r="Q563" s="3275"/>
      <c r="R563" s="3275"/>
      <c r="S563" s="3275"/>
      <c r="T563" s="3275"/>
      <c r="U563" s="3275"/>
      <c r="V563" s="3275"/>
      <c r="W563" s="3275"/>
      <c r="X563" s="3275"/>
      <c r="Y563" s="3275"/>
      <c r="Z563" s="3275"/>
      <c r="AA563" s="3275"/>
      <c r="AB563" s="3275"/>
      <c r="AC563" s="3264">
        <f t="shared" si="329"/>
        <v>0</v>
      </c>
      <c r="AD563" s="3285"/>
      <c r="AE563" s="3285"/>
      <c r="AF563" s="3285"/>
      <c r="AG563" s="3285"/>
      <c r="AH563" s="3285"/>
      <c r="AI563" s="3285"/>
      <c r="AJ563" s="3285"/>
      <c r="AK563" s="3285"/>
      <c r="AL563" s="3285"/>
      <c r="AM563" s="3285"/>
      <c r="AN563" s="3285"/>
      <c r="AO563" s="3285"/>
      <c r="AP563" s="3285"/>
      <c r="AQ563" s="3285"/>
      <c r="AR563" s="3285"/>
      <c r="AS563" s="3285"/>
      <c r="AT563" s="3295"/>
      <c r="AU563" s="3296"/>
      <c r="AV563" s="830">
        <f t="shared" si="330"/>
        <v>0</v>
      </c>
      <c r="AW563" s="830">
        <f t="shared" si="331"/>
        <v>0</v>
      </c>
      <c r="AX563" s="830">
        <f t="shared" si="332"/>
        <v>0</v>
      </c>
      <c r="AY563" s="3310">
        <f t="shared" si="333"/>
        <v>0</v>
      </c>
      <c r="AZ563" s="3264">
        <f t="shared" si="334"/>
        <v>0</v>
      </c>
      <c r="BA563" s="3264">
        <f t="shared" si="335"/>
        <v>0</v>
      </c>
      <c r="BB563" s="3264">
        <f t="shared" si="336"/>
        <v>0</v>
      </c>
      <c r="BC563" s="3264">
        <f t="shared" si="337"/>
        <v>0</v>
      </c>
      <c r="BD563" s="3264">
        <f t="shared" si="338"/>
        <v>0</v>
      </c>
      <c r="BE563" s="3264">
        <f t="shared" si="339"/>
        <v>0</v>
      </c>
      <c r="BF563" s="3264">
        <f t="shared" si="340"/>
        <v>0</v>
      </c>
      <c r="BG563" s="3264">
        <f t="shared" si="341"/>
        <v>0</v>
      </c>
      <c r="BH563" s="3264">
        <f t="shared" si="342"/>
        <v>0</v>
      </c>
      <c r="BI563" s="3264">
        <f t="shared" si="343"/>
        <v>0</v>
      </c>
      <c r="BJ563" s="3264">
        <f t="shared" si="344"/>
        <v>0</v>
      </c>
      <c r="BK563" s="3264">
        <f t="shared" si="345"/>
        <v>0</v>
      </c>
      <c r="BL563" s="3264">
        <f t="shared" si="346"/>
        <v>0</v>
      </c>
      <c r="BM563" s="3264">
        <f t="shared" si="347"/>
        <v>0</v>
      </c>
      <c r="BN563" s="3264">
        <f t="shared" si="348"/>
        <v>0</v>
      </c>
      <c r="BO563" s="3264">
        <f t="shared" si="349"/>
        <v>0</v>
      </c>
      <c r="BP563" s="3264">
        <f t="shared" si="350"/>
        <v>0</v>
      </c>
      <c r="BQ563" s="3264">
        <f t="shared" si="351"/>
        <v>0</v>
      </c>
      <c r="BR563" s="3264">
        <f t="shared" si="352"/>
        <v>0</v>
      </c>
      <c r="BS563" s="3264">
        <f t="shared" si="353"/>
        <v>0</v>
      </c>
      <c r="BT563" s="3317">
        <f t="shared" si="354"/>
        <v>0</v>
      </c>
    </row>
    <row r="564" spans="1:72">
      <c r="A564" s="3262"/>
      <c r="B564" s="3263"/>
      <c r="C564" s="3263"/>
      <c r="D564" s="3268"/>
      <c r="E564" s="3264">
        <f t="shared" si="326"/>
        <v>0</v>
      </c>
      <c r="F564" s="3265"/>
      <c r="G564" s="3266">
        <f t="shared" si="327"/>
        <v>0</v>
      </c>
      <c r="H564" s="3267">
        <f t="shared" si="328"/>
        <v>0</v>
      </c>
      <c r="I564" s="3275"/>
      <c r="J564" s="3275"/>
      <c r="K564" s="3275"/>
      <c r="L564" s="3275"/>
      <c r="M564" s="3275"/>
      <c r="N564" s="3275"/>
      <c r="O564" s="3275"/>
      <c r="P564" s="3275"/>
      <c r="Q564" s="3275"/>
      <c r="R564" s="3275"/>
      <c r="S564" s="3275"/>
      <c r="T564" s="3275"/>
      <c r="U564" s="3275"/>
      <c r="V564" s="3275"/>
      <c r="W564" s="3275"/>
      <c r="X564" s="3275"/>
      <c r="Y564" s="3275"/>
      <c r="Z564" s="3275"/>
      <c r="AA564" s="3275"/>
      <c r="AB564" s="3275"/>
      <c r="AC564" s="3264">
        <f t="shared" si="329"/>
        <v>0</v>
      </c>
      <c r="AD564" s="3285"/>
      <c r="AE564" s="3285"/>
      <c r="AF564" s="3285"/>
      <c r="AG564" s="3285"/>
      <c r="AH564" s="3285"/>
      <c r="AI564" s="3285"/>
      <c r="AJ564" s="3285"/>
      <c r="AK564" s="3285"/>
      <c r="AL564" s="3285"/>
      <c r="AM564" s="3285"/>
      <c r="AN564" s="3285"/>
      <c r="AO564" s="3285"/>
      <c r="AP564" s="3285"/>
      <c r="AQ564" s="3285"/>
      <c r="AR564" s="3285"/>
      <c r="AS564" s="3285"/>
      <c r="AT564" s="3295"/>
      <c r="AU564" s="3296"/>
      <c r="AV564" s="830">
        <f t="shared" si="330"/>
        <v>0</v>
      </c>
      <c r="AW564" s="830">
        <f t="shared" si="331"/>
        <v>0</v>
      </c>
      <c r="AX564" s="830">
        <f t="shared" si="332"/>
        <v>0</v>
      </c>
      <c r="AY564" s="3310">
        <f t="shared" si="333"/>
        <v>0</v>
      </c>
      <c r="AZ564" s="3264">
        <f t="shared" si="334"/>
        <v>0</v>
      </c>
      <c r="BA564" s="3264">
        <f t="shared" si="335"/>
        <v>0</v>
      </c>
      <c r="BB564" s="3264">
        <f t="shared" si="336"/>
        <v>0</v>
      </c>
      <c r="BC564" s="3264">
        <f t="shared" si="337"/>
        <v>0</v>
      </c>
      <c r="BD564" s="3264">
        <f t="shared" si="338"/>
        <v>0</v>
      </c>
      <c r="BE564" s="3264">
        <f t="shared" si="339"/>
        <v>0</v>
      </c>
      <c r="BF564" s="3264">
        <f t="shared" si="340"/>
        <v>0</v>
      </c>
      <c r="BG564" s="3264">
        <f t="shared" si="341"/>
        <v>0</v>
      </c>
      <c r="BH564" s="3264">
        <f t="shared" si="342"/>
        <v>0</v>
      </c>
      <c r="BI564" s="3264">
        <f t="shared" si="343"/>
        <v>0</v>
      </c>
      <c r="BJ564" s="3264">
        <f t="shared" si="344"/>
        <v>0</v>
      </c>
      <c r="BK564" s="3264">
        <f t="shared" si="345"/>
        <v>0</v>
      </c>
      <c r="BL564" s="3264">
        <f t="shared" si="346"/>
        <v>0</v>
      </c>
      <c r="BM564" s="3264">
        <f t="shared" si="347"/>
        <v>0</v>
      </c>
      <c r="BN564" s="3264">
        <f t="shared" si="348"/>
        <v>0</v>
      </c>
      <c r="BO564" s="3264">
        <f t="shared" si="349"/>
        <v>0</v>
      </c>
      <c r="BP564" s="3264">
        <f t="shared" si="350"/>
        <v>0</v>
      </c>
      <c r="BQ564" s="3264">
        <f t="shared" si="351"/>
        <v>0</v>
      </c>
      <c r="BR564" s="3264">
        <f t="shared" si="352"/>
        <v>0</v>
      </c>
      <c r="BS564" s="3264">
        <f t="shared" si="353"/>
        <v>0</v>
      </c>
      <c r="BT564" s="3317">
        <f t="shared" si="354"/>
        <v>0</v>
      </c>
    </row>
    <row r="565" spans="1:72">
      <c r="A565" s="3262"/>
      <c r="B565" s="3263"/>
      <c r="C565" s="3263"/>
      <c r="D565" s="3268"/>
      <c r="E565" s="3264">
        <f t="shared" si="326"/>
        <v>0</v>
      </c>
      <c r="F565" s="3265"/>
      <c r="G565" s="3266">
        <f t="shared" si="327"/>
        <v>0</v>
      </c>
      <c r="H565" s="3267">
        <f t="shared" si="328"/>
        <v>0</v>
      </c>
      <c r="I565" s="3275"/>
      <c r="J565" s="3275"/>
      <c r="K565" s="3275"/>
      <c r="L565" s="3275"/>
      <c r="M565" s="3275"/>
      <c r="N565" s="3275"/>
      <c r="O565" s="3275"/>
      <c r="P565" s="3275"/>
      <c r="Q565" s="3275"/>
      <c r="R565" s="3275"/>
      <c r="S565" s="3275"/>
      <c r="T565" s="3275"/>
      <c r="U565" s="3275"/>
      <c r="V565" s="3275"/>
      <c r="W565" s="3275"/>
      <c r="X565" s="3275"/>
      <c r="Y565" s="3275"/>
      <c r="Z565" s="3275"/>
      <c r="AA565" s="3275"/>
      <c r="AB565" s="3275"/>
      <c r="AC565" s="3264">
        <f t="shared" si="329"/>
        <v>0</v>
      </c>
      <c r="AD565" s="3285"/>
      <c r="AE565" s="3285"/>
      <c r="AF565" s="3285"/>
      <c r="AG565" s="3285"/>
      <c r="AH565" s="3285"/>
      <c r="AI565" s="3285"/>
      <c r="AJ565" s="3285"/>
      <c r="AK565" s="3285"/>
      <c r="AL565" s="3285"/>
      <c r="AM565" s="3285"/>
      <c r="AN565" s="3285"/>
      <c r="AO565" s="3285"/>
      <c r="AP565" s="3285"/>
      <c r="AQ565" s="3285"/>
      <c r="AR565" s="3285"/>
      <c r="AS565" s="3285"/>
      <c r="AT565" s="3295"/>
      <c r="AU565" s="3296"/>
      <c r="AV565" s="830">
        <f t="shared" si="330"/>
        <v>0</v>
      </c>
      <c r="AW565" s="830">
        <f t="shared" si="331"/>
        <v>0</v>
      </c>
      <c r="AX565" s="830">
        <f t="shared" si="332"/>
        <v>0</v>
      </c>
      <c r="AY565" s="3310">
        <f t="shared" si="333"/>
        <v>0</v>
      </c>
      <c r="AZ565" s="3264">
        <f t="shared" si="334"/>
        <v>0</v>
      </c>
      <c r="BA565" s="3264">
        <f t="shared" si="335"/>
        <v>0</v>
      </c>
      <c r="BB565" s="3264">
        <f t="shared" si="336"/>
        <v>0</v>
      </c>
      <c r="BC565" s="3264">
        <f t="shared" si="337"/>
        <v>0</v>
      </c>
      <c r="BD565" s="3264">
        <f t="shared" si="338"/>
        <v>0</v>
      </c>
      <c r="BE565" s="3264">
        <f t="shared" si="339"/>
        <v>0</v>
      </c>
      <c r="BF565" s="3264">
        <f t="shared" si="340"/>
        <v>0</v>
      </c>
      <c r="BG565" s="3264">
        <f t="shared" si="341"/>
        <v>0</v>
      </c>
      <c r="BH565" s="3264">
        <f t="shared" si="342"/>
        <v>0</v>
      </c>
      <c r="BI565" s="3264">
        <f t="shared" si="343"/>
        <v>0</v>
      </c>
      <c r="BJ565" s="3264">
        <f t="shared" si="344"/>
        <v>0</v>
      </c>
      <c r="BK565" s="3264">
        <f t="shared" si="345"/>
        <v>0</v>
      </c>
      <c r="BL565" s="3264">
        <f t="shared" si="346"/>
        <v>0</v>
      </c>
      <c r="BM565" s="3264">
        <f t="shared" si="347"/>
        <v>0</v>
      </c>
      <c r="BN565" s="3264">
        <f t="shared" si="348"/>
        <v>0</v>
      </c>
      <c r="BO565" s="3264">
        <f t="shared" si="349"/>
        <v>0</v>
      </c>
      <c r="BP565" s="3264">
        <f t="shared" si="350"/>
        <v>0</v>
      </c>
      <c r="BQ565" s="3264">
        <f t="shared" si="351"/>
        <v>0</v>
      </c>
      <c r="BR565" s="3264">
        <f t="shared" si="352"/>
        <v>0</v>
      </c>
      <c r="BS565" s="3264">
        <f t="shared" si="353"/>
        <v>0</v>
      </c>
      <c r="BT565" s="3317">
        <f t="shared" si="354"/>
        <v>0</v>
      </c>
    </row>
    <row r="566" spans="1:72">
      <c r="A566" s="3262"/>
      <c r="B566" s="3263"/>
      <c r="C566" s="3263"/>
      <c r="D566" s="3268"/>
      <c r="E566" s="3264">
        <f t="shared" si="326"/>
        <v>0</v>
      </c>
      <c r="F566" s="3265"/>
      <c r="G566" s="3266">
        <f t="shared" si="327"/>
        <v>0</v>
      </c>
      <c r="H566" s="3267">
        <f t="shared" si="328"/>
        <v>0</v>
      </c>
      <c r="I566" s="3275"/>
      <c r="J566" s="3275"/>
      <c r="K566" s="3275"/>
      <c r="L566" s="3275"/>
      <c r="M566" s="3275"/>
      <c r="N566" s="3275"/>
      <c r="O566" s="3275"/>
      <c r="P566" s="3275"/>
      <c r="Q566" s="3275"/>
      <c r="R566" s="3275"/>
      <c r="S566" s="3275"/>
      <c r="T566" s="3275"/>
      <c r="U566" s="3275"/>
      <c r="V566" s="3275"/>
      <c r="W566" s="3275"/>
      <c r="X566" s="3275"/>
      <c r="Y566" s="3275"/>
      <c r="Z566" s="3275"/>
      <c r="AA566" s="3275"/>
      <c r="AB566" s="3275"/>
      <c r="AC566" s="3264">
        <f t="shared" si="329"/>
        <v>0</v>
      </c>
      <c r="AD566" s="3285"/>
      <c r="AE566" s="3285"/>
      <c r="AF566" s="3285"/>
      <c r="AG566" s="3285"/>
      <c r="AH566" s="3285"/>
      <c r="AI566" s="3285"/>
      <c r="AJ566" s="3285"/>
      <c r="AK566" s="3285"/>
      <c r="AL566" s="3285"/>
      <c r="AM566" s="3285"/>
      <c r="AN566" s="3285"/>
      <c r="AO566" s="3285"/>
      <c r="AP566" s="3285"/>
      <c r="AQ566" s="3285"/>
      <c r="AR566" s="3285"/>
      <c r="AS566" s="3285"/>
      <c r="AT566" s="3295"/>
      <c r="AU566" s="3296"/>
      <c r="AV566" s="830">
        <f t="shared" si="330"/>
        <v>0</v>
      </c>
      <c r="AW566" s="830">
        <f t="shared" si="331"/>
        <v>0</v>
      </c>
      <c r="AX566" s="830">
        <f t="shared" si="332"/>
        <v>0</v>
      </c>
      <c r="AY566" s="3310">
        <f t="shared" si="333"/>
        <v>0</v>
      </c>
      <c r="AZ566" s="3264">
        <f t="shared" si="334"/>
        <v>0</v>
      </c>
      <c r="BA566" s="3264">
        <f t="shared" si="335"/>
        <v>0</v>
      </c>
      <c r="BB566" s="3264">
        <f t="shared" si="336"/>
        <v>0</v>
      </c>
      <c r="BC566" s="3264">
        <f t="shared" si="337"/>
        <v>0</v>
      </c>
      <c r="BD566" s="3264">
        <f t="shared" si="338"/>
        <v>0</v>
      </c>
      <c r="BE566" s="3264">
        <f t="shared" si="339"/>
        <v>0</v>
      </c>
      <c r="BF566" s="3264">
        <f t="shared" si="340"/>
        <v>0</v>
      </c>
      <c r="BG566" s="3264">
        <f t="shared" si="341"/>
        <v>0</v>
      </c>
      <c r="BH566" s="3264">
        <f t="shared" si="342"/>
        <v>0</v>
      </c>
      <c r="BI566" s="3264">
        <f t="shared" si="343"/>
        <v>0</v>
      </c>
      <c r="BJ566" s="3264">
        <f t="shared" si="344"/>
        <v>0</v>
      </c>
      <c r="BK566" s="3264">
        <f t="shared" si="345"/>
        <v>0</v>
      </c>
      <c r="BL566" s="3264">
        <f t="shared" si="346"/>
        <v>0</v>
      </c>
      <c r="BM566" s="3264">
        <f t="shared" si="347"/>
        <v>0</v>
      </c>
      <c r="BN566" s="3264">
        <f t="shared" si="348"/>
        <v>0</v>
      </c>
      <c r="BO566" s="3264">
        <f t="shared" si="349"/>
        <v>0</v>
      </c>
      <c r="BP566" s="3264">
        <f t="shared" si="350"/>
        <v>0</v>
      </c>
      <c r="BQ566" s="3264">
        <f t="shared" si="351"/>
        <v>0</v>
      </c>
      <c r="BR566" s="3264">
        <f t="shared" si="352"/>
        <v>0</v>
      </c>
      <c r="BS566" s="3264">
        <f t="shared" si="353"/>
        <v>0</v>
      </c>
      <c r="BT566" s="3317">
        <f t="shared" si="354"/>
        <v>0</v>
      </c>
    </row>
    <row r="567" spans="1:72">
      <c r="A567" s="3262"/>
      <c r="B567" s="3263"/>
      <c r="C567" s="3263"/>
      <c r="D567" s="3268"/>
      <c r="E567" s="3264">
        <f t="shared" si="326"/>
        <v>0</v>
      </c>
      <c r="F567" s="3265"/>
      <c r="G567" s="3266">
        <f t="shared" si="327"/>
        <v>0</v>
      </c>
      <c r="H567" s="3267">
        <f t="shared" si="328"/>
        <v>0</v>
      </c>
      <c r="I567" s="3275"/>
      <c r="J567" s="3275"/>
      <c r="K567" s="3275"/>
      <c r="L567" s="3275"/>
      <c r="M567" s="3275"/>
      <c r="N567" s="3275"/>
      <c r="O567" s="3275"/>
      <c r="P567" s="3275"/>
      <c r="Q567" s="3275"/>
      <c r="R567" s="3275"/>
      <c r="S567" s="3275"/>
      <c r="T567" s="3275"/>
      <c r="U567" s="3275"/>
      <c r="V567" s="3275"/>
      <c r="W567" s="3275"/>
      <c r="X567" s="3275"/>
      <c r="Y567" s="3275"/>
      <c r="Z567" s="3275"/>
      <c r="AA567" s="3275"/>
      <c r="AB567" s="3275"/>
      <c r="AC567" s="3264">
        <f t="shared" si="329"/>
        <v>0</v>
      </c>
      <c r="AD567" s="3285"/>
      <c r="AE567" s="3285"/>
      <c r="AF567" s="3285"/>
      <c r="AG567" s="3285"/>
      <c r="AH567" s="3285"/>
      <c r="AI567" s="3285"/>
      <c r="AJ567" s="3285"/>
      <c r="AK567" s="3285"/>
      <c r="AL567" s="3285"/>
      <c r="AM567" s="3285"/>
      <c r="AN567" s="3285"/>
      <c r="AO567" s="3285"/>
      <c r="AP567" s="3285"/>
      <c r="AQ567" s="3285"/>
      <c r="AR567" s="3285"/>
      <c r="AS567" s="3285"/>
      <c r="AT567" s="3295"/>
      <c r="AU567" s="3296"/>
      <c r="AV567" s="830">
        <f t="shared" si="330"/>
        <v>0</v>
      </c>
      <c r="AW567" s="830">
        <f t="shared" si="331"/>
        <v>0</v>
      </c>
      <c r="AX567" s="830">
        <f t="shared" si="332"/>
        <v>0</v>
      </c>
      <c r="AY567" s="3310">
        <f t="shared" si="333"/>
        <v>0</v>
      </c>
      <c r="AZ567" s="3264">
        <f t="shared" si="334"/>
        <v>0</v>
      </c>
      <c r="BA567" s="3264">
        <f t="shared" si="335"/>
        <v>0</v>
      </c>
      <c r="BB567" s="3264">
        <f t="shared" si="336"/>
        <v>0</v>
      </c>
      <c r="BC567" s="3264">
        <f t="shared" si="337"/>
        <v>0</v>
      </c>
      <c r="BD567" s="3264">
        <f t="shared" si="338"/>
        <v>0</v>
      </c>
      <c r="BE567" s="3264">
        <f t="shared" si="339"/>
        <v>0</v>
      </c>
      <c r="BF567" s="3264">
        <f t="shared" si="340"/>
        <v>0</v>
      </c>
      <c r="BG567" s="3264">
        <f t="shared" si="341"/>
        <v>0</v>
      </c>
      <c r="BH567" s="3264">
        <f t="shared" si="342"/>
        <v>0</v>
      </c>
      <c r="BI567" s="3264">
        <f t="shared" si="343"/>
        <v>0</v>
      </c>
      <c r="BJ567" s="3264">
        <f t="shared" si="344"/>
        <v>0</v>
      </c>
      <c r="BK567" s="3264">
        <f t="shared" si="345"/>
        <v>0</v>
      </c>
      <c r="BL567" s="3264">
        <f t="shared" si="346"/>
        <v>0</v>
      </c>
      <c r="BM567" s="3264">
        <f t="shared" si="347"/>
        <v>0</v>
      </c>
      <c r="BN567" s="3264">
        <f t="shared" si="348"/>
        <v>0</v>
      </c>
      <c r="BO567" s="3264">
        <f t="shared" si="349"/>
        <v>0</v>
      </c>
      <c r="BP567" s="3264">
        <f t="shared" si="350"/>
        <v>0</v>
      </c>
      <c r="BQ567" s="3264">
        <f t="shared" si="351"/>
        <v>0</v>
      </c>
      <c r="BR567" s="3264">
        <f t="shared" si="352"/>
        <v>0</v>
      </c>
      <c r="BS567" s="3264">
        <f t="shared" si="353"/>
        <v>0</v>
      </c>
      <c r="BT567" s="3317">
        <f t="shared" si="354"/>
        <v>0</v>
      </c>
    </row>
    <row r="568" spans="1:72">
      <c r="A568" s="3262"/>
      <c r="B568" s="3263"/>
      <c r="C568" s="3263"/>
      <c r="D568" s="3268"/>
      <c r="E568" s="3264">
        <f t="shared" si="326"/>
        <v>0</v>
      </c>
      <c r="F568" s="3265"/>
      <c r="G568" s="3266">
        <f t="shared" si="327"/>
        <v>0</v>
      </c>
      <c r="H568" s="3267">
        <f t="shared" si="328"/>
        <v>0</v>
      </c>
      <c r="I568" s="3275"/>
      <c r="J568" s="3275"/>
      <c r="K568" s="3275"/>
      <c r="L568" s="3275"/>
      <c r="M568" s="3275"/>
      <c r="N568" s="3275"/>
      <c r="O568" s="3275"/>
      <c r="P568" s="3275"/>
      <c r="Q568" s="3275"/>
      <c r="R568" s="3275"/>
      <c r="S568" s="3275"/>
      <c r="T568" s="3275"/>
      <c r="U568" s="3275"/>
      <c r="V568" s="3275"/>
      <c r="W568" s="3275"/>
      <c r="X568" s="3275"/>
      <c r="Y568" s="3275"/>
      <c r="Z568" s="3275"/>
      <c r="AA568" s="3275"/>
      <c r="AB568" s="3275"/>
      <c r="AC568" s="3264">
        <f t="shared" si="329"/>
        <v>0</v>
      </c>
      <c r="AD568" s="3285"/>
      <c r="AE568" s="3285"/>
      <c r="AF568" s="3285"/>
      <c r="AG568" s="3285"/>
      <c r="AH568" s="3285"/>
      <c r="AI568" s="3285"/>
      <c r="AJ568" s="3285"/>
      <c r="AK568" s="3285"/>
      <c r="AL568" s="3285"/>
      <c r="AM568" s="3285"/>
      <c r="AN568" s="3285"/>
      <c r="AO568" s="3285"/>
      <c r="AP568" s="3285"/>
      <c r="AQ568" s="3285"/>
      <c r="AR568" s="3285"/>
      <c r="AS568" s="3285"/>
      <c r="AT568" s="3295"/>
      <c r="AU568" s="3296"/>
      <c r="AV568" s="830">
        <f t="shared" si="330"/>
        <v>0</v>
      </c>
      <c r="AW568" s="830">
        <f t="shared" si="331"/>
        <v>0</v>
      </c>
      <c r="AX568" s="830">
        <f t="shared" si="332"/>
        <v>0</v>
      </c>
      <c r="AY568" s="3310">
        <f t="shared" si="333"/>
        <v>0</v>
      </c>
      <c r="AZ568" s="3264">
        <f t="shared" si="334"/>
        <v>0</v>
      </c>
      <c r="BA568" s="3264">
        <f t="shared" si="335"/>
        <v>0</v>
      </c>
      <c r="BB568" s="3264">
        <f t="shared" si="336"/>
        <v>0</v>
      </c>
      <c r="BC568" s="3264">
        <f t="shared" si="337"/>
        <v>0</v>
      </c>
      <c r="BD568" s="3264">
        <f t="shared" si="338"/>
        <v>0</v>
      </c>
      <c r="BE568" s="3264">
        <f t="shared" si="339"/>
        <v>0</v>
      </c>
      <c r="BF568" s="3264">
        <f t="shared" si="340"/>
        <v>0</v>
      </c>
      <c r="BG568" s="3264">
        <f t="shared" si="341"/>
        <v>0</v>
      </c>
      <c r="BH568" s="3264">
        <f t="shared" si="342"/>
        <v>0</v>
      </c>
      <c r="BI568" s="3264">
        <f t="shared" si="343"/>
        <v>0</v>
      </c>
      <c r="BJ568" s="3264">
        <f t="shared" si="344"/>
        <v>0</v>
      </c>
      <c r="BK568" s="3264">
        <f t="shared" si="345"/>
        <v>0</v>
      </c>
      <c r="BL568" s="3264">
        <f t="shared" si="346"/>
        <v>0</v>
      </c>
      <c r="BM568" s="3264">
        <f t="shared" si="347"/>
        <v>0</v>
      </c>
      <c r="BN568" s="3264">
        <f t="shared" si="348"/>
        <v>0</v>
      </c>
      <c r="BO568" s="3264">
        <f t="shared" si="349"/>
        <v>0</v>
      </c>
      <c r="BP568" s="3264">
        <f t="shared" si="350"/>
        <v>0</v>
      </c>
      <c r="BQ568" s="3264">
        <f t="shared" si="351"/>
        <v>0</v>
      </c>
      <c r="BR568" s="3264">
        <f t="shared" si="352"/>
        <v>0</v>
      </c>
      <c r="BS568" s="3264">
        <f t="shared" si="353"/>
        <v>0</v>
      </c>
      <c r="BT568" s="3317">
        <f t="shared" si="354"/>
        <v>0</v>
      </c>
    </row>
    <row r="569" spans="1:72">
      <c r="A569" s="3262"/>
      <c r="B569" s="3263"/>
      <c r="C569" s="3263"/>
      <c r="D569" s="3268"/>
      <c r="E569" s="3264">
        <f t="shared" si="326"/>
        <v>0</v>
      </c>
      <c r="F569" s="3265"/>
      <c r="G569" s="3266">
        <f t="shared" si="327"/>
        <v>0</v>
      </c>
      <c r="H569" s="3267">
        <f t="shared" si="328"/>
        <v>0</v>
      </c>
      <c r="I569" s="3275"/>
      <c r="J569" s="3275"/>
      <c r="K569" s="3275"/>
      <c r="L569" s="3275"/>
      <c r="M569" s="3275"/>
      <c r="N569" s="3275"/>
      <c r="O569" s="3275"/>
      <c r="P569" s="3275"/>
      <c r="Q569" s="3275"/>
      <c r="R569" s="3275"/>
      <c r="S569" s="3275"/>
      <c r="T569" s="3275"/>
      <c r="U569" s="3275"/>
      <c r="V569" s="3275"/>
      <c r="W569" s="3275"/>
      <c r="X569" s="3275"/>
      <c r="Y569" s="3275"/>
      <c r="Z569" s="3275"/>
      <c r="AA569" s="3275"/>
      <c r="AB569" s="3275"/>
      <c r="AC569" s="3264">
        <f t="shared" si="329"/>
        <v>0</v>
      </c>
      <c r="AD569" s="3285"/>
      <c r="AE569" s="3285"/>
      <c r="AF569" s="3285"/>
      <c r="AG569" s="3285"/>
      <c r="AH569" s="3285"/>
      <c r="AI569" s="3285"/>
      <c r="AJ569" s="3285"/>
      <c r="AK569" s="3285"/>
      <c r="AL569" s="3285"/>
      <c r="AM569" s="3285"/>
      <c r="AN569" s="3285"/>
      <c r="AO569" s="3285"/>
      <c r="AP569" s="3285"/>
      <c r="AQ569" s="3285"/>
      <c r="AR569" s="3285"/>
      <c r="AS569" s="3285"/>
      <c r="AT569" s="3295"/>
      <c r="AU569" s="3296"/>
      <c r="AV569" s="830">
        <f t="shared" si="330"/>
        <v>0</v>
      </c>
      <c r="AW569" s="830">
        <f t="shared" si="331"/>
        <v>0</v>
      </c>
      <c r="AX569" s="830">
        <f t="shared" si="332"/>
        <v>0</v>
      </c>
      <c r="AY569" s="3310">
        <f t="shared" si="333"/>
        <v>0</v>
      </c>
      <c r="AZ569" s="3264">
        <f t="shared" si="334"/>
        <v>0</v>
      </c>
      <c r="BA569" s="3264">
        <f t="shared" si="335"/>
        <v>0</v>
      </c>
      <c r="BB569" s="3264">
        <f t="shared" si="336"/>
        <v>0</v>
      </c>
      <c r="BC569" s="3264">
        <f t="shared" si="337"/>
        <v>0</v>
      </c>
      <c r="BD569" s="3264">
        <f t="shared" si="338"/>
        <v>0</v>
      </c>
      <c r="BE569" s="3264">
        <f t="shared" si="339"/>
        <v>0</v>
      </c>
      <c r="BF569" s="3264">
        <f t="shared" si="340"/>
        <v>0</v>
      </c>
      <c r="BG569" s="3264">
        <f t="shared" si="341"/>
        <v>0</v>
      </c>
      <c r="BH569" s="3264">
        <f t="shared" si="342"/>
        <v>0</v>
      </c>
      <c r="BI569" s="3264">
        <f t="shared" si="343"/>
        <v>0</v>
      </c>
      <c r="BJ569" s="3264">
        <f t="shared" si="344"/>
        <v>0</v>
      </c>
      <c r="BK569" s="3264">
        <f t="shared" si="345"/>
        <v>0</v>
      </c>
      <c r="BL569" s="3264">
        <f t="shared" si="346"/>
        <v>0</v>
      </c>
      <c r="BM569" s="3264">
        <f t="shared" si="347"/>
        <v>0</v>
      </c>
      <c r="BN569" s="3264">
        <f t="shared" si="348"/>
        <v>0</v>
      </c>
      <c r="BO569" s="3264">
        <f t="shared" si="349"/>
        <v>0</v>
      </c>
      <c r="BP569" s="3264">
        <f t="shared" si="350"/>
        <v>0</v>
      </c>
      <c r="BQ569" s="3264">
        <f t="shared" si="351"/>
        <v>0</v>
      </c>
      <c r="BR569" s="3264">
        <f t="shared" si="352"/>
        <v>0</v>
      </c>
      <c r="BS569" s="3264">
        <f t="shared" si="353"/>
        <v>0</v>
      </c>
      <c r="BT569" s="3317">
        <f t="shared" si="354"/>
        <v>0</v>
      </c>
    </row>
    <row r="570" spans="1:72">
      <c r="A570" s="3262"/>
      <c r="B570" s="3263"/>
      <c r="C570" s="3263"/>
      <c r="D570" s="3268"/>
      <c r="E570" s="3264">
        <f t="shared" si="326"/>
        <v>0</v>
      </c>
      <c r="F570" s="3265"/>
      <c r="G570" s="3266">
        <f t="shared" si="327"/>
        <v>0</v>
      </c>
      <c r="H570" s="3267">
        <f t="shared" si="328"/>
        <v>0</v>
      </c>
      <c r="I570" s="3275"/>
      <c r="J570" s="3275"/>
      <c r="K570" s="3275"/>
      <c r="L570" s="3275"/>
      <c r="M570" s="3275"/>
      <c r="N570" s="3275"/>
      <c r="O570" s="3275"/>
      <c r="P570" s="3275"/>
      <c r="Q570" s="3275"/>
      <c r="R570" s="3275"/>
      <c r="S570" s="3275"/>
      <c r="T570" s="3275"/>
      <c r="U570" s="3275"/>
      <c r="V570" s="3275"/>
      <c r="W570" s="3275"/>
      <c r="X570" s="3275"/>
      <c r="Y570" s="3275"/>
      <c r="Z570" s="3275"/>
      <c r="AA570" s="3275"/>
      <c r="AB570" s="3275"/>
      <c r="AC570" s="3264">
        <f t="shared" si="329"/>
        <v>0</v>
      </c>
      <c r="AD570" s="3285"/>
      <c r="AE570" s="3285"/>
      <c r="AF570" s="3285"/>
      <c r="AG570" s="3285"/>
      <c r="AH570" s="3285"/>
      <c r="AI570" s="3285"/>
      <c r="AJ570" s="3285"/>
      <c r="AK570" s="3285"/>
      <c r="AL570" s="3285"/>
      <c r="AM570" s="3285"/>
      <c r="AN570" s="3285"/>
      <c r="AO570" s="3285"/>
      <c r="AP570" s="3285"/>
      <c r="AQ570" s="3285"/>
      <c r="AR570" s="3285"/>
      <c r="AS570" s="3285"/>
      <c r="AT570" s="3295"/>
      <c r="AU570" s="3296"/>
      <c r="AV570" s="830">
        <f t="shared" si="330"/>
        <v>0</v>
      </c>
      <c r="AW570" s="830">
        <f t="shared" si="331"/>
        <v>0</v>
      </c>
      <c r="AX570" s="830">
        <f t="shared" si="332"/>
        <v>0</v>
      </c>
      <c r="AY570" s="3310">
        <f t="shared" si="333"/>
        <v>0</v>
      </c>
      <c r="AZ570" s="3264">
        <f t="shared" si="334"/>
        <v>0</v>
      </c>
      <c r="BA570" s="3264">
        <f t="shared" si="335"/>
        <v>0</v>
      </c>
      <c r="BB570" s="3264">
        <f t="shared" si="336"/>
        <v>0</v>
      </c>
      <c r="BC570" s="3264">
        <f t="shared" si="337"/>
        <v>0</v>
      </c>
      <c r="BD570" s="3264">
        <f t="shared" si="338"/>
        <v>0</v>
      </c>
      <c r="BE570" s="3264">
        <f t="shared" si="339"/>
        <v>0</v>
      </c>
      <c r="BF570" s="3264">
        <f t="shared" si="340"/>
        <v>0</v>
      </c>
      <c r="BG570" s="3264">
        <f t="shared" si="341"/>
        <v>0</v>
      </c>
      <c r="BH570" s="3264">
        <f t="shared" si="342"/>
        <v>0</v>
      </c>
      <c r="BI570" s="3264">
        <f t="shared" si="343"/>
        <v>0</v>
      </c>
      <c r="BJ570" s="3264">
        <f t="shared" si="344"/>
        <v>0</v>
      </c>
      <c r="BK570" s="3264">
        <f t="shared" si="345"/>
        <v>0</v>
      </c>
      <c r="BL570" s="3264">
        <f t="shared" si="346"/>
        <v>0</v>
      </c>
      <c r="BM570" s="3264">
        <f t="shared" si="347"/>
        <v>0</v>
      </c>
      <c r="BN570" s="3264">
        <f t="shared" si="348"/>
        <v>0</v>
      </c>
      <c r="BO570" s="3264">
        <f t="shared" si="349"/>
        <v>0</v>
      </c>
      <c r="BP570" s="3264">
        <f t="shared" si="350"/>
        <v>0</v>
      </c>
      <c r="BQ570" s="3264">
        <f t="shared" si="351"/>
        <v>0</v>
      </c>
      <c r="BR570" s="3264">
        <f t="shared" si="352"/>
        <v>0</v>
      </c>
      <c r="BS570" s="3264">
        <f t="shared" si="353"/>
        <v>0</v>
      </c>
      <c r="BT570" s="3317">
        <f t="shared" si="354"/>
        <v>0</v>
      </c>
    </row>
    <row r="571" spans="1:72">
      <c r="A571" s="3262"/>
      <c r="B571" s="3263"/>
      <c r="C571" s="3263"/>
      <c r="D571" s="3268"/>
      <c r="E571" s="3264">
        <f t="shared" si="326"/>
        <v>0</v>
      </c>
      <c r="F571" s="3265"/>
      <c r="G571" s="3266">
        <f t="shared" si="327"/>
        <v>0</v>
      </c>
      <c r="H571" s="3267">
        <f t="shared" si="328"/>
        <v>0</v>
      </c>
      <c r="I571" s="3275"/>
      <c r="J571" s="3275"/>
      <c r="K571" s="3275"/>
      <c r="L571" s="3275"/>
      <c r="M571" s="3275"/>
      <c r="N571" s="3275"/>
      <c r="O571" s="3275"/>
      <c r="P571" s="3275"/>
      <c r="Q571" s="3275"/>
      <c r="R571" s="3275"/>
      <c r="S571" s="3275"/>
      <c r="T571" s="3275"/>
      <c r="U571" s="3275"/>
      <c r="V571" s="3275"/>
      <c r="W571" s="3275"/>
      <c r="X571" s="3275"/>
      <c r="Y571" s="3275"/>
      <c r="Z571" s="3275"/>
      <c r="AA571" s="3275"/>
      <c r="AB571" s="3275"/>
      <c r="AC571" s="3264">
        <f t="shared" si="329"/>
        <v>0</v>
      </c>
      <c r="AD571" s="3285"/>
      <c r="AE571" s="3285"/>
      <c r="AF571" s="3285"/>
      <c r="AG571" s="3285"/>
      <c r="AH571" s="3285"/>
      <c r="AI571" s="3285"/>
      <c r="AJ571" s="3285"/>
      <c r="AK571" s="3285"/>
      <c r="AL571" s="3285"/>
      <c r="AM571" s="3285"/>
      <c r="AN571" s="3285"/>
      <c r="AO571" s="3285"/>
      <c r="AP571" s="3285"/>
      <c r="AQ571" s="3285"/>
      <c r="AR571" s="3285"/>
      <c r="AS571" s="3285"/>
      <c r="AT571" s="3295"/>
      <c r="AU571" s="3296"/>
      <c r="AV571" s="830">
        <f t="shared" si="330"/>
        <v>0</v>
      </c>
      <c r="AW571" s="830">
        <f t="shared" si="331"/>
        <v>0</v>
      </c>
      <c r="AX571" s="830">
        <f t="shared" si="332"/>
        <v>0</v>
      </c>
      <c r="AY571" s="3310">
        <f t="shared" si="333"/>
        <v>0</v>
      </c>
      <c r="AZ571" s="3264">
        <f t="shared" si="334"/>
        <v>0</v>
      </c>
      <c r="BA571" s="3264">
        <f t="shared" si="335"/>
        <v>0</v>
      </c>
      <c r="BB571" s="3264">
        <f t="shared" si="336"/>
        <v>0</v>
      </c>
      <c r="BC571" s="3264">
        <f t="shared" si="337"/>
        <v>0</v>
      </c>
      <c r="BD571" s="3264">
        <f t="shared" si="338"/>
        <v>0</v>
      </c>
      <c r="BE571" s="3264">
        <f t="shared" si="339"/>
        <v>0</v>
      </c>
      <c r="BF571" s="3264">
        <f t="shared" si="340"/>
        <v>0</v>
      </c>
      <c r="BG571" s="3264">
        <f t="shared" si="341"/>
        <v>0</v>
      </c>
      <c r="BH571" s="3264">
        <f t="shared" si="342"/>
        <v>0</v>
      </c>
      <c r="BI571" s="3264">
        <f t="shared" si="343"/>
        <v>0</v>
      </c>
      <c r="BJ571" s="3264">
        <f t="shared" si="344"/>
        <v>0</v>
      </c>
      <c r="BK571" s="3264">
        <f t="shared" si="345"/>
        <v>0</v>
      </c>
      <c r="BL571" s="3264">
        <f t="shared" si="346"/>
        <v>0</v>
      </c>
      <c r="BM571" s="3264">
        <f t="shared" si="347"/>
        <v>0</v>
      </c>
      <c r="BN571" s="3264">
        <f t="shared" si="348"/>
        <v>0</v>
      </c>
      <c r="BO571" s="3264">
        <f t="shared" si="349"/>
        <v>0</v>
      </c>
      <c r="BP571" s="3264">
        <f t="shared" si="350"/>
        <v>0</v>
      </c>
      <c r="BQ571" s="3264">
        <f t="shared" si="351"/>
        <v>0</v>
      </c>
      <c r="BR571" s="3264">
        <f t="shared" si="352"/>
        <v>0</v>
      </c>
      <c r="BS571" s="3264">
        <f t="shared" si="353"/>
        <v>0</v>
      </c>
      <c r="BT571" s="3317">
        <f t="shared" si="354"/>
        <v>0</v>
      </c>
    </row>
    <row r="572" spans="1:72">
      <c r="A572" s="3262"/>
      <c r="B572" s="3263"/>
      <c r="C572" s="3263"/>
      <c r="D572" s="3268"/>
      <c r="E572" s="3264">
        <f t="shared" si="326"/>
        <v>0</v>
      </c>
      <c r="F572" s="3265"/>
      <c r="G572" s="3266">
        <f t="shared" si="327"/>
        <v>0</v>
      </c>
      <c r="H572" s="3267">
        <f t="shared" si="328"/>
        <v>0</v>
      </c>
      <c r="I572" s="3275"/>
      <c r="J572" s="3275"/>
      <c r="K572" s="3275"/>
      <c r="L572" s="3275"/>
      <c r="M572" s="3275"/>
      <c r="N572" s="3275"/>
      <c r="O572" s="3275"/>
      <c r="P572" s="3275"/>
      <c r="Q572" s="3275"/>
      <c r="R572" s="3275"/>
      <c r="S572" s="3275"/>
      <c r="T572" s="3275"/>
      <c r="U572" s="3275"/>
      <c r="V572" s="3275"/>
      <c r="W572" s="3275"/>
      <c r="X572" s="3275"/>
      <c r="Y572" s="3275"/>
      <c r="Z572" s="3275"/>
      <c r="AA572" s="3275"/>
      <c r="AB572" s="3275"/>
      <c r="AC572" s="3264">
        <f t="shared" si="329"/>
        <v>0</v>
      </c>
      <c r="AD572" s="3285"/>
      <c r="AE572" s="3285"/>
      <c r="AF572" s="3285"/>
      <c r="AG572" s="3285"/>
      <c r="AH572" s="3285"/>
      <c r="AI572" s="3285"/>
      <c r="AJ572" s="3285"/>
      <c r="AK572" s="3285"/>
      <c r="AL572" s="3285"/>
      <c r="AM572" s="3285"/>
      <c r="AN572" s="3285"/>
      <c r="AO572" s="3285"/>
      <c r="AP572" s="3285"/>
      <c r="AQ572" s="3285"/>
      <c r="AR572" s="3285"/>
      <c r="AS572" s="3285"/>
      <c r="AT572" s="3295"/>
      <c r="AU572" s="3296"/>
      <c r="AV572" s="830">
        <f t="shared" si="330"/>
        <v>0</v>
      </c>
      <c r="AW572" s="830">
        <f t="shared" si="331"/>
        <v>0</v>
      </c>
      <c r="AX572" s="830">
        <f t="shared" si="332"/>
        <v>0</v>
      </c>
      <c r="AY572" s="3310">
        <f t="shared" si="333"/>
        <v>0</v>
      </c>
      <c r="AZ572" s="3264">
        <f t="shared" si="334"/>
        <v>0</v>
      </c>
      <c r="BA572" s="3264">
        <f t="shared" si="335"/>
        <v>0</v>
      </c>
      <c r="BB572" s="3264">
        <f t="shared" si="336"/>
        <v>0</v>
      </c>
      <c r="BC572" s="3264">
        <f t="shared" si="337"/>
        <v>0</v>
      </c>
      <c r="BD572" s="3264">
        <f t="shared" si="338"/>
        <v>0</v>
      </c>
      <c r="BE572" s="3264">
        <f t="shared" si="339"/>
        <v>0</v>
      </c>
      <c r="BF572" s="3264">
        <f t="shared" si="340"/>
        <v>0</v>
      </c>
      <c r="BG572" s="3264">
        <f t="shared" si="341"/>
        <v>0</v>
      </c>
      <c r="BH572" s="3264">
        <f t="shared" si="342"/>
        <v>0</v>
      </c>
      <c r="BI572" s="3264">
        <f t="shared" si="343"/>
        <v>0</v>
      </c>
      <c r="BJ572" s="3264">
        <f t="shared" si="344"/>
        <v>0</v>
      </c>
      <c r="BK572" s="3264">
        <f t="shared" si="345"/>
        <v>0</v>
      </c>
      <c r="BL572" s="3264">
        <f t="shared" si="346"/>
        <v>0</v>
      </c>
      <c r="BM572" s="3264">
        <f t="shared" si="347"/>
        <v>0</v>
      </c>
      <c r="BN572" s="3264">
        <f t="shared" si="348"/>
        <v>0</v>
      </c>
      <c r="BO572" s="3264">
        <f t="shared" si="349"/>
        <v>0</v>
      </c>
      <c r="BP572" s="3264">
        <f t="shared" si="350"/>
        <v>0</v>
      </c>
      <c r="BQ572" s="3264">
        <f t="shared" si="351"/>
        <v>0</v>
      </c>
      <c r="BR572" s="3264">
        <f t="shared" si="352"/>
        <v>0</v>
      </c>
      <c r="BS572" s="3264">
        <f t="shared" si="353"/>
        <v>0</v>
      </c>
      <c r="BT572" s="3317">
        <f t="shared" si="354"/>
        <v>0</v>
      </c>
    </row>
    <row r="573" spans="1:72">
      <c r="A573" s="3262"/>
      <c r="B573" s="3263"/>
      <c r="C573" s="3263"/>
      <c r="D573" s="3268"/>
      <c r="E573" s="3264">
        <f t="shared" si="326"/>
        <v>0</v>
      </c>
      <c r="F573" s="3265"/>
      <c r="G573" s="3266">
        <f t="shared" si="327"/>
        <v>0</v>
      </c>
      <c r="H573" s="3267">
        <f t="shared" si="328"/>
        <v>0</v>
      </c>
      <c r="I573" s="3275"/>
      <c r="J573" s="3275"/>
      <c r="K573" s="3275"/>
      <c r="L573" s="3275"/>
      <c r="M573" s="3275"/>
      <c r="N573" s="3275"/>
      <c r="O573" s="3275"/>
      <c r="P573" s="3275"/>
      <c r="Q573" s="3275"/>
      <c r="R573" s="3275"/>
      <c r="S573" s="3275"/>
      <c r="T573" s="3275"/>
      <c r="U573" s="3275"/>
      <c r="V573" s="3275"/>
      <c r="W573" s="3275"/>
      <c r="X573" s="3275"/>
      <c r="Y573" s="3275"/>
      <c r="Z573" s="3275"/>
      <c r="AA573" s="3275"/>
      <c r="AB573" s="3275"/>
      <c r="AC573" s="3264">
        <f t="shared" si="329"/>
        <v>0</v>
      </c>
      <c r="AD573" s="3285"/>
      <c r="AE573" s="3285"/>
      <c r="AF573" s="3285"/>
      <c r="AG573" s="3285"/>
      <c r="AH573" s="3285"/>
      <c r="AI573" s="3285"/>
      <c r="AJ573" s="3285"/>
      <c r="AK573" s="3285"/>
      <c r="AL573" s="3285"/>
      <c r="AM573" s="3285"/>
      <c r="AN573" s="3285"/>
      <c r="AO573" s="3285"/>
      <c r="AP573" s="3285"/>
      <c r="AQ573" s="3285"/>
      <c r="AR573" s="3285"/>
      <c r="AS573" s="3285"/>
      <c r="AT573" s="3295"/>
      <c r="AU573" s="3296"/>
      <c r="AV573" s="830">
        <f t="shared" si="330"/>
        <v>0</v>
      </c>
      <c r="AW573" s="830">
        <f t="shared" si="331"/>
        <v>0</v>
      </c>
      <c r="AX573" s="830">
        <f t="shared" si="332"/>
        <v>0</v>
      </c>
      <c r="AY573" s="3310">
        <f t="shared" si="333"/>
        <v>0</v>
      </c>
      <c r="AZ573" s="3264">
        <f t="shared" si="334"/>
        <v>0</v>
      </c>
      <c r="BA573" s="3264">
        <f t="shared" si="335"/>
        <v>0</v>
      </c>
      <c r="BB573" s="3264">
        <f t="shared" si="336"/>
        <v>0</v>
      </c>
      <c r="BC573" s="3264">
        <f t="shared" si="337"/>
        <v>0</v>
      </c>
      <c r="BD573" s="3264">
        <f t="shared" si="338"/>
        <v>0</v>
      </c>
      <c r="BE573" s="3264">
        <f t="shared" si="339"/>
        <v>0</v>
      </c>
      <c r="BF573" s="3264">
        <f t="shared" si="340"/>
        <v>0</v>
      </c>
      <c r="BG573" s="3264">
        <f t="shared" si="341"/>
        <v>0</v>
      </c>
      <c r="BH573" s="3264">
        <f t="shared" si="342"/>
        <v>0</v>
      </c>
      <c r="BI573" s="3264">
        <f t="shared" si="343"/>
        <v>0</v>
      </c>
      <c r="BJ573" s="3264">
        <f t="shared" si="344"/>
        <v>0</v>
      </c>
      <c r="BK573" s="3264">
        <f t="shared" si="345"/>
        <v>0</v>
      </c>
      <c r="BL573" s="3264">
        <f t="shared" si="346"/>
        <v>0</v>
      </c>
      <c r="BM573" s="3264">
        <f t="shared" si="347"/>
        <v>0</v>
      </c>
      <c r="BN573" s="3264">
        <f t="shared" si="348"/>
        <v>0</v>
      </c>
      <c r="BO573" s="3264">
        <f t="shared" si="349"/>
        <v>0</v>
      </c>
      <c r="BP573" s="3264">
        <f t="shared" si="350"/>
        <v>0</v>
      </c>
      <c r="BQ573" s="3264">
        <f t="shared" si="351"/>
        <v>0</v>
      </c>
      <c r="BR573" s="3264">
        <f t="shared" si="352"/>
        <v>0</v>
      </c>
      <c r="BS573" s="3264">
        <f t="shared" si="353"/>
        <v>0</v>
      </c>
      <c r="BT573" s="3317">
        <f t="shared" si="354"/>
        <v>0</v>
      </c>
    </row>
    <row r="574" spans="1:72">
      <c r="A574" s="3262"/>
      <c r="B574" s="3263"/>
      <c r="C574" s="3263"/>
      <c r="D574" s="3268"/>
      <c r="E574" s="3264">
        <f t="shared" si="326"/>
        <v>0</v>
      </c>
      <c r="F574" s="3265"/>
      <c r="G574" s="3266">
        <f t="shared" si="327"/>
        <v>0</v>
      </c>
      <c r="H574" s="3267">
        <f t="shared" si="328"/>
        <v>0</v>
      </c>
      <c r="I574" s="3275"/>
      <c r="J574" s="3275"/>
      <c r="K574" s="3275"/>
      <c r="L574" s="3275"/>
      <c r="M574" s="3275"/>
      <c r="N574" s="3275"/>
      <c r="O574" s="3275"/>
      <c r="P574" s="3275"/>
      <c r="Q574" s="3275"/>
      <c r="R574" s="3275"/>
      <c r="S574" s="3275"/>
      <c r="T574" s="3275"/>
      <c r="U574" s="3275"/>
      <c r="V574" s="3275"/>
      <c r="W574" s="3275"/>
      <c r="X574" s="3275"/>
      <c r="Y574" s="3275"/>
      <c r="Z574" s="3275"/>
      <c r="AA574" s="3275"/>
      <c r="AB574" s="3275"/>
      <c r="AC574" s="3264">
        <f t="shared" si="329"/>
        <v>0</v>
      </c>
      <c r="AD574" s="3285"/>
      <c r="AE574" s="3285"/>
      <c r="AF574" s="3285"/>
      <c r="AG574" s="3285"/>
      <c r="AH574" s="3285"/>
      <c r="AI574" s="3285"/>
      <c r="AJ574" s="3285"/>
      <c r="AK574" s="3285"/>
      <c r="AL574" s="3285"/>
      <c r="AM574" s="3285"/>
      <c r="AN574" s="3285"/>
      <c r="AO574" s="3285"/>
      <c r="AP574" s="3285"/>
      <c r="AQ574" s="3285"/>
      <c r="AR574" s="3285"/>
      <c r="AS574" s="3285"/>
      <c r="AT574" s="3295"/>
      <c r="AU574" s="3296"/>
      <c r="AV574" s="830">
        <f t="shared" si="330"/>
        <v>0</v>
      </c>
      <c r="AW574" s="830">
        <f t="shared" si="331"/>
        <v>0</v>
      </c>
      <c r="AX574" s="830">
        <f t="shared" si="332"/>
        <v>0</v>
      </c>
      <c r="AY574" s="3310">
        <f t="shared" si="333"/>
        <v>0</v>
      </c>
      <c r="AZ574" s="3264">
        <f t="shared" si="334"/>
        <v>0</v>
      </c>
      <c r="BA574" s="3264">
        <f t="shared" si="335"/>
        <v>0</v>
      </c>
      <c r="BB574" s="3264">
        <f t="shared" si="336"/>
        <v>0</v>
      </c>
      <c r="BC574" s="3264">
        <f t="shared" si="337"/>
        <v>0</v>
      </c>
      <c r="BD574" s="3264">
        <f t="shared" si="338"/>
        <v>0</v>
      </c>
      <c r="BE574" s="3264">
        <f t="shared" si="339"/>
        <v>0</v>
      </c>
      <c r="BF574" s="3264">
        <f t="shared" si="340"/>
        <v>0</v>
      </c>
      <c r="BG574" s="3264">
        <f t="shared" si="341"/>
        <v>0</v>
      </c>
      <c r="BH574" s="3264">
        <f t="shared" si="342"/>
        <v>0</v>
      </c>
      <c r="BI574" s="3264">
        <f t="shared" si="343"/>
        <v>0</v>
      </c>
      <c r="BJ574" s="3264">
        <f t="shared" si="344"/>
        <v>0</v>
      </c>
      <c r="BK574" s="3264">
        <f t="shared" si="345"/>
        <v>0</v>
      </c>
      <c r="BL574" s="3264">
        <f t="shared" si="346"/>
        <v>0</v>
      </c>
      <c r="BM574" s="3264">
        <f t="shared" si="347"/>
        <v>0</v>
      </c>
      <c r="BN574" s="3264">
        <f t="shared" si="348"/>
        <v>0</v>
      </c>
      <c r="BO574" s="3264">
        <f t="shared" si="349"/>
        <v>0</v>
      </c>
      <c r="BP574" s="3264">
        <f t="shared" si="350"/>
        <v>0</v>
      </c>
      <c r="BQ574" s="3264">
        <f t="shared" si="351"/>
        <v>0</v>
      </c>
      <c r="BR574" s="3264">
        <f t="shared" si="352"/>
        <v>0</v>
      </c>
      <c r="BS574" s="3264">
        <f t="shared" si="353"/>
        <v>0</v>
      </c>
      <c r="BT574" s="3317">
        <f t="shared" si="354"/>
        <v>0</v>
      </c>
    </row>
    <row r="575" spans="1:72">
      <c r="A575" s="3262"/>
      <c r="B575" s="3263"/>
      <c r="C575" s="3263"/>
      <c r="D575" s="3268"/>
      <c r="E575" s="3264">
        <f t="shared" si="326"/>
        <v>0</v>
      </c>
      <c r="F575" s="3265"/>
      <c r="G575" s="3266">
        <f t="shared" si="327"/>
        <v>0</v>
      </c>
      <c r="H575" s="3267">
        <f t="shared" si="328"/>
        <v>0</v>
      </c>
      <c r="I575" s="3275"/>
      <c r="J575" s="3275"/>
      <c r="K575" s="3275"/>
      <c r="L575" s="3275"/>
      <c r="M575" s="3275"/>
      <c r="N575" s="3275"/>
      <c r="O575" s="3275"/>
      <c r="P575" s="3275"/>
      <c r="Q575" s="3275"/>
      <c r="R575" s="3275"/>
      <c r="S575" s="3275"/>
      <c r="T575" s="3275"/>
      <c r="U575" s="3275"/>
      <c r="V575" s="3275"/>
      <c r="W575" s="3275"/>
      <c r="X575" s="3275"/>
      <c r="Y575" s="3275"/>
      <c r="Z575" s="3275"/>
      <c r="AA575" s="3275"/>
      <c r="AB575" s="3275"/>
      <c r="AC575" s="3264">
        <f t="shared" si="329"/>
        <v>0</v>
      </c>
      <c r="AD575" s="3285"/>
      <c r="AE575" s="3285"/>
      <c r="AF575" s="3285"/>
      <c r="AG575" s="3285"/>
      <c r="AH575" s="3285"/>
      <c r="AI575" s="3285"/>
      <c r="AJ575" s="3285"/>
      <c r="AK575" s="3285"/>
      <c r="AL575" s="3285"/>
      <c r="AM575" s="3285"/>
      <c r="AN575" s="3285"/>
      <c r="AO575" s="3285"/>
      <c r="AP575" s="3285"/>
      <c r="AQ575" s="3285"/>
      <c r="AR575" s="3285"/>
      <c r="AS575" s="3285"/>
      <c r="AT575" s="3295"/>
      <c r="AU575" s="3296"/>
      <c r="AV575" s="830">
        <f t="shared" si="330"/>
        <v>0</v>
      </c>
      <c r="AW575" s="830">
        <f t="shared" si="331"/>
        <v>0</v>
      </c>
      <c r="AX575" s="830">
        <f t="shared" si="332"/>
        <v>0</v>
      </c>
      <c r="AY575" s="3310">
        <f t="shared" si="333"/>
        <v>0</v>
      </c>
      <c r="AZ575" s="3264">
        <f t="shared" si="334"/>
        <v>0</v>
      </c>
      <c r="BA575" s="3264">
        <f t="shared" si="335"/>
        <v>0</v>
      </c>
      <c r="BB575" s="3264">
        <f t="shared" si="336"/>
        <v>0</v>
      </c>
      <c r="BC575" s="3264">
        <f t="shared" si="337"/>
        <v>0</v>
      </c>
      <c r="BD575" s="3264">
        <f t="shared" si="338"/>
        <v>0</v>
      </c>
      <c r="BE575" s="3264">
        <f t="shared" si="339"/>
        <v>0</v>
      </c>
      <c r="BF575" s="3264">
        <f t="shared" si="340"/>
        <v>0</v>
      </c>
      <c r="BG575" s="3264">
        <f t="shared" si="341"/>
        <v>0</v>
      </c>
      <c r="BH575" s="3264">
        <f t="shared" si="342"/>
        <v>0</v>
      </c>
      <c r="BI575" s="3264">
        <f t="shared" si="343"/>
        <v>0</v>
      </c>
      <c r="BJ575" s="3264">
        <f t="shared" si="344"/>
        <v>0</v>
      </c>
      <c r="BK575" s="3264">
        <f t="shared" si="345"/>
        <v>0</v>
      </c>
      <c r="BL575" s="3264">
        <f t="shared" si="346"/>
        <v>0</v>
      </c>
      <c r="BM575" s="3264">
        <f t="shared" si="347"/>
        <v>0</v>
      </c>
      <c r="BN575" s="3264">
        <f t="shared" si="348"/>
        <v>0</v>
      </c>
      <c r="BO575" s="3264">
        <f t="shared" si="349"/>
        <v>0</v>
      </c>
      <c r="BP575" s="3264">
        <f t="shared" si="350"/>
        <v>0</v>
      </c>
      <c r="BQ575" s="3264">
        <f t="shared" si="351"/>
        <v>0</v>
      </c>
      <c r="BR575" s="3264">
        <f t="shared" si="352"/>
        <v>0</v>
      </c>
      <c r="BS575" s="3264">
        <f t="shared" si="353"/>
        <v>0</v>
      </c>
      <c r="BT575" s="3317">
        <f t="shared" si="354"/>
        <v>0</v>
      </c>
    </row>
    <row r="576" spans="1:72">
      <c r="A576" s="3262"/>
      <c r="B576" s="3263"/>
      <c r="C576" s="3263"/>
      <c r="D576" s="3268"/>
      <c r="E576" s="3264">
        <f t="shared" si="326"/>
        <v>0</v>
      </c>
      <c r="F576" s="3265"/>
      <c r="G576" s="3266">
        <f t="shared" si="327"/>
        <v>0</v>
      </c>
      <c r="H576" s="3267">
        <f t="shared" si="328"/>
        <v>0</v>
      </c>
      <c r="I576" s="3275"/>
      <c r="J576" s="3275"/>
      <c r="K576" s="3275"/>
      <c r="L576" s="3275"/>
      <c r="M576" s="3275"/>
      <c r="N576" s="3275"/>
      <c r="O576" s="3275"/>
      <c r="P576" s="3275"/>
      <c r="Q576" s="3275"/>
      <c r="R576" s="3275"/>
      <c r="S576" s="3275"/>
      <c r="T576" s="3275"/>
      <c r="U576" s="3275"/>
      <c r="V576" s="3275"/>
      <c r="W576" s="3275"/>
      <c r="X576" s="3275"/>
      <c r="Y576" s="3275"/>
      <c r="Z576" s="3275"/>
      <c r="AA576" s="3275"/>
      <c r="AB576" s="3275"/>
      <c r="AC576" s="3264">
        <f t="shared" si="329"/>
        <v>0</v>
      </c>
      <c r="AD576" s="3285"/>
      <c r="AE576" s="3285"/>
      <c r="AF576" s="3285"/>
      <c r="AG576" s="3285"/>
      <c r="AH576" s="3285"/>
      <c r="AI576" s="3285"/>
      <c r="AJ576" s="3285"/>
      <c r="AK576" s="3285"/>
      <c r="AL576" s="3285"/>
      <c r="AM576" s="3285"/>
      <c r="AN576" s="3285"/>
      <c r="AO576" s="3285"/>
      <c r="AP576" s="3285"/>
      <c r="AQ576" s="3285"/>
      <c r="AR576" s="3285"/>
      <c r="AS576" s="3285"/>
      <c r="AT576" s="3295"/>
      <c r="AU576" s="3296"/>
      <c r="AV576" s="830">
        <f t="shared" si="330"/>
        <v>0</v>
      </c>
      <c r="AW576" s="830">
        <f t="shared" si="331"/>
        <v>0</v>
      </c>
      <c r="AX576" s="830">
        <f t="shared" si="332"/>
        <v>0</v>
      </c>
      <c r="AY576" s="3310">
        <f t="shared" si="333"/>
        <v>0</v>
      </c>
      <c r="AZ576" s="3264">
        <f t="shared" si="334"/>
        <v>0</v>
      </c>
      <c r="BA576" s="3264">
        <f t="shared" si="335"/>
        <v>0</v>
      </c>
      <c r="BB576" s="3264">
        <f t="shared" si="336"/>
        <v>0</v>
      </c>
      <c r="BC576" s="3264">
        <f t="shared" si="337"/>
        <v>0</v>
      </c>
      <c r="BD576" s="3264">
        <f t="shared" si="338"/>
        <v>0</v>
      </c>
      <c r="BE576" s="3264">
        <f t="shared" si="339"/>
        <v>0</v>
      </c>
      <c r="BF576" s="3264">
        <f t="shared" si="340"/>
        <v>0</v>
      </c>
      <c r="BG576" s="3264">
        <f t="shared" si="341"/>
        <v>0</v>
      </c>
      <c r="BH576" s="3264">
        <f t="shared" si="342"/>
        <v>0</v>
      </c>
      <c r="BI576" s="3264">
        <f t="shared" si="343"/>
        <v>0</v>
      </c>
      <c r="BJ576" s="3264">
        <f t="shared" si="344"/>
        <v>0</v>
      </c>
      <c r="BK576" s="3264">
        <f t="shared" si="345"/>
        <v>0</v>
      </c>
      <c r="BL576" s="3264">
        <f t="shared" si="346"/>
        <v>0</v>
      </c>
      <c r="BM576" s="3264">
        <f t="shared" si="347"/>
        <v>0</v>
      </c>
      <c r="BN576" s="3264">
        <f t="shared" si="348"/>
        <v>0</v>
      </c>
      <c r="BO576" s="3264">
        <f t="shared" si="349"/>
        <v>0</v>
      </c>
      <c r="BP576" s="3264">
        <f t="shared" si="350"/>
        <v>0</v>
      </c>
      <c r="BQ576" s="3264">
        <f t="shared" si="351"/>
        <v>0</v>
      </c>
      <c r="BR576" s="3264">
        <f t="shared" si="352"/>
        <v>0</v>
      </c>
      <c r="BS576" s="3264">
        <f t="shared" si="353"/>
        <v>0</v>
      </c>
      <c r="BT576" s="3317">
        <f t="shared" si="354"/>
        <v>0</v>
      </c>
    </row>
    <row r="577" spans="1:72">
      <c r="A577" s="3262"/>
      <c r="B577" s="3263"/>
      <c r="C577" s="3263"/>
      <c r="D577" s="3268"/>
      <c r="E577" s="3264">
        <f t="shared" si="326"/>
        <v>0</v>
      </c>
      <c r="F577" s="3265"/>
      <c r="G577" s="3266">
        <f t="shared" si="327"/>
        <v>0</v>
      </c>
      <c r="H577" s="3267">
        <f t="shared" si="328"/>
        <v>0</v>
      </c>
      <c r="I577" s="3275"/>
      <c r="J577" s="3275"/>
      <c r="K577" s="3275"/>
      <c r="L577" s="3275"/>
      <c r="M577" s="3275"/>
      <c r="N577" s="3275"/>
      <c r="O577" s="3275"/>
      <c r="P577" s="3275"/>
      <c r="Q577" s="3275"/>
      <c r="R577" s="3275"/>
      <c r="S577" s="3275"/>
      <c r="T577" s="3275"/>
      <c r="U577" s="3275"/>
      <c r="V577" s="3275"/>
      <c r="W577" s="3275"/>
      <c r="X577" s="3275"/>
      <c r="Y577" s="3275"/>
      <c r="Z577" s="3275"/>
      <c r="AA577" s="3275"/>
      <c r="AB577" s="3275"/>
      <c r="AC577" s="3264">
        <f t="shared" si="329"/>
        <v>0</v>
      </c>
      <c r="AD577" s="3285"/>
      <c r="AE577" s="3285"/>
      <c r="AF577" s="3285"/>
      <c r="AG577" s="3285"/>
      <c r="AH577" s="3285"/>
      <c r="AI577" s="3285"/>
      <c r="AJ577" s="3285"/>
      <c r="AK577" s="3285"/>
      <c r="AL577" s="3285"/>
      <c r="AM577" s="3285"/>
      <c r="AN577" s="3285"/>
      <c r="AO577" s="3285"/>
      <c r="AP577" s="3285"/>
      <c r="AQ577" s="3285"/>
      <c r="AR577" s="3285"/>
      <c r="AS577" s="3285"/>
      <c r="AT577" s="3295"/>
      <c r="AU577" s="3296"/>
      <c r="AV577" s="830">
        <f t="shared" si="330"/>
        <v>0</v>
      </c>
      <c r="AW577" s="830">
        <f t="shared" si="331"/>
        <v>0</v>
      </c>
      <c r="AX577" s="830">
        <f t="shared" si="332"/>
        <v>0</v>
      </c>
      <c r="AY577" s="3310">
        <f t="shared" si="333"/>
        <v>0</v>
      </c>
      <c r="AZ577" s="3264">
        <f t="shared" si="334"/>
        <v>0</v>
      </c>
      <c r="BA577" s="3264">
        <f t="shared" si="335"/>
        <v>0</v>
      </c>
      <c r="BB577" s="3264">
        <f t="shared" si="336"/>
        <v>0</v>
      </c>
      <c r="BC577" s="3264">
        <f t="shared" si="337"/>
        <v>0</v>
      </c>
      <c r="BD577" s="3264">
        <f t="shared" si="338"/>
        <v>0</v>
      </c>
      <c r="BE577" s="3264">
        <f t="shared" si="339"/>
        <v>0</v>
      </c>
      <c r="BF577" s="3264">
        <f t="shared" si="340"/>
        <v>0</v>
      </c>
      <c r="BG577" s="3264">
        <f t="shared" si="341"/>
        <v>0</v>
      </c>
      <c r="BH577" s="3264">
        <f t="shared" si="342"/>
        <v>0</v>
      </c>
      <c r="BI577" s="3264">
        <f t="shared" si="343"/>
        <v>0</v>
      </c>
      <c r="BJ577" s="3264">
        <f t="shared" si="344"/>
        <v>0</v>
      </c>
      <c r="BK577" s="3264">
        <f t="shared" si="345"/>
        <v>0</v>
      </c>
      <c r="BL577" s="3264">
        <f t="shared" si="346"/>
        <v>0</v>
      </c>
      <c r="BM577" s="3264">
        <f t="shared" si="347"/>
        <v>0</v>
      </c>
      <c r="BN577" s="3264">
        <f t="shared" si="348"/>
        <v>0</v>
      </c>
      <c r="BO577" s="3264">
        <f t="shared" si="349"/>
        <v>0</v>
      </c>
      <c r="BP577" s="3264">
        <f t="shared" si="350"/>
        <v>0</v>
      </c>
      <c r="BQ577" s="3264">
        <f t="shared" si="351"/>
        <v>0</v>
      </c>
      <c r="BR577" s="3264">
        <f t="shared" si="352"/>
        <v>0</v>
      </c>
      <c r="BS577" s="3264">
        <f t="shared" si="353"/>
        <v>0</v>
      </c>
      <c r="BT577" s="3317">
        <f t="shared" si="354"/>
        <v>0</v>
      </c>
    </row>
    <row r="578" spans="1:72">
      <c r="A578" s="3262"/>
      <c r="B578" s="3263"/>
      <c r="C578" s="3263"/>
      <c r="D578" s="3268"/>
      <c r="E578" s="3264">
        <f t="shared" si="326"/>
        <v>0</v>
      </c>
      <c r="F578" s="3265"/>
      <c r="G578" s="3266">
        <f t="shared" si="327"/>
        <v>0</v>
      </c>
      <c r="H578" s="3267">
        <f t="shared" si="328"/>
        <v>0</v>
      </c>
      <c r="I578" s="3275"/>
      <c r="J578" s="3275"/>
      <c r="K578" s="3275"/>
      <c r="L578" s="3275"/>
      <c r="M578" s="3275"/>
      <c r="N578" s="3275"/>
      <c r="O578" s="3275"/>
      <c r="P578" s="3275"/>
      <c r="Q578" s="3275"/>
      <c r="R578" s="3275"/>
      <c r="S578" s="3275"/>
      <c r="T578" s="3275"/>
      <c r="U578" s="3275"/>
      <c r="V578" s="3275"/>
      <c r="W578" s="3275"/>
      <c r="X578" s="3275"/>
      <c r="Y578" s="3275"/>
      <c r="Z578" s="3275"/>
      <c r="AA578" s="3275"/>
      <c r="AB578" s="3275"/>
      <c r="AC578" s="3264">
        <f t="shared" si="329"/>
        <v>0</v>
      </c>
      <c r="AD578" s="3285"/>
      <c r="AE578" s="3285"/>
      <c r="AF578" s="3285"/>
      <c r="AG578" s="3285"/>
      <c r="AH578" s="3285"/>
      <c r="AI578" s="3285"/>
      <c r="AJ578" s="3285"/>
      <c r="AK578" s="3285"/>
      <c r="AL578" s="3285"/>
      <c r="AM578" s="3285"/>
      <c r="AN578" s="3285"/>
      <c r="AO578" s="3285"/>
      <c r="AP578" s="3285"/>
      <c r="AQ578" s="3285"/>
      <c r="AR578" s="3285"/>
      <c r="AS578" s="3285"/>
      <c r="AT578" s="3295"/>
      <c r="AU578" s="3296"/>
      <c r="AV578" s="830">
        <f t="shared" si="330"/>
        <v>0</v>
      </c>
      <c r="AW578" s="830">
        <f t="shared" si="331"/>
        <v>0</v>
      </c>
      <c r="AX578" s="830">
        <f t="shared" si="332"/>
        <v>0</v>
      </c>
      <c r="AY578" s="3310">
        <f t="shared" si="333"/>
        <v>0</v>
      </c>
      <c r="AZ578" s="3264">
        <f t="shared" si="334"/>
        <v>0</v>
      </c>
      <c r="BA578" s="3264">
        <f t="shared" si="335"/>
        <v>0</v>
      </c>
      <c r="BB578" s="3264">
        <f t="shared" si="336"/>
        <v>0</v>
      </c>
      <c r="BC578" s="3264">
        <f t="shared" si="337"/>
        <v>0</v>
      </c>
      <c r="BD578" s="3264">
        <f t="shared" si="338"/>
        <v>0</v>
      </c>
      <c r="BE578" s="3264">
        <f t="shared" si="339"/>
        <v>0</v>
      </c>
      <c r="BF578" s="3264">
        <f t="shared" si="340"/>
        <v>0</v>
      </c>
      <c r="BG578" s="3264">
        <f t="shared" si="341"/>
        <v>0</v>
      </c>
      <c r="BH578" s="3264">
        <f t="shared" si="342"/>
        <v>0</v>
      </c>
      <c r="BI578" s="3264">
        <f t="shared" si="343"/>
        <v>0</v>
      </c>
      <c r="BJ578" s="3264">
        <f t="shared" si="344"/>
        <v>0</v>
      </c>
      <c r="BK578" s="3264">
        <f t="shared" si="345"/>
        <v>0</v>
      </c>
      <c r="BL578" s="3264">
        <f t="shared" si="346"/>
        <v>0</v>
      </c>
      <c r="BM578" s="3264">
        <f t="shared" si="347"/>
        <v>0</v>
      </c>
      <c r="BN578" s="3264">
        <f t="shared" si="348"/>
        <v>0</v>
      </c>
      <c r="BO578" s="3264">
        <f t="shared" si="349"/>
        <v>0</v>
      </c>
      <c r="BP578" s="3264">
        <f t="shared" si="350"/>
        <v>0</v>
      </c>
      <c r="BQ578" s="3264">
        <f t="shared" si="351"/>
        <v>0</v>
      </c>
      <c r="BR578" s="3264">
        <f t="shared" si="352"/>
        <v>0</v>
      </c>
      <c r="BS578" s="3264">
        <f t="shared" si="353"/>
        <v>0</v>
      </c>
      <c r="BT578" s="3317">
        <f t="shared" si="354"/>
        <v>0</v>
      </c>
    </row>
    <row r="579" spans="1:72">
      <c r="A579" s="3262"/>
      <c r="B579" s="3263"/>
      <c r="C579" s="3263"/>
      <c r="D579" s="3268"/>
      <c r="E579" s="3264">
        <f t="shared" si="326"/>
        <v>0</v>
      </c>
      <c r="F579" s="3265"/>
      <c r="G579" s="3266">
        <f t="shared" si="327"/>
        <v>0</v>
      </c>
      <c r="H579" s="3267">
        <f t="shared" si="328"/>
        <v>0</v>
      </c>
      <c r="I579" s="3275"/>
      <c r="J579" s="3275"/>
      <c r="K579" s="3275"/>
      <c r="L579" s="3275"/>
      <c r="M579" s="3275"/>
      <c r="N579" s="3275"/>
      <c r="O579" s="3275"/>
      <c r="P579" s="3275"/>
      <c r="Q579" s="3275"/>
      <c r="R579" s="3275"/>
      <c r="S579" s="3275"/>
      <c r="T579" s="3275"/>
      <c r="U579" s="3275"/>
      <c r="V579" s="3275"/>
      <c r="W579" s="3275"/>
      <c r="X579" s="3275"/>
      <c r="Y579" s="3275"/>
      <c r="Z579" s="3275"/>
      <c r="AA579" s="3275"/>
      <c r="AB579" s="3275"/>
      <c r="AC579" s="3264">
        <f t="shared" si="329"/>
        <v>0</v>
      </c>
      <c r="AD579" s="3285"/>
      <c r="AE579" s="3285"/>
      <c r="AF579" s="3285"/>
      <c r="AG579" s="3285"/>
      <c r="AH579" s="3285"/>
      <c r="AI579" s="3285"/>
      <c r="AJ579" s="3285"/>
      <c r="AK579" s="3285"/>
      <c r="AL579" s="3285"/>
      <c r="AM579" s="3285"/>
      <c r="AN579" s="3285"/>
      <c r="AO579" s="3285"/>
      <c r="AP579" s="3285"/>
      <c r="AQ579" s="3285"/>
      <c r="AR579" s="3285"/>
      <c r="AS579" s="3285"/>
      <c r="AT579" s="3295"/>
      <c r="AU579" s="3296"/>
      <c r="AV579" s="830">
        <f t="shared" si="330"/>
        <v>0</v>
      </c>
      <c r="AW579" s="830">
        <f t="shared" si="331"/>
        <v>0</v>
      </c>
      <c r="AX579" s="830">
        <f t="shared" si="332"/>
        <v>0</v>
      </c>
      <c r="AY579" s="3310">
        <f t="shared" si="333"/>
        <v>0</v>
      </c>
      <c r="AZ579" s="3264">
        <f t="shared" si="334"/>
        <v>0</v>
      </c>
      <c r="BA579" s="3264">
        <f t="shared" si="335"/>
        <v>0</v>
      </c>
      <c r="BB579" s="3264">
        <f t="shared" si="336"/>
        <v>0</v>
      </c>
      <c r="BC579" s="3264">
        <f t="shared" si="337"/>
        <v>0</v>
      </c>
      <c r="BD579" s="3264">
        <f t="shared" si="338"/>
        <v>0</v>
      </c>
      <c r="BE579" s="3264">
        <f t="shared" si="339"/>
        <v>0</v>
      </c>
      <c r="BF579" s="3264">
        <f t="shared" si="340"/>
        <v>0</v>
      </c>
      <c r="BG579" s="3264">
        <f t="shared" si="341"/>
        <v>0</v>
      </c>
      <c r="BH579" s="3264">
        <f t="shared" si="342"/>
        <v>0</v>
      </c>
      <c r="BI579" s="3264">
        <f t="shared" si="343"/>
        <v>0</v>
      </c>
      <c r="BJ579" s="3264">
        <f t="shared" si="344"/>
        <v>0</v>
      </c>
      <c r="BK579" s="3264">
        <f t="shared" si="345"/>
        <v>0</v>
      </c>
      <c r="BL579" s="3264">
        <f t="shared" si="346"/>
        <v>0</v>
      </c>
      <c r="BM579" s="3264">
        <f t="shared" si="347"/>
        <v>0</v>
      </c>
      <c r="BN579" s="3264">
        <f t="shared" si="348"/>
        <v>0</v>
      </c>
      <c r="BO579" s="3264">
        <f t="shared" si="349"/>
        <v>0</v>
      </c>
      <c r="BP579" s="3264">
        <f t="shared" si="350"/>
        <v>0</v>
      </c>
      <c r="BQ579" s="3264">
        <f t="shared" si="351"/>
        <v>0</v>
      </c>
      <c r="BR579" s="3264">
        <f t="shared" si="352"/>
        <v>0</v>
      </c>
      <c r="BS579" s="3264">
        <f t="shared" si="353"/>
        <v>0</v>
      </c>
      <c r="BT579" s="3317">
        <f t="shared" si="354"/>
        <v>0</v>
      </c>
    </row>
    <row r="580" spans="1:72">
      <c r="A580" s="3262"/>
      <c r="B580" s="3263"/>
      <c r="C580" s="3263"/>
      <c r="D580" s="3268"/>
      <c r="E580" s="3264">
        <f t="shared" si="326"/>
        <v>0</v>
      </c>
      <c r="F580" s="3265"/>
      <c r="G580" s="3266">
        <f t="shared" si="327"/>
        <v>0</v>
      </c>
      <c r="H580" s="3267">
        <f t="shared" si="328"/>
        <v>0</v>
      </c>
      <c r="I580" s="3275"/>
      <c r="J580" s="3275"/>
      <c r="K580" s="3275"/>
      <c r="L580" s="3275"/>
      <c r="M580" s="3275"/>
      <c r="N580" s="3275"/>
      <c r="O580" s="3275"/>
      <c r="P580" s="3275"/>
      <c r="Q580" s="3275"/>
      <c r="R580" s="3275"/>
      <c r="S580" s="3275"/>
      <c r="T580" s="3275"/>
      <c r="U580" s="3275"/>
      <c r="V580" s="3275"/>
      <c r="W580" s="3275"/>
      <c r="X580" s="3275"/>
      <c r="Y580" s="3275"/>
      <c r="Z580" s="3275"/>
      <c r="AA580" s="3275"/>
      <c r="AB580" s="3275"/>
      <c r="AC580" s="3264">
        <f t="shared" si="329"/>
        <v>0</v>
      </c>
      <c r="AD580" s="3285"/>
      <c r="AE580" s="3285"/>
      <c r="AF580" s="3285"/>
      <c r="AG580" s="3285"/>
      <c r="AH580" s="3285"/>
      <c r="AI580" s="3285"/>
      <c r="AJ580" s="3285"/>
      <c r="AK580" s="3285"/>
      <c r="AL580" s="3285"/>
      <c r="AM580" s="3285"/>
      <c r="AN580" s="3285"/>
      <c r="AO580" s="3285"/>
      <c r="AP580" s="3285"/>
      <c r="AQ580" s="3285"/>
      <c r="AR580" s="3285"/>
      <c r="AS580" s="3285"/>
      <c r="AT580" s="3295"/>
      <c r="AU580" s="3296"/>
      <c r="AV580" s="830">
        <f t="shared" si="330"/>
        <v>0</v>
      </c>
      <c r="AW580" s="830">
        <f t="shared" si="331"/>
        <v>0</v>
      </c>
      <c r="AX580" s="830">
        <f t="shared" si="332"/>
        <v>0</v>
      </c>
      <c r="AY580" s="3310">
        <f t="shared" si="333"/>
        <v>0</v>
      </c>
      <c r="AZ580" s="3264">
        <f t="shared" si="334"/>
        <v>0</v>
      </c>
      <c r="BA580" s="3264">
        <f t="shared" si="335"/>
        <v>0</v>
      </c>
      <c r="BB580" s="3264">
        <f t="shared" si="336"/>
        <v>0</v>
      </c>
      <c r="BC580" s="3264">
        <f t="shared" si="337"/>
        <v>0</v>
      </c>
      <c r="BD580" s="3264">
        <f t="shared" si="338"/>
        <v>0</v>
      </c>
      <c r="BE580" s="3264">
        <f t="shared" si="339"/>
        <v>0</v>
      </c>
      <c r="BF580" s="3264">
        <f t="shared" si="340"/>
        <v>0</v>
      </c>
      <c r="BG580" s="3264">
        <f t="shared" si="341"/>
        <v>0</v>
      </c>
      <c r="BH580" s="3264">
        <f t="shared" si="342"/>
        <v>0</v>
      </c>
      <c r="BI580" s="3264">
        <f t="shared" si="343"/>
        <v>0</v>
      </c>
      <c r="BJ580" s="3264">
        <f t="shared" si="344"/>
        <v>0</v>
      </c>
      <c r="BK580" s="3264">
        <f t="shared" si="345"/>
        <v>0</v>
      </c>
      <c r="BL580" s="3264">
        <f t="shared" si="346"/>
        <v>0</v>
      </c>
      <c r="BM580" s="3264">
        <f t="shared" si="347"/>
        <v>0</v>
      </c>
      <c r="BN580" s="3264">
        <f t="shared" si="348"/>
        <v>0</v>
      </c>
      <c r="BO580" s="3264">
        <f t="shared" si="349"/>
        <v>0</v>
      </c>
      <c r="BP580" s="3264">
        <f t="shared" si="350"/>
        <v>0</v>
      </c>
      <c r="BQ580" s="3264">
        <f t="shared" si="351"/>
        <v>0</v>
      </c>
      <c r="BR580" s="3264">
        <f t="shared" si="352"/>
        <v>0</v>
      </c>
      <c r="BS580" s="3264">
        <f t="shared" si="353"/>
        <v>0</v>
      </c>
      <c r="BT580" s="3317">
        <f t="shared" si="354"/>
        <v>0</v>
      </c>
    </row>
    <row r="581" spans="1:72">
      <c r="A581" s="3262"/>
      <c r="B581" s="3263"/>
      <c r="C581" s="3263"/>
      <c r="D581" s="3268"/>
      <c r="E581" s="3264">
        <f t="shared" si="326"/>
        <v>0</v>
      </c>
      <c r="F581" s="3265"/>
      <c r="G581" s="3266">
        <f t="shared" si="327"/>
        <v>0</v>
      </c>
      <c r="H581" s="3267">
        <f t="shared" si="328"/>
        <v>0</v>
      </c>
      <c r="I581" s="3275"/>
      <c r="J581" s="3275"/>
      <c r="K581" s="3275"/>
      <c r="L581" s="3275"/>
      <c r="M581" s="3275"/>
      <c r="N581" s="3275"/>
      <c r="O581" s="3275"/>
      <c r="P581" s="3275"/>
      <c r="Q581" s="3275"/>
      <c r="R581" s="3275"/>
      <c r="S581" s="3275"/>
      <c r="T581" s="3275"/>
      <c r="U581" s="3275"/>
      <c r="V581" s="3275"/>
      <c r="W581" s="3275"/>
      <c r="X581" s="3275"/>
      <c r="Y581" s="3275"/>
      <c r="Z581" s="3275"/>
      <c r="AA581" s="3275"/>
      <c r="AB581" s="3275"/>
      <c r="AC581" s="3264">
        <f t="shared" si="329"/>
        <v>0</v>
      </c>
      <c r="AD581" s="3285"/>
      <c r="AE581" s="3285"/>
      <c r="AF581" s="3285"/>
      <c r="AG581" s="3285"/>
      <c r="AH581" s="3285"/>
      <c r="AI581" s="3285"/>
      <c r="AJ581" s="3285"/>
      <c r="AK581" s="3285"/>
      <c r="AL581" s="3285"/>
      <c r="AM581" s="3285"/>
      <c r="AN581" s="3285"/>
      <c r="AO581" s="3285"/>
      <c r="AP581" s="3285"/>
      <c r="AQ581" s="3285"/>
      <c r="AR581" s="3285"/>
      <c r="AS581" s="3285"/>
      <c r="AT581" s="3295"/>
      <c r="AU581" s="3296"/>
      <c r="AV581" s="830">
        <f t="shared" si="330"/>
        <v>0</v>
      </c>
      <c r="AW581" s="830">
        <f t="shared" si="331"/>
        <v>0</v>
      </c>
      <c r="AX581" s="830">
        <f t="shared" si="332"/>
        <v>0</v>
      </c>
      <c r="AY581" s="3310">
        <f t="shared" si="333"/>
        <v>0</v>
      </c>
      <c r="AZ581" s="3264">
        <f t="shared" si="334"/>
        <v>0</v>
      </c>
      <c r="BA581" s="3264">
        <f t="shared" si="335"/>
        <v>0</v>
      </c>
      <c r="BB581" s="3264">
        <f t="shared" si="336"/>
        <v>0</v>
      </c>
      <c r="BC581" s="3264">
        <f t="shared" si="337"/>
        <v>0</v>
      </c>
      <c r="BD581" s="3264">
        <f t="shared" si="338"/>
        <v>0</v>
      </c>
      <c r="BE581" s="3264">
        <f t="shared" si="339"/>
        <v>0</v>
      </c>
      <c r="BF581" s="3264">
        <f t="shared" si="340"/>
        <v>0</v>
      </c>
      <c r="BG581" s="3264">
        <f t="shared" si="341"/>
        <v>0</v>
      </c>
      <c r="BH581" s="3264">
        <f t="shared" si="342"/>
        <v>0</v>
      </c>
      <c r="BI581" s="3264">
        <f t="shared" si="343"/>
        <v>0</v>
      </c>
      <c r="BJ581" s="3264">
        <f t="shared" si="344"/>
        <v>0</v>
      </c>
      <c r="BK581" s="3264">
        <f t="shared" si="345"/>
        <v>0</v>
      </c>
      <c r="BL581" s="3264">
        <f t="shared" si="346"/>
        <v>0</v>
      </c>
      <c r="BM581" s="3264">
        <f t="shared" si="347"/>
        <v>0</v>
      </c>
      <c r="BN581" s="3264">
        <f t="shared" si="348"/>
        <v>0</v>
      </c>
      <c r="BO581" s="3264">
        <f t="shared" si="349"/>
        <v>0</v>
      </c>
      <c r="BP581" s="3264">
        <f t="shared" si="350"/>
        <v>0</v>
      </c>
      <c r="BQ581" s="3264">
        <f t="shared" si="351"/>
        <v>0</v>
      </c>
      <c r="BR581" s="3264">
        <f t="shared" si="352"/>
        <v>0</v>
      </c>
      <c r="BS581" s="3264">
        <f t="shared" si="353"/>
        <v>0</v>
      </c>
      <c r="BT581" s="3317">
        <f t="shared" si="354"/>
        <v>0</v>
      </c>
    </row>
    <row r="582" spans="1:72">
      <c r="A582" s="3262"/>
      <c r="B582" s="3263"/>
      <c r="C582" s="3263"/>
      <c r="D582" s="3268"/>
      <c r="E582" s="3264">
        <f t="shared" si="326"/>
        <v>0</v>
      </c>
      <c r="F582" s="3265"/>
      <c r="G582" s="3266">
        <f t="shared" si="327"/>
        <v>0</v>
      </c>
      <c r="H582" s="3267">
        <f t="shared" si="328"/>
        <v>0</v>
      </c>
      <c r="I582" s="3275"/>
      <c r="J582" s="3275"/>
      <c r="K582" s="3275"/>
      <c r="L582" s="3275"/>
      <c r="M582" s="3275"/>
      <c r="N582" s="3275"/>
      <c r="O582" s="3275"/>
      <c r="P582" s="3275"/>
      <c r="Q582" s="3275"/>
      <c r="R582" s="3275"/>
      <c r="S582" s="3275"/>
      <c r="T582" s="3275"/>
      <c r="U582" s="3275"/>
      <c r="V582" s="3275"/>
      <c r="W582" s="3275"/>
      <c r="X582" s="3275"/>
      <c r="Y582" s="3275"/>
      <c r="Z582" s="3275"/>
      <c r="AA582" s="3275"/>
      <c r="AB582" s="3275"/>
      <c r="AC582" s="3264">
        <f t="shared" si="329"/>
        <v>0</v>
      </c>
      <c r="AD582" s="3285"/>
      <c r="AE582" s="3285"/>
      <c r="AF582" s="3285"/>
      <c r="AG582" s="3285"/>
      <c r="AH582" s="3285"/>
      <c r="AI582" s="3285"/>
      <c r="AJ582" s="3285"/>
      <c r="AK582" s="3285"/>
      <c r="AL582" s="3285"/>
      <c r="AM582" s="3285"/>
      <c r="AN582" s="3285"/>
      <c r="AO582" s="3285"/>
      <c r="AP582" s="3285"/>
      <c r="AQ582" s="3285"/>
      <c r="AR582" s="3285"/>
      <c r="AS582" s="3285"/>
      <c r="AT582" s="3295"/>
      <c r="AU582" s="3296"/>
      <c r="AV582" s="830">
        <f t="shared" si="330"/>
        <v>0</v>
      </c>
      <c r="AW582" s="830">
        <f t="shared" si="331"/>
        <v>0</v>
      </c>
      <c r="AX582" s="830">
        <f t="shared" si="332"/>
        <v>0</v>
      </c>
      <c r="AY582" s="3310">
        <f t="shared" si="333"/>
        <v>0</v>
      </c>
      <c r="AZ582" s="3264">
        <f t="shared" si="334"/>
        <v>0</v>
      </c>
      <c r="BA582" s="3264">
        <f t="shared" si="335"/>
        <v>0</v>
      </c>
      <c r="BB582" s="3264">
        <f t="shared" si="336"/>
        <v>0</v>
      </c>
      <c r="BC582" s="3264">
        <f t="shared" si="337"/>
        <v>0</v>
      </c>
      <c r="BD582" s="3264">
        <f t="shared" si="338"/>
        <v>0</v>
      </c>
      <c r="BE582" s="3264">
        <f t="shared" si="339"/>
        <v>0</v>
      </c>
      <c r="BF582" s="3264">
        <f t="shared" si="340"/>
        <v>0</v>
      </c>
      <c r="BG582" s="3264">
        <f t="shared" si="341"/>
        <v>0</v>
      </c>
      <c r="BH582" s="3264">
        <f t="shared" si="342"/>
        <v>0</v>
      </c>
      <c r="BI582" s="3264">
        <f t="shared" si="343"/>
        <v>0</v>
      </c>
      <c r="BJ582" s="3264">
        <f t="shared" si="344"/>
        <v>0</v>
      </c>
      <c r="BK582" s="3264">
        <f t="shared" si="345"/>
        <v>0</v>
      </c>
      <c r="BL582" s="3264">
        <f t="shared" si="346"/>
        <v>0</v>
      </c>
      <c r="BM582" s="3264">
        <f t="shared" si="347"/>
        <v>0</v>
      </c>
      <c r="BN582" s="3264">
        <f t="shared" si="348"/>
        <v>0</v>
      </c>
      <c r="BO582" s="3264">
        <f t="shared" si="349"/>
        <v>0</v>
      </c>
      <c r="BP582" s="3264">
        <f t="shared" si="350"/>
        <v>0</v>
      </c>
      <c r="BQ582" s="3264">
        <f t="shared" si="351"/>
        <v>0</v>
      </c>
      <c r="BR582" s="3264">
        <f t="shared" si="352"/>
        <v>0</v>
      </c>
      <c r="BS582" s="3264">
        <f t="shared" si="353"/>
        <v>0</v>
      </c>
      <c r="BT582" s="3317">
        <f t="shared" si="354"/>
        <v>0</v>
      </c>
    </row>
    <row r="583" spans="1:72">
      <c r="A583" s="3262"/>
      <c r="B583" s="3263"/>
      <c r="C583" s="3263"/>
      <c r="D583" s="3268"/>
      <c r="E583" s="3264">
        <f t="shared" si="326"/>
        <v>0</v>
      </c>
      <c r="F583" s="3265"/>
      <c r="G583" s="3266">
        <f t="shared" si="327"/>
        <v>0</v>
      </c>
      <c r="H583" s="3267">
        <f t="shared" si="328"/>
        <v>0</v>
      </c>
      <c r="I583" s="3275"/>
      <c r="J583" s="3275"/>
      <c r="K583" s="3275"/>
      <c r="L583" s="3275"/>
      <c r="M583" s="3275"/>
      <c r="N583" s="3275"/>
      <c r="O583" s="3275"/>
      <c r="P583" s="3275"/>
      <c r="Q583" s="3275"/>
      <c r="R583" s="3275"/>
      <c r="S583" s="3275"/>
      <c r="T583" s="3275"/>
      <c r="U583" s="3275"/>
      <c r="V583" s="3275"/>
      <c r="W583" s="3275"/>
      <c r="X583" s="3275"/>
      <c r="Y583" s="3275"/>
      <c r="Z583" s="3275"/>
      <c r="AA583" s="3275"/>
      <c r="AB583" s="3275"/>
      <c r="AC583" s="3264">
        <f t="shared" si="329"/>
        <v>0</v>
      </c>
      <c r="AD583" s="3285"/>
      <c r="AE583" s="3285"/>
      <c r="AF583" s="3285"/>
      <c r="AG583" s="3285"/>
      <c r="AH583" s="3285"/>
      <c r="AI583" s="3285"/>
      <c r="AJ583" s="3285"/>
      <c r="AK583" s="3285"/>
      <c r="AL583" s="3285"/>
      <c r="AM583" s="3285"/>
      <c r="AN583" s="3285"/>
      <c r="AO583" s="3285"/>
      <c r="AP583" s="3285"/>
      <c r="AQ583" s="3285"/>
      <c r="AR583" s="3285"/>
      <c r="AS583" s="3285"/>
      <c r="AT583" s="3295"/>
      <c r="AU583" s="3296"/>
      <c r="AV583" s="830">
        <f t="shared" si="330"/>
        <v>0</v>
      </c>
      <c r="AW583" s="830">
        <f t="shared" si="331"/>
        <v>0</v>
      </c>
      <c r="AX583" s="830">
        <f t="shared" si="332"/>
        <v>0</v>
      </c>
      <c r="AY583" s="3310">
        <f t="shared" si="333"/>
        <v>0</v>
      </c>
      <c r="AZ583" s="3264">
        <f t="shared" si="334"/>
        <v>0</v>
      </c>
      <c r="BA583" s="3264">
        <f t="shared" si="335"/>
        <v>0</v>
      </c>
      <c r="BB583" s="3264">
        <f t="shared" si="336"/>
        <v>0</v>
      </c>
      <c r="BC583" s="3264">
        <f t="shared" si="337"/>
        <v>0</v>
      </c>
      <c r="BD583" s="3264">
        <f t="shared" si="338"/>
        <v>0</v>
      </c>
      <c r="BE583" s="3264">
        <f t="shared" si="339"/>
        <v>0</v>
      </c>
      <c r="BF583" s="3264">
        <f t="shared" si="340"/>
        <v>0</v>
      </c>
      <c r="BG583" s="3264">
        <f t="shared" si="341"/>
        <v>0</v>
      </c>
      <c r="BH583" s="3264">
        <f t="shared" si="342"/>
        <v>0</v>
      </c>
      <c r="BI583" s="3264">
        <f t="shared" si="343"/>
        <v>0</v>
      </c>
      <c r="BJ583" s="3264">
        <f t="shared" si="344"/>
        <v>0</v>
      </c>
      <c r="BK583" s="3264">
        <f t="shared" si="345"/>
        <v>0</v>
      </c>
      <c r="BL583" s="3264">
        <f t="shared" si="346"/>
        <v>0</v>
      </c>
      <c r="BM583" s="3264">
        <f t="shared" si="347"/>
        <v>0</v>
      </c>
      <c r="BN583" s="3264">
        <f t="shared" si="348"/>
        <v>0</v>
      </c>
      <c r="BO583" s="3264">
        <f t="shared" si="349"/>
        <v>0</v>
      </c>
      <c r="BP583" s="3264">
        <f t="shared" si="350"/>
        <v>0</v>
      </c>
      <c r="BQ583" s="3264">
        <f t="shared" si="351"/>
        <v>0</v>
      </c>
      <c r="BR583" s="3264">
        <f t="shared" si="352"/>
        <v>0</v>
      </c>
      <c r="BS583" s="3264">
        <f t="shared" si="353"/>
        <v>0</v>
      </c>
      <c r="BT583" s="3317">
        <f t="shared" si="354"/>
        <v>0</v>
      </c>
    </row>
    <row r="584" spans="1:72">
      <c r="A584" s="3262"/>
      <c r="B584" s="3263"/>
      <c r="C584" s="3263"/>
      <c r="D584" s="3268"/>
      <c r="E584" s="3264">
        <f t="shared" si="326"/>
        <v>0</v>
      </c>
      <c r="F584" s="3265"/>
      <c r="G584" s="3266">
        <f t="shared" si="327"/>
        <v>0</v>
      </c>
      <c r="H584" s="3267">
        <f t="shared" si="328"/>
        <v>0</v>
      </c>
      <c r="I584" s="3275"/>
      <c r="J584" s="3275"/>
      <c r="K584" s="3275"/>
      <c r="L584" s="3275"/>
      <c r="M584" s="3275"/>
      <c r="N584" s="3275"/>
      <c r="O584" s="3275"/>
      <c r="P584" s="3275"/>
      <c r="Q584" s="3275"/>
      <c r="R584" s="3275"/>
      <c r="S584" s="3275"/>
      <c r="T584" s="3275"/>
      <c r="U584" s="3275"/>
      <c r="V584" s="3275"/>
      <c r="W584" s="3275"/>
      <c r="X584" s="3275"/>
      <c r="Y584" s="3275"/>
      <c r="Z584" s="3275"/>
      <c r="AA584" s="3275"/>
      <c r="AB584" s="3275"/>
      <c r="AC584" s="3264">
        <f t="shared" si="329"/>
        <v>0</v>
      </c>
      <c r="AD584" s="3285"/>
      <c r="AE584" s="3285"/>
      <c r="AF584" s="3285"/>
      <c r="AG584" s="3285"/>
      <c r="AH584" s="3285"/>
      <c r="AI584" s="3285"/>
      <c r="AJ584" s="3285"/>
      <c r="AK584" s="3285"/>
      <c r="AL584" s="3285"/>
      <c r="AM584" s="3285"/>
      <c r="AN584" s="3285"/>
      <c r="AO584" s="3285"/>
      <c r="AP584" s="3285"/>
      <c r="AQ584" s="3285"/>
      <c r="AR584" s="3285"/>
      <c r="AS584" s="3285"/>
      <c r="AT584" s="3295"/>
      <c r="AU584" s="3296"/>
      <c r="AV584" s="830">
        <f t="shared" si="330"/>
        <v>0</v>
      </c>
      <c r="AW584" s="830">
        <f t="shared" si="331"/>
        <v>0</v>
      </c>
      <c r="AX584" s="830">
        <f t="shared" si="332"/>
        <v>0</v>
      </c>
      <c r="AY584" s="3310">
        <f t="shared" si="333"/>
        <v>0</v>
      </c>
      <c r="AZ584" s="3264">
        <f t="shared" si="334"/>
        <v>0</v>
      </c>
      <c r="BA584" s="3264">
        <f t="shared" si="335"/>
        <v>0</v>
      </c>
      <c r="BB584" s="3264">
        <f t="shared" si="336"/>
        <v>0</v>
      </c>
      <c r="BC584" s="3264">
        <f t="shared" si="337"/>
        <v>0</v>
      </c>
      <c r="BD584" s="3264">
        <f t="shared" si="338"/>
        <v>0</v>
      </c>
      <c r="BE584" s="3264">
        <f t="shared" si="339"/>
        <v>0</v>
      </c>
      <c r="BF584" s="3264">
        <f t="shared" si="340"/>
        <v>0</v>
      </c>
      <c r="BG584" s="3264">
        <f t="shared" si="341"/>
        <v>0</v>
      </c>
      <c r="BH584" s="3264">
        <f t="shared" si="342"/>
        <v>0</v>
      </c>
      <c r="BI584" s="3264">
        <f t="shared" si="343"/>
        <v>0</v>
      </c>
      <c r="BJ584" s="3264">
        <f t="shared" si="344"/>
        <v>0</v>
      </c>
      <c r="BK584" s="3264">
        <f t="shared" si="345"/>
        <v>0</v>
      </c>
      <c r="BL584" s="3264">
        <f t="shared" si="346"/>
        <v>0</v>
      </c>
      <c r="BM584" s="3264">
        <f t="shared" si="347"/>
        <v>0</v>
      </c>
      <c r="BN584" s="3264">
        <f t="shared" si="348"/>
        <v>0</v>
      </c>
      <c r="BO584" s="3264">
        <f t="shared" si="349"/>
        <v>0</v>
      </c>
      <c r="BP584" s="3264">
        <f t="shared" si="350"/>
        <v>0</v>
      </c>
      <c r="BQ584" s="3264">
        <f t="shared" si="351"/>
        <v>0</v>
      </c>
      <c r="BR584" s="3264">
        <f t="shared" si="352"/>
        <v>0</v>
      </c>
      <c r="BS584" s="3264">
        <f t="shared" si="353"/>
        <v>0</v>
      </c>
      <c r="BT584" s="3317">
        <f t="shared" si="354"/>
        <v>0</v>
      </c>
    </row>
    <row r="585" spans="1:72">
      <c r="A585" s="3262"/>
      <c r="B585" s="3262"/>
      <c r="C585" s="3262"/>
      <c r="D585" s="3268"/>
      <c r="E585" s="3264">
        <f t="shared" si="326"/>
        <v>0</v>
      </c>
      <c r="F585" s="3318"/>
      <c r="G585" s="3266">
        <f t="shared" si="327"/>
        <v>0</v>
      </c>
      <c r="H585" s="3267">
        <f t="shared" si="328"/>
        <v>0</v>
      </c>
      <c r="I585" s="3319"/>
      <c r="J585" s="3319"/>
      <c r="K585" s="3275"/>
      <c r="L585" s="3275"/>
      <c r="M585" s="3275"/>
      <c r="N585" s="3275"/>
      <c r="O585" s="3275"/>
      <c r="P585" s="3275"/>
      <c r="Q585" s="3275"/>
      <c r="R585" s="3275"/>
      <c r="S585" s="3275"/>
      <c r="T585" s="3275"/>
      <c r="U585" s="3275"/>
      <c r="V585" s="3275"/>
      <c r="W585" s="3275"/>
      <c r="X585" s="3275"/>
      <c r="Y585" s="3275"/>
      <c r="Z585" s="3275"/>
      <c r="AA585" s="3275"/>
      <c r="AB585" s="3275"/>
      <c r="AC585" s="3264">
        <f t="shared" si="329"/>
        <v>0</v>
      </c>
      <c r="AD585" s="3285"/>
      <c r="AE585" s="3285"/>
      <c r="AF585" s="3285"/>
      <c r="AG585" s="3285"/>
      <c r="AH585" s="3285"/>
      <c r="AI585" s="3285"/>
      <c r="AJ585" s="3285"/>
      <c r="AK585" s="3285"/>
      <c r="AL585" s="3285"/>
      <c r="AM585" s="3285"/>
      <c r="AN585" s="3285"/>
      <c r="AO585" s="3285"/>
      <c r="AP585" s="3285"/>
      <c r="AQ585" s="3285"/>
      <c r="AR585" s="3285"/>
      <c r="AS585" s="3285"/>
      <c r="AT585" s="3285"/>
      <c r="AU585" s="3320"/>
      <c r="AV585" s="830">
        <f t="shared" si="330"/>
        <v>0</v>
      </c>
      <c r="AW585" s="830">
        <f t="shared" si="331"/>
        <v>0</v>
      </c>
      <c r="AX585" s="830">
        <f t="shared" si="332"/>
        <v>0</v>
      </c>
      <c r="AY585" s="3310">
        <f t="shared" si="333"/>
        <v>0</v>
      </c>
      <c r="AZ585" s="3264">
        <f t="shared" si="334"/>
        <v>0</v>
      </c>
      <c r="BA585" s="3264">
        <f t="shared" si="335"/>
        <v>0</v>
      </c>
      <c r="BB585" s="3264">
        <f t="shared" si="336"/>
        <v>0</v>
      </c>
      <c r="BC585" s="3264">
        <f t="shared" si="337"/>
        <v>0</v>
      </c>
      <c r="BD585" s="3264">
        <f t="shared" si="338"/>
        <v>0</v>
      </c>
      <c r="BE585" s="3264">
        <f t="shared" si="339"/>
        <v>0</v>
      </c>
      <c r="BF585" s="3264">
        <f t="shared" si="340"/>
        <v>0</v>
      </c>
      <c r="BG585" s="3264">
        <f t="shared" si="341"/>
        <v>0</v>
      </c>
      <c r="BH585" s="3264">
        <f t="shared" si="342"/>
        <v>0</v>
      </c>
      <c r="BI585" s="3264">
        <f t="shared" si="343"/>
        <v>0</v>
      </c>
      <c r="BJ585" s="3264">
        <f t="shared" si="344"/>
        <v>0</v>
      </c>
      <c r="BK585" s="3264">
        <f t="shared" si="345"/>
        <v>0</v>
      </c>
      <c r="BL585" s="3264">
        <f t="shared" si="346"/>
        <v>0</v>
      </c>
      <c r="BM585" s="3264">
        <f t="shared" si="347"/>
        <v>0</v>
      </c>
      <c r="BN585" s="3264">
        <f t="shared" si="348"/>
        <v>0</v>
      </c>
      <c r="BO585" s="3264">
        <f t="shared" si="349"/>
        <v>0</v>
      </c>
      <c r="BP585" s="3264">
        <f t="shared" si="350"/>
        <v>0</v>
      </c>
      <c r="BQ585" s="3264">
        <f t="shared" si="351"/>
        <v>0</v>
      </c>
      <c r="BR585" s="3264">
        <f t="shared" si="352"/>
        <v>0</v>
      </c>
      <c r="BS585" s="3264">
        <f t="shared" si="353"/>
        <v>0</v>
      </c>
      <c r="BT585" s="3317">
        <f t="shared" si="354"/>
        <v>0</v>
      </c>
    </row>
    <row r="586" spans="1:72">
      <c r="A586" s="3262"/>
      <c r="B586" s="3262"/>
      <c r="C586" s="3262"/>
      <c r="D586" s="3268"/>
      <c r="E586" s="3264">
        <f t="shared" si="326"/>
        <v>0</v>
      </c>
      <c r="F586" s="3318"/>
      <c r="G586" s="3266">
        <f t="shared" si="327"/>
        <v>0</v>
      </c>
      <c r="H586" s="3267">
        <f t="shared" si="328"/>
        <v>0</v>
      </c>
      <c r="I586" s="3275"/>
      <c r="J586" s="3275"/>
      <c r="K586" s="3275"/>
      <c r="L586" s="3275"/>
      <c r="M586" s="3275"/>
      <c r="N586" s="3275"/>
      <c r="O586" s="3275"/>
      <c r="P586" s="3275"/>
      <c r="Q586" s="3275"/>
      <c r="R586" s="3275"/>
      <c r="S586" s="3275"/>
      <c r="T586" s="3275"/>
      <c r="U586" s="3275"/>
      <c r="V586" s="3275"/>
      <c r="W586" s="3275"/>
      <c r="X586" s="3275"/>
      <c r="Y586" s="3275"/>
      <c r="Z586" s="3275"/>
      <c r="AA586" s="3275"/>
      <c r="AB586" s="3275"/>
      <c r="AC586" s="3264">
        <f t="shared" si="329"/>
        <v>0</v>
      </c>
      <c r="AD586" s="3285"/>
      <c r="AE586" s="3285"/>
      <c r="AF586" s="3285"/>
      <c r="AG586" s="3285"/>
      <c r="AH586" s="3285"/>
      <c r="AI586" s="3285"/>
      <c r="AJ586" s="3285"/>
      <c r="AK586" s="3285"/>
      <c r="AL586" s="3285"/>
      <c r="AM586" s="3285"/>
      <c r="AN586" s="3285"/>
      <c r="AO586" s="3285"/>
      <c r="AP586" s="3285"/>
      <c r="AQ586" s="3285"/>
      <c r="AR586" s="3285"/>
      <c r="AS586" s="3285"/>
      <c r="AT586" s="3285"/>
      <c r="AU586" s="3320"/>
      <c r="AV586" s="830">
        <f t="shared" si="330"/>
        <v>0</v>
      </c>
      <c r="AW586" s="830">
        <f t="shared" si="331"/>
        <v>0</v>
      </c>
      <c r="AX586" s="830">
        <f t="shared" si="332"/>
        <v>0</v>
      </c>
      <c r="AY586" s="3310">
        <f t="shared" si="333"/>
        <v>0</v>
      </c>
      <c r="AZ586" s="3264">
        <f t="shared" si="334"/>
        <v>0</v>
      </c>
      <c r="BA586" s="3264">
        <f t="shared" si="335"/>
        <v>0</v>
      </c>
      <c r="BB586" s="3264">
        <f t="shared" si="336"/>
        <v>0</v>
      </c>
      <c r="BC586" s="3264">
        <f t="shared" si="337"/>
        <v>0</v>
      </c>
      <c r="BD586" s="3264">
        <f t="shared" si="338"/>
        <v>0</v>
      </c>
      <c r="BE586" s="3264">
        <f t="shared" si="339"/>
        <v>0</v>
      </c>
      <c r="BF586" s="3264">
        <f t="shared" si="340"/>
        <v>0</v>
      </c>
      <c r="BG586" s="3264">
        <f t="shared" si="341"/>
        <v>0</v>
      </c>
      <c r="BH586" s="3264">
        <f t="shared" si="342"/>
        <v>0</v>
      </c>
      <c r="BI586" s="3264">
        <f t="shared" si="343"/>
        <v>0</v>
      </c>
      <c r="BJ586" s="3264">
        <f t="shared" si="344"/>
        <v>0</v>
      </c>
      <c r="BK586" s="3264">
        <f t="shared" si="345"/>
        <v>0</v>
      </c>
      <c r="BL586" s="3264">
        <f t="shared" si="346"/>
        <v>0</v>
      </c>
      <c r="BM586" s="3264">
        <f t="shared" si="347"/>
        <v>0</v>
      </c>
      <c r="BN586" s="3264">
        <f t="shared" si="348"/>
        <v>0</v>
      </c>
      <c r="BO586" s="3264">
        <f t="shared" si="349"/>
        <v>0</v>
      </c>
      <c r="BP586" s="3264">
        <f t="shared" si="350"/>
        <v>0</v>
      </c>
      <c r="BQ586" s="3264">
        <f t="shared" si="351"/>
        <v>0</v>
      </c>
      <c r="BR586" s="3264">
        <f t="shared" si="352"/>
        <v>0</v>
      </c>
      <c r="BS586" s="3264">
        <f t="shared" si="353"/>
        <v>0</v>
      </c>
      <c r="BT586" s="3317">
        <f t="shared" si="354"/>
        <v>0</v>
      </c>
    </row>
    <row r="587" spans="1:72">
      <c r="A587" s="3262"/>
      <c r="B587" s="3262"/>
      <c r="C587" s="3262"/>
      <c r="D587" s="3268"/>
      <c r="E587" s="3264">
        <f t="shared" si="326"/>
        <v>0</v>
      </c>
      <c r="F587" s="3318"/>
      <c r="G587" s="3266">
        <f t="shared" si="327"/>
        <v>0</v>
      </c>
      <c r="H587" s="3267">
        <f t="shared" si="328"/>
        <v>0</v>
      </c>
      <c r="I587" s="3275"/>
      <c r="J587" s="3275"/>
      <c r="K587" s="3275"/>
      <c r="L587" s="3275"/>
      <c r="M587" s="3275"/>
      <c r="N587" s="3275"/>
      <c r="O587" s="3275"/>
      <c r="P587" s="3275"/>
      <c r="Q587" s="3275"/>
      <c r="R587" s="3275"/>
      <c r="S587" s="3275"/>
      <c r="T587" s="3275"/>
      <c r="U587" s="3275"/>
      <c r="V587" s="3275"/>
      <c r="W587" s="3275"/>
      <c r="X587" s="3275"/>
      <c r="Y587" s="3275"/>
      <c r="Z587" s="3275"/>
      <c r="AA587" s="3275"/>
      <c r="AB587" s="3275"/>
      <c r="AC587" s="3264">
        <f t="shared" si="329"/>
        <v>0</v>
      </c>
      <c r="AD587" s="3285"/>
      <c r="AE587" s="3285"/>
      <c r="AF587" s="3285"/>
      <c r="AG587" s="3285"/>
      <c r="AH587" s="3285"/>
      <c r="AI587" s="3285"/>
      <c r="AJ587" s="3285"/>
      <c r="AK587" s="3285"/>
      <c r="AL587" s="3285"/>
      <c r="AM587" s="3285"/>
      <c r="AN587" s="3285"/>
      <c r="AO587" s="3285"/>
      <c r="AP587" s="3285"/>
      <c r="AQ587" s="3285"/>
      <c r="AR587" s="3285"/>
      <c r="AS587" s="3285"/>
      <c r="AT587" s="3285"/>
      <c r="AU587" s="3320"/>
      <c r="AV587" s="830">
        <f t="shared" si="330"/>
        <v>0</v>
      </c>
      <c r="AW587" s="830">
        <f t="shared" si="331"/>
        <v>0</v>
      </c>
      <c r="AX587" s="830">
        <f t="shared" si="332"/>
        <v>0</v>
      </c>
      <c r="AY587" s="3310">
        <f t="shared" si="333"/>
        <v>0</v>
      </c>
      <c r="AZ587" s="3264">
        <f t="shared" si="334"/>
        <v>0</v>
      </c>
      <c r="BA587" s="3264">
        <f t="shared" si="335"/>
        <v>0</v>
      </c>
      <c r="BB587" s="3264">
        <f t="shared" si="336"/>
        <v>0</v>
      </c>
      <c r="BC587" s="3264">
        <f t="shared" si="337"/>
        <v>0</v>
      </c>
      <c r="BD587" s="3264">
        <f t="shared" si="338"/>
        <v>0</v>
      </c>
      <c r="BE587" s="3264">
        <f t="shared" si="339"/>
        <v>0</v>
      </c>
      <c r="BF587" s="3264">
        <f t="shared" si="340"/>
        <v>0</v>
      </c>
      <c r="BG587" s="3264">
        <f t="shared" si="341"/>
        <v>0</v>
      </c>
      <c r="BH587" s="3264">
        <f t="shared" si="342"/>
        <v>0</v>
      </c>
      <c r="BI587" s="3264">
        <f t="shared" si="343"/>
        <v>0</v>
      </c>
      <c r="BJ587" s="3264">
        <f t="shared" si="344"/>
        <v>0</v>
      </c>
      <c r="BK587" s="3264">
        <f t="shared" si="345"/>
        <v>0</v>
      </c>
      <c r="BL587" s="3264">
        <f t="shared" si="346"/>
        <v>0</v>
      </c>
      <c r="BM587" s="3264">
        <f t="shared" si="347"/>
        <v>0</v>
      </c>
      <c r="BN587" s="3264">
        <f t="shared" si="348"/>
        <v>0</v>
      </c>
      <c r="BO587" s="3264">
        <f t="shared" si="349"/>
        <v>0</v>
      </c>
      <c r="BP587" s="3264">
        <f t="shared" si="350"/>
        <v>0</v>
      </c>
      <c r="BQ587" s="3264">
        <f t="shared" si="351"/>
        <v>0</v>
      </c>
      <c r="BR587" s="3264">
        <f t="shared" si="352"/>
        <v>0</v>
      </c>
      <c r="BS587" s="3264">
        <f t="shared" si="353"/>
        <v>0</v>
      </c>
      <c r="BT587" s="3317">
        <f t="shared" si="354"/>
        <v>0</v>
      </c>
    </row>
    <row r="588" s="3232" customFormat="1" spans="1:50">
      <c r="A588" s="3321"/>
      <c r="B588" s="3321"/>
      <c r="C588" s="3321"/>
      <c r="D588" s="3321"/>
      <c r="E588" s="3322"/>
      <c r="F588" s="3322"/>
      <c r="G588" s="3321"/>
      <c r="H588" s="3322"/>
      <c r="I588" s="3322"/>
      <c r="J588" s="3322"/>
      <c r="K588" s="3322"/>
      <c r="L588" s="3322"/>
      <c r="M588" s="3322"/>
      <c r="N588" s="3322"/>
      <c r="O588" s="3322"/>
      <c r="P588" s="3322"/>
      <c r="Q588" s="3322"/>
      <c r="R588" s="3322"/>
      <c r="S588" s="3322"/>
      <c r="T588" s="3322"/>
      <c r="U588" s="3322"/>
      <c r="V588" s="3322"/>
      <c r="W588" s="3322"/>
      <c r="X588" s="3322"/>
      <c r="Y588" s="3322"/>
      <c r="Z588" s="3322"/>
      <c r="AA588" s="3322"/>
      <c r="AB588" s="3322"/>
      <c r="AC588" s="3322"/>
      <c r="AD588" s="3322"/>
      <c r="AE588" s="3322"/>
      <c r="AF588" s="3322"/>
      <c r="AG588" s="3322"/>
      <c r="AH588" s="3322"/>
      <c r="AI588" s="3322"/>
      <c r="AJ588" s="3322"/>
      <c r="AK588" s="3322"/>
      <c r="AL588" s="3322"/>
      <c r="AM588" s="3322"/>
      <c r="AN588" s="3322"/>
      <c r="AO588" s="3322"/>
      <c r="AP588" s="3322"/>
      <c r="AQ588" s="3322"/>
      <c r="AR588" s="3322"/>
      <c r="AS588" s="3322"/>
      <c r="AT588" s="3322"/>
      <c r="AU588" s="3321"/>
      <c r="AV588" s="3321"/>
      <c r="AW588" s="3321"/>
      <c r="AX588" s="3321"/>
    </row>
    <row r="589" s="3233" customFormat="1" spans="3:4">
      <c r="C589" s="3323"/>
      <c r="D589" s="3323"/>
    </row>
    <row r="590" s="3233" customFormat="1" spans="3:4">
      <c r="C590" s="3323"/>
      <c r="D590" s="3323"/>
    </row>
    <row r="593" spans="2:2">
      <c r="B593" s="3323"/>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P39" sqref="P39"/>
    </sheetView>
  </sheetViews>
  <sheetFormatPr defaultColWidth="9.25454545454545" defaultRowHeight="14"/>
  <cols>
    <col min="1" max="1" width="12.1272727272727" style="3134" customWidth="1"/>
    <col min="2" max="2" width="10.2545454545455" style="3134" customWidth="1"/>
    <col min="3" max="3" width="18.5" style="3134" customWidth="1"/>
    <col min="4" max="4" width="11.6272727272727" style="3134" customWidth="1"/>
    <col min="5" max="5" width="13.3727272727273" style="3134" customWidth="1"/>
    <col min="6" max="8" width="11.5" style="3134" customWidth="1"/>
    <col min="9" max="9" width="11.1272727272727" style="3134" customWidth="1"/>
    <col min="10" max="10" width="3.12727272727273" style="3135" customWidth="1"/>
    <col min="11" max="16" width="10" style="3134" customWidth="1"/>
    <col min="17" max="17" width="2.62727272727273" style="3134" customWidth="1"/>
    <col min="18" max="18" width="9.37272727272727" style="3134" customWidth="1"/>
    <col min="19" max="19" width="10.5" style="3134" customWidth="1"/>
    <col min="20" max="16384" width="9.25454545454545" style="3134"/>
  </cols>
  <sheetData>
    <row r="1" ht="18.25" spans="1:16">
      <c r="A1" s="2496" t="s">
        <v>559</v>
      </c>
      <c r="B1" s="2582"/>
      <c r="C1" s="2582"/>
      <c r="D1" s="2582"/>
      <c r="E1" s="2582"/>
      <c r="F1" s="2582"/>
      <c r="G1" s="2582"/>
      <c r="H1" s="2582"/>
      <c r="I1" s="2582"/>
      <c r="J1" s="2582"/>
      <c r="K1" s="2582"/>
      <c r="L1" s="2582"/>
      <c r="M1" s="2582"/>
      <c r="N1" s="2582"/>
      <c r="O1" s="2582"/>
      <c r="P1" s="2582"/>
    </row>
    <row r="2" spans="1:16">
      <c r="A2" s="2412" t="s">
        <v>560</v>
      </c>
      <c r="B2" s="2412"/>
      <c r="C2" s="2412"/>
      <c r="D2" s="2412" t="s">
        <v>561</v>
      </c>
      <c r="E2" s="3136" t="s">
        <v>562</v>
      </c>
      <c r="F2" s="3137"/>
      <c r="G2" s="3138"/>
      <c r="H2" s="3139"/>
      <c r="I2" s="2760" t="s">
        <v>563</v>
      </c>
      <c r="J2" s="3137"/>
      <c r="K2" s="3137"/>
      <c r="L2" s="3137"/>
      <c r="M2" s="3137"/>
      <c r="N2" s="845"/>
      <c r="O2" s="3137"/>
      <c r="P2" s="3137"/>
    </row>
    <row r="3" ht="14.75" spans="1:16">
      <c r="A3" s="3140" t="s">
        <v>564</v>
      </c>
      <c r="B3" s="3140"/>
      <c r="C3" s="3140"/>
      <c r="D3" s="3141">
        <f>'数据-基础表'!AY6</f>
        <v>0</v>
      </c>
      <c r="E3" s="3141">
        <f>'数据-基础表'!AZ5</f>
        <v>3013</v>
      </c>
      <c r="F3" s="3137"/>
      <c r="G3" s="3142"/>
      <c r="H3" s="2530" t="s">
        <v>565</v>
      </c>
      <c r="I3" s="3205" t="e">
        <f>ROUND('数据-基础表'!B3/'数据-基础表'!A3,2)</f>
        <v>#DIV/0!</v>
      </c>
      <c r="J3" s="3137"/>
      <c r="K3" s="3137"/>
      <c r="L3" s="3137"/>
      <c r="M3" s="3137"/>
      <c r="N3" s="845"/>
      <c r="O3" s="3137"/>
      <c r="P3" s="3137"/>
    </row>
    <row r="4" spans="1:16">
      <c r="A4" s="2758"/>
      <c r="B4" s="2759"/>
      <c r="C4" s="3143"/>
      <c r="D4" s="3144" t="s">
        <v>561</v>
      </c>
      <c r="E4" s="3145" t="s">
        <v>562</v>
      </c>
      <c r="F4" s="3137"/>
      <c r="G4" s="3146" t="s">
        <v>566</v>
      </c>
      <c r="H4" s="2530" t="s">
        <v>567</v>
      </c>
      <c r="I4" s="3205" t="e">
        <f>ROUND(SUMIF('数据-基础表'!I9:AS9,"地上",'数据-基础表'!I5:AS5)/'数据-基础表'!A3,2)</f>
        <v>#DIV/0!</v>
      </c>
      <c r="J4" s="3137"/>
      <c r="K4" s="3137"/>
      <c r="L4" s="3137"/>
      <c r="M4" s="3137"/>
      <c r="N4" s="845"/>
      <c r="O4" s="3137"/>
      <c r="P4" s="3137"/>
    </row>
    <row r="5" spans="1:16">
      <c r="A5" s="3147" t="s">
        <v>568</v>
      </c>
      <c r="B5" s="855" t="s">
        <v>569</v>
      </c>
      <c r="C5" s="855"/>
      <c r="D5" s="3148">
        <f>ROUND($D$3*E5/$E$3,2)</f>
        <v>0</v>
      </c>
      <c r="E5" s="3149">
        <f>SUMIF('数据-基础表'!$11:$11,"住宅",'数据-基础表'!$5:$5)</f>
        <v>0</v>
      </c>
      <c r="F5" s="3137"/>
      <c r="G5" s="3142"/>
      <c r="H5" s="2530" t="s">
        <v>565</v>
      </c>
      <c r="I5" s="3205" t="e">
        <f>ROUND(E31/D31,2)</f>
        <v>#DIV/0!</v>
      </c>
      <c r="J5" s="3137"/>
      <c r="K5" s="3137"/>
      <c r="L5" s="3137"/>
      <c r="M5" s="3137"/>
      <c r="N5" s="3137"/>
      <c r="O5" s="3137"/>
      <c r="P5" s="3137"/>
    </row>
    <row r="6" ht="14.75" spans="1:16">
      <c r="A6" s="3150"/>
      <c r="B6" s="855" t="s">
        <v>570</v>
      </c>
      <c r="C6" s="855"/>
      <c r="D6" s="3148">
        <f>ROUND($D$3*E6/$E$3,2)</f>
        <v>0</v>
      </c>
      <c r="E6" s="3149">
        <f>E3-E5</f>
        <v>3013</v>
      </c>
      <c r="F6" s="3137"/>
      <c r="G6" s="3151" t="s">
        <v>571</v>
      </c>
      <c r="H6" s="3152" t="s">
        <v>567</v>
      </c>
      <c r="I6" s="3206" t="e">
        <f>ROUND(F31/D31,2)</f>
        <v>#DIV/0!</v>
      </c>
      <c r="J6" s="3137"/>
      <c r="K6" s="3137"/>
      <c r="L6" s="3137"/>
      <c r="M6" s="3137"/>
      <c r="N6" s="3137"/>
      <c r="O6" s="3137"/>
      <c r="P6" s="3137"/>
    </row>
    <row r="7" ht="14.75" spans="1:16">
      <c r="A7" s="3153"/>
      <c r="B7" s="3154"/>
      <c r="C7" s="3155"/>
      <c r="D7" s="3144" t="s">
        <v>561</v>
      </c>
      <c r="E7" s="3156" t="s">
        <v>572</v>
      </c>
      <c r="F7" s="3137"/>
      <c r="G7" s="3157" t="s">
        <v>573</v>
      </c>
      <c r="H7" s="3158"/>
      <c r="I7" s="3207">
        <v>2.5</v>
      </c>
      <c r="J7" s="3137"/>
      <c r="K7" s="3137"/>
      <c r="L7" s="3137"/>
      <c r="M7" s="3137"/>
      <c r="N7" s="3137"/>
      <c r="O7" s="3137"/>
      <c r="P7" s="3137"/>
    </row>
    <row r="8" spans="1:16">
      <c r="A8" s="3147" t="s">
        <v>574</v>
      </c>
      <c r="B8" s="3159" t="s">
        <v>575</v>
      </c>
      <c r="C8" s="3148" t="s">
        <v>576</v>
      </c>
      <c r="D8" s="3148">
        <f t="shared" ref="D8:D15" si="0">ROUND($D$3*E8/$E$3,2)</f>
        <v>0</v>
      </c>
      <c r="E8" s="3160">
        <f>SUMIF('数据-基础表'!BB10:BK10,"地上",'数据-基础表'!BB5:BK5)</f>
        <v>3013</v>
      </c>
      <c r="F8" s="3137"/>
      <c r="G8" s="3161"/>
      <c r="H8" s="3161"/>
      <c r="I8" s="3137"/>
      <c r="J8" s="3137"/>
      <c r="K8" s="3137"/>
      <c r="L8" s="3137"/>
      <c r="M8" s="3137"/>
      <c r="N8" s="3137"/>
      <c r="O8" s="3137"/>
      <c r="P8" s="3137"/>
    </row>
    <row r="9" spans="1:16">
      <c r="A9" s="3162"/>
      <c r="B9" s="3163"/>
      <c r="C9" s="3148" t="s">
        <v>577</v>
      </c>
      <c r="D9" s="3148">
        <f t="shared" si="0"/>
        <v>0</v>
      </c>
      <c r="E9" s="3164">
        <v>0</v>
      </c>
      <c r="F9" s="3137"/>
      <c r="G9" s="3161"/>
      <c r="H9" s="3161"/>
      <c r="I9" s="3137"/>
      <c r="J9" s="3137"/>
      <c r="K9" s="3137"/>
      <c r="L9" s="3137"/>
      <c r="M9" s="3137"/>
      <c r="N9" s="3137"/>
      <c r="O9" s="3137"/>
      <c r="P9" s="3137"/>
    </row>
    <row r="10" spans="1:16">
      <c r="A10" s="3162"/>
      <c r="B10" s="3163"/>
      <c r="C10" s="3148" t="s">
        <v>578</v>
      </c>
      <c r="D10" s="3148">
        <f t="shared" si="0"/>
        <v>0</v>
      </c>
      <c r="E10" s="3160">
        <f>SUMPRODUCT(('数据-基础表'!BB10:BK10="地下")*('数据-基础表'!BB11:BK11="商业")*('数据-基础表'!BB5:BK5))</f>
        <v>0</v>
      </c>
      <c r="F10" s="3137"/>
      <c r="G10" s="3161"/>
      <c r="H10" s="3161"/>
      <c r="I10" s="3137"/>
      <c r="J10" s="3137"/>
      <c r="K10" s="3137"/>
      <c r="L10" s="3137"/>
      <c r="M10" s="3137"/>
      <c r="N10" s="3137"/>
      <c r="O10" s="3137"/>
      <c r="P10" s="3137"/>
    </row>
    <row r="11" spans="1:16">
      <c r="A11" s="3162"/>
      <c r="B11" s="3163"/>
      <c r="C11" s="3148" t="s">
        <v>579</v>
      </c>
      <c r="D11" s="3148">
        <f t="shared" si="0"/>
        <v>0</v>
      </c>
      <c r="E11" s="3160">
        <f>SUMPRODUCT(('数据-基础表'!BB10:BK10="地下")*('数据-基础表'!BB11:BK11="办公")*('数据-基础表'!BB5:BK5))+'数据-基础表'!BP5</f>
        <v>0</v>
      </c>
      <c r="F11" s="3137"/>
      <c r="G11" s="3161"/>
      <c r="H11" s="3161"/>
      <c r="I11" s="3137"/>
      <c r="J11" s="3137"/>
      <c r="K11" s="3137"/>
      <c r="L11" s="3137"/>
      <c r="M11" s="3137"/>
      <c r="N11" s="3137"/>
      <c r="O11" s="3137"/>
      <c r="P11" s="3137"/>
    </row>
    <row r="12" spans="1:16">
      <c r="A12" s="3162"/>
      <c r="B12" s="3163"/>
      <c r="C12" s="3148" t="s">
        <v>580</v>
      </c>
      <c r="D12" s="3148">
        <f t="shared" si="0"/>
        <v>0</v>
      </c>
      <c r="E12" s="3160">
        <f>SUMPRODUCT(('数据-基础表'!BB10:BK10="地下")*('数据-基础表'!BB11:BK11="仓储")*('数据-基础表'!BB5:BK5))</f>
        <v>0</v>
      </c>
      <c r="F12" s="3137"/>
      <c r="G12" s="3161"/>
      <c r="H12" s="3161"/>
      <c r="I12" s="3137"/>
      <c r="J12" s="3137"/>
      <c r="K12" s="3137"/>
      <c r="L12" s="3137"/>
      <c r="M12" s="3137"/>
      <c r="N12" s="3137"/>
      <c r="O12" s="3137"/>
      <c r="P12" s="3137"/>
    </row>
    <row r="13" spans="1:16">
      <c r="A13" s="3162"/>
      <c r="B13" s="3163"/>
      <c r="C13" s="3148" t="s">
        <v>581</v>
      </c>
      <c r="D13" s="3148">
        <f t="shared" si="0"/>
        <v>0</v>
      </c>
      <c r="E13" s="3160">
        <f>SUMPRODUCT(('数据-基础表'!BB10:BK10="地下")*('数据-基础表'!BB11:BK11="车库")*('数据-基础表'!BB5:BK5))</f>
        <v>0</v>
      </c>
      <c r="F13" s="3137"/>
      <c r="G13" s="3161"/>
      <c r="H13" s="3161"/>
      <c r="I13" s="3137"/>
      <c r="J13" s="3137"/>
      <c r="K13" s="3137"/>
      <c r="L13" s="3137"/>
      <c r="M13" s="3137"/>
      <c r="N13" s="3137"/>
      <c r="O13" s="3137"/>
      <c r="P13" s="3137"/>
    </row>
    <row r="14" spans="1:16">
      <c r="A14" s="3162"/>
      <c r="B14" s="3163"/>
      <c r="C14" s="3148" t="s">
        <v>582</v>
      </c>
      <c r="D14" s="3148">
        <f t="shared" si="0"/>
        <v>0</v>
      </c>
      <c r="E14" s="3160">
        <f>SUMPRODUCT(('数据-基础表'!BB10:BK10="地下")*('数据-基础表'!BB11:BK11="车库—商业")*('数据-基础表'!BB5:BK5))</f>
        <v>0</v>
      </c>
      <c r="F14" s="3137"/>
      <c r="G14" s="3161"/>
      <c r="H14" s="3161"/>
      <c r="I14" s="3137"/>
      <c r="J14" s="3137"/>
      <c r="K14" s="3137"/>
      <c r="L14" s="3137"/>
      <c r="M14" s="3137"/>
      <c r="N14" s="3137"/>
      <c r="O14" s="3137"/>
      <c r="P14" s="3137"/>
    </row>
    <row r="15" ht="14.75" spans="1:16">
      <c r="A15" s="3162"/>
      <c r="B15" s="3163"/>
      <c r="C15" s="3148" t="s">
        <v>583</v>
      </c>
      <c r="D15" s="3148">
        <f t="shared" si="0"/>
        <v>0</v>
      </c>
      <c r="E15" s="3160">
        <f>SUMPRODUCT(('数据-基础表'!BB10:BK10="地下")*('数据-基础表'!BB11:BK11="车库—办公")*('数据-基础表'!BB5:BK5))</f>
        <v>0</v>
      </c>
      <c r="F15" s="3137"/>
      <c r="G15" s="3161"/>
      <c r="H15" s="3161"/>
      <c r="I15" s="3137"/>
      <c r="J15" s="3137"/>
      <c r="K15" s="3137"/>
      <c r="L15" s="3137"/>
      <c r="M15" s="3137"/>
      <c r="N15" s="3137"/>
      <c r="O15" s="3137"/>
      <c r="P15" s="3137"/>
    </row>
    <row r="16" ht="14.75" spans="1:16">
      <c r="A16" s="3150"/>
      <c r="B16" s="3163"/>
      <c r="C16" s="3159" t="s">
        <v>584</v>
      </c>
      <c r="D16" s="3159">
        <f>SUM(D8:D15)</f>
        <v>0</v>
      </c>
      <c r="E16" s="3165">
        <f>SUM(E8:E15)</f>
        <v>3013</v>
      </c>
      <c r="F16" s="3137"/>
      <c r="G16" s="3161"/>
      <c r="H16" s="3166" t="s">
        <v>585</v>
      </c>
      <c r="I16" s="3208"/>
      <c r="J16" s="2582"/>
      <c r="K16" s="3209" t="s">
        <v>585</v>
      </c>
      <c r="L16" s="3168"/>
      <c r="M16" s="3168"/>
      <c r="N16" s="3168"/>
      <c r="O16" s="3168"/>
      <c r="P16" s="3210"/>
    </row>
    <row r="17" spans="1:19">
      <c r="A17" s="3096" t="s">
        <v>586</v>
      </c>
      <c r="B17" s="3167" t="s">
        <v>587</v>
      </c>
      <c r="C17" s="3095" t="s">
        <v>588</v>
      </c>
      <c r="D17" s="3168" t="s">
        <v>561</v>
      </c>
      <c r="E17" s="3169" t="s">
        <v>562</v>
      </c>
      <c r="F17" s="3170"/>
      <c r="G17" s="3171"/>
      <c r="H17" s="3172" t="s">
        <v>589</v>
      </c>
      <c r="I17" s="3211" t="s">
        <v>590</v>
      </c>
      <c r="J17" s="2582"/>
      <c r="K17" s="3212" t="s">
        <v>591</v>
      </c>
      <c r="L17" s="3213"/>
      <c r="M17" s="3214"/>
      <c r="N17" s="3212" t="s">
        <v>592</v>
      </c>
      <c r="O17" s="3213"/>
      <c r="P17" s="3214"/>
      <c r="R17" s="3227" t="s">
        <v>593</v>
      </c>
      <c r="S17" s="2517"/>
    </row>
    <row r="18" spans="1:19">
      <c r="A18" s="3162"/>
      <c r="B18" s="3173"/>
      <c r="C18" s="3174"/>
      <c r="D18" s="3175"/>
      <c r="E18" s="3176" t="s">
        <v>594</v>
      </c>
      <c r="F18" s="3177" t="s">
        <v>567</v>
      </c>
      <c r="G18" s="3178" t="s">
        <v>595</v>
      </c>
      <c r="H18" s="3101" t="s">
        <v>596</v>
      </c>
      <c r="I18" s="3215" t="s">
        <v>597</v>
      </c>
      <c r="J18" s="2582"/>
      <c r="K18" s="3101" t="s">
        <v>598</v>
      </c>
      <c r="L18" s="2779" t="s">
        <v>599</v>
      </c>
      <c r="M18" s="3205" t="s">
        <v>600</v>
      </c>
      <c r="N18" s="3101" t="s">
        <v>598</v>
      </c>
      <c r="O18" s="2779" t="s">
        <v>599</v>
      </c>
      <c r="P18" s="3205" t="s">
        <v>600</v>
      </c>
      <c r="R18" s="2530" t="s">
        <v>596</v>
      </c>
      <c r="S18" s="2530" t="s">
        <v>597</v>
      </c>
    </row>
    <row r="19" spans="1:19">
      <c r="A19" s="3179"/>
      <c r="B19" s="3159" t="s">
        <v>601</v>
      </c>
      <c r="C19" s="3180" t="s">
        <v>553</v>
      </c>
      <c r="D19" s="3148">
        <f>ROUND($D$3*E19/$E$3,2)</f>
        <v>0</v>
      </c>
      <c r="E19" s="3181">
        <f t="shared" ref="E19:E26" si="1">SUM(F19:G19)</f>
        <v>3013</v>
      </c>
      <c r="F19" s="3182">
        <f>'数据-基础表'!I5</f>
        <v>3013</v>
      </c>
      <c r="G19" s="3183"/>
      <c r="H19" s="3085">
        <f>ROUND($D$3*I19/$E$3,2)</f>
        <v>0</v>
      </c>
      <c r="I19" s="3160">
        <f t="shared" ref="I19:I26" si="2">IF($I$17="自定义",P19,M19)</f>
        <v>0</v>
      </c>
      <c r="J19" s="2582"/>
      <c r="K19" s="3216">
        <f t="shared" ref="K19:K26" si="3">ROUND(E$28*E19/E$27,2)</f>
        <v>0</v>
      </c>
      <c r="L19" s="2530">
        <f t="shared" ref="L19:L26" si="4">ROUND(IF(COUNTIF(C19,"*住宅*")&gt;0,E$29*E19/E$32,0),2)</f>
        <v>0</v>
      </c>
      <c r="M19" s="3217">
        <f>K19+L19</f>
        <v>0</v>
      </c>
      <c r="N19" s="3218"/>
      <c r="O19" s="3219"/>
      <c r="P19" s="3217">
        <f>N19+O19</f>
        <v>0</v>
      </c>
      <c r="R19" s="2530">
        <f t="shared" ref="R19:S26" si="5">D19+H19</f>
        <v>0</v>
      </c>
      <c r="S19" s="3228">
        <f t="shared" si="5"/>
        <v>3013</v>
      </c>
    </row>
    <row r="20" spans="1:19">
      <c r="A20" s="3184"/>
      <c r="B20" s="3159" t="s">
        <v>601</v>
      </c>
      <c r="C20" s="3180"/>
      <c r="D20" s="3148">
        <f t="shared" ref="D20:D26" si="6">ROUND($D$3*E20/$E$3,2)</f>
        <v>0</v>
      </c>
      <c r="E20" s="3181">
        <f t="shared" si="1"/>
        <v>0</v>
      </c>
      <c r="F20" s="3182"/>
      <c r="G20" s="3183"/>
      <c r="H20" s="3085">
        <f t="shared" ref="H20:H26" si="7">ROUND($D$3*I20/$E$3,2)</f>
        <v>0</v>
      </c>
      <c r="I20" s="3160">
        <f t="shared" si="2"/>
        <v>0</v>
      </c>
      <c r="J20" s="2582"/>
      <c r="K20" s="3216">
        <f t="shared" si="3"/>
        <v>0</v>
      </c>
      <c r="L20" s="2530">
        <f t="shared" si="4"/>
        <v>0</v>
      </c>
      <c r="M20" s="3217">
        <f t="shared" ref="M20:M26" si="8">K20+L20</f>
        <v>0</v>
      </c>
      <c r="N20" s="3218"/>
      <c r="O20" s="3219"/>
      <c r="P20" s="3217">
        <f t="shared" ref="P20:P26" si="9">N20+O20</f>
        <v>0</v>
      </c>
      <c r="R20" s="2530">
        <f t="shared" si="5"/>
        <v>0</v>
      </c>
      <c r="S20" s="3228">
        <f t="shared" si="5"/>
        <v>0</v>
      </c>
    </row>
    <row r="21" spans="1:19">
      <c r="A21" s="3184"/>
      <c r="B21" s="3159" t="s">
        <v>601</v>
      </c>
      <c r="C21" s="3180"/>
      <c r="D21" s="3148">
        <f t="shared" si="6"/>
        <v>0</v>
      </c>
      <c r="E21" s="3181">
        <f t="shared" si="1"/>
        <v>0</v>
      </c>
      <c r="F21" s="3182"/>
      <c r="G21" s="3183"/>
      <c r="H21" s="3085">
        <f t="shared" si="7"/>
        <v>0</v>
      </c>
      <c r="I21" s="3160">
        <f t="shared" si="2"/>
        <v>0</v>
      </c>
      <c r="J21" s="2582"/>
      <c r="K21" s="3216">
        <f t="shared" si="3"/>
        <v>0</v>
      </c>
      <c r="L21" s="2530">
        <f t="shared" si="4"/>
        <v>0</v>
      </c>
      <c r="M21" s="3217">
        <f t="shared" si="8"/>
        <v>0</v>
      </c>
      <c r="N21" s="3218"/>
      <c r="O21" s="3219"/>
      <c r="P21" s="3217">
        <f t="shared" si="9"/>
        <v>0</v>
      </c>
      <c r="R21" s="2530">
        <f t="shared" si="5"/>
        <v>0</v>
      </c>
      <c r="S21" s="3228">
        <f t="shared" si="5"/>
        <v>0</v>
      </c>
    </row>
    <row r="22" spans="1:19">
      <c r="A22" s="3184"/>
      <c r="B22" s="3159" t="s">
        <v>601</v>
      </c>
      <c r="C22" s="3185"/>
      <c r="D22" s="3148">
        <f t="shared" si="6"/>
        <v>0</v>
      </c>
      <c r="E22" s="3181">
        <f t="shared" si="1"/>
        <v>0</v>
      </c>
      <c r="F22" s="3186"/>
      <c r="G22" s="3187"/>
      <c r="H22" s="3085">
        <f t="shared" si="7"/>
        <v>0</v>
      </c>
      <c r="I22" s="3160">
        <f t="shared" si="2"/>
        <v>0</v>
      </c>
      <c r="J22" s="2582"/>
      <c r="K22" s="3216">
        <f t="shared" si="3"/>
        <v>0</v>
      </c>
      <c r="L22" s="2530">
        <f t="shared" si="4"/>
        <v>0</v>
      </c>
      <c r="M22" s="3217">
        <f t="shared" si="8"/>
        <v>0</v>
      </c>
      <c r="N22" s="3218"/>
      <c r="O22" s="3219"/>
      <c r="P22" s="3217">
        <f t="shared" si="9"/>
        <v>0</v>
      </c>
      <c r="R22" s="2530">
        <f t="shared" si="5"/>
        <v>0</v>
      </c>
      <c r="S22" s="3228">
        <f t="shared" si="5"/>
        <v>0</v>
      </c>
    </row>
    <row r="23" spans="1:19">
      <c r="A23" s="3184"/>
      <c r="B23" s="3159" t="s">
        <v>601</v>
      </c>
      <c r="C23" s="3185"/>
      <c r="D23" s="3148">
        <f t="shared" si="6"/>
        <v>0</v>
      </c>
      <c r="E23" s="3181">
        <f t="shared" si="1"/>
        <v>0</v>
      </c>
      <c r="F23" s="3186"/>
      <c r="G23" s="3187"/>
      <c r="H23" s="3085">
        <f t="shared" si="7"/>
        <v>0</v>
      </c>
      <c r="I23" s="3160">
        <f t="shared" si="2"/>
        <v>0</v>
      </c>
      <c r="J23" s="2582"/>
      <c r="K23" s="3216">
        <f t="shared" si="3"/>
        <v>0</v>
      </c>
      <c r="L23" s="2530">
        <f t="shared" si="4"/>
        <v>0</v>
      </c>
      <c r="M23" s="3217">
        <f t="shared" si="8"/>
        <v>0</v>
      </c>
      <c r="N23" s="3218"/>
      <c r="O23" s="3219"/>
      <c r="P23" s="3217">
        <f t="shared" si="9"/>
        <v>0</v>
      </c>
      <c r="R23" s="2530">
        <f t="shared" si="5"/>
        <v>0</v>
      </c>
      <c r="S23" s="3228">
        <f t="shared" si="5"/>
        <v>0</v>
      </c>
    </row>
    <row r="24" spans="1:19">
      <c r="A24" s="3184"/>
      <c r="B24" s="3159" t="s">
        <v>601</v>
      </c>
      <c r="C24" s="3185"/>
      <c r="D24" s="3148">
        <f t="shared" si="6"/>
        <v>0</v>
      </c>
      <c r="E24" s="3181">
        <f t="shared" si="1"/>
        <v>0</v>
      </c>
      <c r="F24" s="3186"/>
      <c r="G24" s="3187"/>
      <c r="H24" s="3085">
        <f t="shared" si="7"/>
        <v>0</v>
      </c>
      <c r="I24" s="3160">
        <f t="shared" si="2"/>
        <v>0</v>
      </c>
      <c r="J24" s="2582"/>
      <c r="K24" s="3216">
        <f t="shared" si="3"/>
        <v>0</v>
      </c>
      <c r="L24" s="2530">
        <f t="shared" si="4"/>
        <v>0</v>
      </c>
      <c r="M24" s="3217">
        <f t="shared" si="8"/>
        <v>0</v>
      </c>
      <c r="N24" s="3218"/>
      <c r="O24" s="3219"/>
      <c r="P24" s="3217">
        <f t="shared" si="9"/>
        <v>0</v>
      </c>
      <c r="R24" s="2530">
        <f t="shared" si="5"/>
        <v>0</v>
      </c>
      <c r="S24" s="3228">
        <f t="shared" si="5"/>
        <v>0</v>
      </c>
    </row>
    <row r="25" spans="1:19">
      <c r="A25" s="3184"/>
      <c r="B25" s="3159" t="s">
        <v>601</v>
      </c>
      <c r="C25" s="3185"/>
      <c r="D25" s="3148">
        <f t="shared" si="6"/>
        <v>0</v>
      </c>
      <c r="E25" s="3181">
        <f t="shared" si="1"/>
        <v>0</v>
      </c>
      <c r="F25" s="3186"/>
      <c r="G25" s="3187"/>
      <c r="H25" s="3147">
        <f t="shared" si="7"/>
        <v>0</v>
      </c>
      <c r="I25" s="3160">
        <f t="shared" si="2"/>
        <v>0</v>
      </c>
      <c r="J25" s="2582"/>
      <c r="K25" s="3216">
        <f t="shared" si="3"/>
        <v>0</v>
      </c>
      <c r="L25" s="2530">
        <f t="shared" si="4"/>
        <v>0</v>
      </c>
      <c r="M25" s="3217">
        <f t="shared" si="8"/>
        <v>0</v>
      </c>
      <c r="N25" s="3218"/>
      <c r="O25" s="3219"/>
      <c r="P25" s="3217">
        <f t="shared" si="9"/>
        <v>0</v>
      </c>
      <c r="R25" s="2530">
        <f t="shared" si="5"/>
        <v>0</v>
      </c>
      <c r="S25" s="3228">
        <f t="shared" si="5"/>
        <v>0</v>
      </c>
    </row>
    <row r="26" spans="1:19">
      <c r="A26" s="3184"/>
      <c r="B26" s="3159" t="s">
        <v>601</v>
      </c>
      <c r="C26" s="3188"/>
      <c r="D26" s="3148">
        <f t="shared" si="6"/>
        <v>0</v>
      </c>
      <c r="E26" s="3181">
        <f t="shared" si="1"/>
        <v>0</v>
      </c>
      <c r="F26" s="3186"/>
      <c r="G26" s="3187"/>
      <c r="H26" s="3147">
        <f t="shared" si="7"/>
        <v>0</v>
      </c>
      <c r="I26" s="3160">
        <f t="shared" si="2"/>
        <v>0</v>
      </c>
      <c r="J26" s="2582"/>
      <c r="K26" s="3142">
        <f t="shared" si="3"/>
        <v>0</v>
      </c>
      <c r="L26" s="3152">
        <f t="shared" si="4"/>
        <v>0</v>
      </c>
      <c r="M26" s="3195">
        <f t="shared" si="8"/>
        <v>0</v>
      </c>
      <c r="N26" s="3220"/>
      <c r="O26" s="3221"/>
      <c r="P26" s="3195">
        <f t="shared" si="9"/>
        <v>0</v>
      </c>
      <c r="R26" s="2530">
        <f t="shared" si="5"/>
        <v>0</v>
      </c>
      <c r="S26" s="3228">
        <f t="shared" si="5"/>
        <v>0</v>
      </c>
    </row>
    <row r="27" ht="14.75" spans="1:19">
      <c r="A27" s="3184"/>
      <c r="B27" s="3148"/>
      <c r="C27" s="2765" t="s">
        <v>602</v>
      </c>
      <c r="D27" s="3189">
        <f>SUM(D19:D26)</f>
        <v>0</v>
      </c>
      <c r="E27" s="3190">
        <f>IF(SUM(E19:E26)='数据-基础表'!BA5,SUM(E19:E26),IF(F27="地上面积有误","面积有误","地下面积有误"))</f>
        <v>3013</v>
      </c>
      <c r="F27" s="3189">
        <f>IF(SUM(F19:F26)=E8,SUM(F19:F26),"地上面积有误")</f>
        <v>3013</v>
      </c>
      <c r="G27" s="3191">
        <f>SUM(G19:G26)</f>
        <v>0</v>
      </c>
      <c r="H27" s="3192">
        <f>SUM(H19:H26)</f>
        <v>0</v>
      </c>
      <c r="I27" s="3222">
        <f>SUM(I19:I26)</f>
        <v>0</v>
      </c>
      <c r="J27" s="2582"/>
      <c r="K27" s="3223">
        <f>SUM(K19:K26)</f>
        <v>0</v>
      </c>
      <c r="L27" s="3224">
        <f>SUM(L19:L26)</f>
        <v>0</v>
      </c>
      <c r="M27" s="3225">
        <f>SUM(M19:M26)</f>
        <v>0</v>
      </c>
      <c r="N27" s="3223">
        <f t="shared" ref="N27:P27" si="10">SUM(N19:N26)</f>
        <v>0</v>
      </c>
      <c r="O27" s="3224">
        <f t="shared" si="10"/>
        <v>0</v>
      </c>
      <c r="P27" s="3226">
        <f t="shared" si="10"/>
        <v>0</v>
      </c>
      <c r="R27" s="3128">
        <f>IF(SUM(R19:R26)=$D$3,SUM(R19:R26),SUM(R19:R26)&amp;"误差"&amp;ROUND(SUM(R19:R26)-$D$3,2))</f>
        <v>0</v>
      </c>
      <c r="S27" s="2530">
        <f>IF(SUM(S19:S26)=$E$3,SUM(S19:S26),SUM(S19:S26)&amp;"误差"&amp;ROUND(SUM(S19:S26)-E3,2))</f>
        <v>3013</v>
      </c>
    </row>
    <row r="28" spans="1:16">
      <c r="A28" s="3184"/>
      <c r="B28" s="3159" t="s">
        <v>603</v>
      </c>
      <c r="C28" s="3104" t="s">
        <v>604</v>
      </c>
      <c r="D28" s="3148">
        <f>ROUND($D$3*E28/$E$3,2)</f>
        <v>0</v>
      </c>
      <c r="E28" s="3181">
        <f>SUM(F28:G28)</f>
        <v>0</v>
      </c>
      <c r="F28" s="2517">
        <f>'数据-基础表'!BQ5+'数据-基础表'!BS5</f>
        <v>0</v>
      </c>
      <c r="G28" s="3193">
        <f>'数据-基础表'!BR5+'数据-基础表'!BT5</f>
        <v>0</v>
      </c>
      <c r="H28" s="3137"/>
      <c r="I28" s="3137"/>
      <c r="J28" s="3137"/>
      <c r="K28" s="3137"/>
      <c r="L28" s="3137"/>
      <c r="M28" s="3137"/>
      <c r="N28" s="3137"/>
      <c r="O28" s="3137"/>
      <c r="P28" s="3137"/>
    </row>
    <row r="29" spans="1:16">
      <c r="A29" s="3184"/>
      <c r="B29" s="3159" t="s">
        <v>603</v>
      </c>
      <c r="C29" s="2580" t="s">
        <v>605</v>
      </c>
      <c r="D29" s="3148">
        <f>ROUND($D$3*E29/$E$3,2)</f>
        <v>0</v>
      </c>
      <c r="E29" s="3181">
        <f>SUM(F29:G29)</f>
        <v>0</v>
      </c>
      <c r="F29" s="3194">
        <f>'数据-基础表'!BM5+'数据-基础表'!BO5</f>
        <v>0</v>
      </c>
      <c r="G29" s="3195">
        <f>'数据-基础表'!BN5+'数据-基础表'!BP5</f>
        <v>0</v>
      </c>
      <c r="H29" s="3137"/>
      <c r="I29" s="3137"/>
      <c r="J29" s="3137"/>
      <c r="K29" s="3137"/>
      <c r="L29" s="3137"/>
      <c r="M29" s="3137"/>
      <c r="N29" s="3137"/>
      <c r="O29" s="3137"/>
      <c r="P29" s="3137"/>
    </row>
    <row r="30" spans="1:16">
      <c r="A30" s="3184"/>
      <c r="B30" s="3159"/>
      <c r="C30" s="3196" t="s">
        <v>602</v>
      </c>
      <c r="D30" s="3189">
        <f>SUM(D28:D29)</f>
        <v>0</v>
      </c>
      <c r="E30" s="3189">
        <f>SUM(E28:E29)</f>
        <v>0</v>
      </c>
      <c r="F30" s="3189">
        <f>SUM(F28:F29)</f>
        <v>0</v>
      </c>
      <c r="G30" s="3191">
        <f>SUM(G28:G29)</f>
        <v>0</v>
      </c>
      <c r="H30" s="3137"/>
      <c r="I30" s="3137"/>
      <c r="J30" s="3137"/>
      <c r="K30" s="3137"/>
      <c r="L30" s="3137"/>
      <c r="M30" s="3137"/>
      <c r="N30" s="3137"/>
      <c r="O30" s="3137"/>
      <c r="P30" s="3137"/>
    </row>
    <row r="31" ht="14.75" spans="1:16">
      <c r="A31" s="3197"/>
      <c r="B31" s="3198"/>
      <c r="C31" s="2454" t="s">
        <v>606</v>
      </c>
      <c r="D31" s="3199">
        <f>D27+D30</f>
        <v>0</v>
      </c>
      <c r="E31" s="3199">
        <f>E27+E30</f>
        <v>3013</v>
      </c>
      <c r="F31" s="3200">
        <f>F27+F30</f>
        <v>3013</v>
      </c>
      <c r="G31" s="3201">
        <f>G27+G30</f>
        <v>0</v>
      </c>
      <c r="H31" s="3137"/>
      <c r="I31" s="3137"/>
      <c r="J31" s="3137"/>
      <c r="K31" s="3137"/>
      <c r="L31" s="3137"/>
      <c r="M31" s="3137"/>
      <c r="N31" s="3137"/>
      <c r="O31" s="3137"/>
      <c r="P31" s="3137"/>
    </row>
    <row r="32" spans="1:16">
      <c r="A32" s="3202"/>
      <c r="B32" s="3202" t="s">
        <v>607</v>
      </c>
      <c r="C32" s="3202"/>
      <c r="D32" s="3202"/>
      <c r="E32" s="3203">
        <f>SUMIF(C19:C26,"*住宅*",E19:E26)</f>
        <v>0</v>
      </c>
      <c r="F32" s="3202"/>
      <c r="G32" s="3202"/>
      <c r="H32" s="3137"/>
      <c r="I32" s="3137"/>
      <c r="J32" s="3137"/>
      <c r="K32" s="3137"/>
      <c r="L32" s="3137"/>
      <c r="M32" s="3137"/>
      <c r="N32" s="3137"/>
      <c r="O32" s="3137"/>
      <c r="P32" s="3137"/>
    </row>
    <row r="33" spans="4:4">
      <c r="D33" s="320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Q6" activePane="bottomRight" state="frozen"/>
      <selection/>
      <selection pane="topRight"/>
      <selection pane="bottomLeft"/>
      <selection pane="bottomRight" activeCell="Z24" sqref="Z24"/>
    </sheetView>
  </sheetViews>
  <sheetFormatPr defaultColWidth="13.7545454545455" defaultRowHeight="12.5"/>
  <cols>
    <col min="1" max="1" width="20.8727272727273" style="2937" customWidth="1"/>
    <col min="2" max="2" width="12" style="2938" customWidth="1"/>
    <col min="3" max="3" width="12.7545454545455" style="2938" customWidth="1"/>
    <col min="4" max="4" width="9.12727272727273" style="2939" customWidth="1"/>
    <col min="5" max="5" width="15" style="2938" customWidth="1"/>
    <col min="6" max="10" width="8.87272727272727" style="2938" customWidth="1"/>
    <col min="11" max="12" width="12.3727272727273" style="2940" customWidth="1"/>
    <col min="13" max="13" width="8.62727272727273" style="2938" customWidth="1"/>
    <col min="14" max="14" width="11.8727272727273" style="2938" customWidth="1"/>
    <col min="15" max="15" width="8.5" style="2938" customWidth="1"/>
    <col min="16" max="17" width="10.8727272727273" style="2938" customWidth="1"/>
    <col min="18" max="19" width="12.5" style="2938" customWidth="1"/>
    <col min="20" max="20" width="12.1272727272727" style="2938" customWidth="1"/>
    <col min="21" max="21" width="7.5" style="2938" customWidth="1"/>
    <col min="22" max="22" width="6.37272727272727" style="2938" customWidth="1"/>
    <col min="23" max="30" width="6.75454545454545" style="2938" customWidth="1"/>
    <col min="31" max="31" width="8" style="2938" customWidth="1"/>
    <col min="32" max="34" width="7.25454545454545" style="2938" customWidth="1"/>
    <col min="35" max="39" width="8" style="2938" customWidth="1"/>
    <col min="40" max="40" width="13.7545454545455" style="2936"/>
    <col min="41" max="41" width="11.6272727272727" style="2936" customWidth="1"/>
    <col min="42" max="42" width="9.75454545454545" style="2936" customWidth="1"/>
    <col min="43" max="67" width="13.7545454545455" style="2936"/>
    <col min="68" max="16384" width="13.7545454545455" style="2938"/>
  </cols>
  <sheetData>
    <row r="1" ht="18.25" spans="1:44">
      <c r="A1" s="2941" t="s">
        <v>608</v>
      </c>
      <c r="B1" s="2942"/>
      <c r="C1" s="2198"/>
      <c r="D1" s="2943"/>
      <c r="E1" s="2198"/>
      <c r="F1" s="2198"/>
      <c r="G1" s="2198"/>
      <c r="H1" s="2198"/>
      <c r="I1" s="2198"/>
      <c r="J1" s="2198"/>
      <c r="K1" s="1418"/>
      <c r="L1" s="1418"/>
      <c r="M1" s="2198"/>
      <c r="N1" s="2198"/>
      <c r="O1" s="2198"/>
      <c r="P1" s="2198"/>
      <c r="Q1" s="2198"/>
      <c r="R1" s="2198"/>
      <c r="S1" s="2198"/>
      <c r="T1" s="2198"/>
      <c r="U1" s="2198"/>
      <c r="V1" s="2198"/>
      <c r="W1" s="2198"/>
      <c r="X1" s="2198"/>
      <c r="Y1" s="2198"/>
      <c r="Z1" s="2198"/>
      <c r="AA1" s="2198"/>
      <c r="AB1" s="2198"/>
      <c r="AC1" s="2198"/>
      <c r="AD1" s="2198"/>
      <c r="AE1" s="2198"/>
      <c r="AF1" s="2198"/>
      <c r="AG1" s="2198"/>
      <c r="AH1" s="2198"/>
      <c r="AI1" s="2198"/>
      <c r="AJ1" s="2198"/>
      <c r="AK1" s="2198"/>
      <c r="AL1" s="2198"/>
      <c r="AM1" s="2198"/>
      <c r="AN1" s="2395"/>
      <c r="AO1" s="2395"/>
      <c r="AP1" s="2395"/>
      <c r="AQ1" s="2395"/>
      <c r="AR1" s="2395"/>
    </row>
    <row r="2" s="2933" customFormat="1" ht="14.75" spans="1:67">
      <c r="A2" s="2944" t="s">
        <v>609</v>
      </c>
      <c r="B2" s="2945">
        <f>项目基本情况!D3</f>
        <v>45538</v>
      </c>
      <c r="C2" s="2946"/>
      <c r="D2" s="2947"/>
      <c r="E2" s="2946"/>
      <c r="F2" s="2946"/>
      <c r="G2" s="2946"/>
      <c r="H2" s="2946"/>
      <c r="I2" s="2946"/>
      <c r="J2" s="2946"/>
      <c r="K2" s="3043"/>
      <c r="L2" s="3043"/>
      <c r="M2" s="2946"/>
      <c r="N2" s="2946"/>
      <c r="O2" s="2946"/>
      <c r="P2" s="2946"/>
      <c r="Q2" s="2946"/>
      <c r="R2" s="2946"/>
      <c r="S2" s="2946"/>
      <c r="T2" s="2946"/>
      <c r="U2" s="2946"/>
      <c r="V2" s="2946"/>
      <c r="W2" s="2946"/>
      <c r="X2" s="2946"/>
      <c r="Y2" s="2946"/>
      <c r="Z2" s="2946"/>
      <c r="AA2" s="2946"/>
      <c r="AB2" s="2946"/>
      <c r="AC2" s="2946"/>
      <c r="AD2" s="2946"/>
      <c r="AE2" s="2946"/>
      <c r="AF2" s="2946"/>
      <c r="AG2" s="2946"/>
      <c r="AH2" s="2946"/>
      <c r="AI2" s="2946"/>
      <c r="AJ2" s="2946"/>
      <c r="AK2" s="2946"/>
      <c r="AL2" s="2946"/>
      <c r="AM2" s="2946"/>
      <c r="AN2" s="2979"/>
      <c r="AO2" s="2979"/>
      <c r="AP2" s="2979"/>
      <c r="AQ2" s="2979"/>
      <c r="AR2" s="2979"/>
      <c r="AS2" s="2862"/>
      <c r="AT2" s="2862"/>
      <c r="AU2" s="2862"/>
      <c r="AV2" s="2862"/>
      <c r="AW2" s="2862"/>
      <c r="AX2" s="2862"/>
      <c r="AY2" s="2862"/>
      <c r="AZ2" s="2862"/>
      <c r="BA2" s="2862"/>
      <c r="BB2" s="2862"/>
      <c r="BC2" s="2862"/>
      <c r="BD2" s="2862"/>
      <c r="BE2" s="2862"/>
      <c r="BF2" s="2862"/>
      <c r="BG2" s="2862"/>
      <c r="BH2" s="2862"/>
      <c r="BI2" s="2862"/>
      <c r="BJ2" s="2862"/>
      <c r="BK2" s="2862"/>
      <c r="BL2" s="2862"/>
      <c r="BM2" s="2862"/>
      <c r="BN2" s="2862"/>
      <c r="BO2" s="2862"/>
    </row>
    <row r="3" s="2933" customFormat="1" ht="14.75" spans="1:67">
      <c r="A3" s="2948"/>
      <c r="B3" s="2949"/>
      <c r="C3" s="2946"/>
      <c r="D3" s="2947"/>
      <c r="E3" s="2946"/>
      <c r="F3" s="2946"/>
      <c r="G3" s="2946"/>
      <c r="H3" s="2946"/>
      <c r="I3" s="2946"/>
      <c r="J3" s="2946"/>
      <c r="K3" s="3043"/>
      <c r="L3" s="3043"/>
      <c r="M3" s="2946"/>
      <c r="N3" s="2946"/>
      <c r="O3" s="2946"/>
      <c r="P3" s="2946"/>
      <c r="Q3" s="2946"/>
      <c r="R3" s="2946"/>
      <c r="S3" s="2946"/>
      <c r="T3" s="2946"/>
      <c r="U3" s="2946"/>
      <c r="V3" s="2946"/>
      <c r="W3" s="2946"/>
      <c r="X3" s="2946"/>
      <c r="Y3" s="2946"/>
      <c r="Z3" s="2946"/>
      <c r="AA3" s="2946"/>
      <c r="AB3" s="2946"/>
      <c r="AC3" s="2946"/>
      <c r="AD3" s="2946"/>
      <c r="AE3" s="2946"/>
      <c r="AF3" s="2946"/>
      <c r="AG3" s="2946"/>
      <c r="AH3" s="2946"/>
      <c r="AI3" s="2946"/>
      <c r="AJ3" s="2946"/>
      <c r="AK3" s="2946"/>
      <c r="AL3" s="2946"/>
      <c r="AM3" s="2946"/>
      <c r="AN3" s="2979"/>
      <c r="AO3" s="2979"/>
      <c r="AP3" s="2979"/>
      <c r="AQ3" s="2979"/>
      <c r="AR3" s="2979"/>
      <c r="AS3" s="2862"/>
      <c r="AT3" s="2862"/>
      <c r="AU3" s="2862"/>
      <c r="AV3" s="2862"/>
      <c r="AW3" s="2862"/>
      <c r="AX3" s="2862"/>
      <c r="AY3" s="2862"/>
      <c r="AZ3" s="2862"/>
      <c r="BA3" s="2862"/>
      <c r="BB3" s="2862"/>
      <c r="BC3" s="2862"/>
      <c r="BD3" s="2862"/>
      <c r="BE3" s="2862"/>
      <c r="BF3" s="2862"/>
      <c r="BG3" s="2862"/>
      <c r="BH3" s="2862"/>
      <c r="BI3" s="2862"/>
      <c r="BJ3" s="2862"/>
      <c r="BK3" s="2862"/>
      <c r="BL3" s="2862"/>
      <c r="BM3" s="2862"/>
      <c r="BN3" s="2862"/>
      <c r="BO3" s="2862"/>
    </row>
    <row r="4" s="2933" customFormat="1" ht="14.75" spans="1:67">
      <c r="A4" s="1881" t="s">
        <v>610</v>
      </c>
      <c r="B4" s="2537"/>
      <c r="C4" s="2950"/>
      <c r="D4" s="2951"/>
      <c r="E4" s="2950" t="s">
        <v>611</v>
      </c>
      <c r="F4" s="2950"/>
      <c r="G4" s="2950"/>
      <c r="H4" s="2950"/>
      <c r="I4" s="2950"/>
      <c r="J4" s="3044"/>
      <c r="K4" s="3045"/>
      <c r="L4" s="3046"/>
      <c r="M4" s="2950"/>
      <c r="N4" s="2950" t="s">
        <v>612</v>
      </c>
      <c r="O4" s="2950"/>
      <c r="P4" s="2950"/>
      <c r="Q4" s="2950"/>
      <c r="R4" s="2950"/>
      <c r="S4" s="3044"/>
      <c r="T4" s="3068" t="str">
        <f>'数据-汇总表'!I17</f>
        <v>按面积比例</v>
      </c>
      <c r="U4" s="2537" t="s">
        <v>613</v>
      </c>
      <c r="V4" s="2950"/>
      <c r="W4" s="2950"/>
      <c r="X4" s="2950"/>
      <c r="Y4" s="3044"/>
      <c r="Z4" s="3095" t="s">
        <v>614</v>
      </c>
      <c r="AA4" s="3095"/>
      <c r="AB4" s="3095"/>
      <c r="AC4" s="3095"/>
      <c r="AD4" s="3095"/>
      <c r="AE4" s="3096" t="s">
        <v>615</v>
      </c>
      <c r="AF4" s="3095"/>
      <c r="AG4" s="3108"/>
      <c r="AH4" s="2537"/>
      <c r="AI4" s="2950"/>
      <c r="AJ4" s="2950"/>
      <c r="AK4" s="2950"/>
      <c r="AL4" s="2950"/>
      <c r="AM4" s="3044"/>
      <c r="AN4" s="2979"/>
      <c r="AO4" s="2979"/>
      <c r="AP4" s="2979"/>
      <c r="AQ4" s="2979"/>
      <c r="AR4" s="2979"/>
      <c r="AS4" s="2862"/>
      <c r="AT4" s="2862"/>
      <c r="AU4" s="2862"/>
      <c r="AV4" s="2862"/>
      <c r="AW4" s="2862"/>
      <c r="AX4" s="2862"/>
      <c r="AY4" s="2862"/>
      <c r="AZ4" s="2862"/>
      <c r="BA4" s="2862"/>
      <c r="BB4" s="2862"/>
      <c r="BC4" s="2862"/>
      <c r="BD4" s="2862"/>
      <c r="BE4" s="2862"/>
      <c r="BF4" s="2862"/>
      <c r="BG4" s="2862"/>
      <c r="BH4" s="2862"/>
      <c r="BI4" s="2862"/>
      <c r="BJ4" s="2862"/>
      <c r="BK4" s="2862"/>
      <c r="BL4" s="2862"/>
      <c r="BM4" s="2862"/>
      <c r="BN4" s="2862"/>
      <c r="BO4" s="2862"/>
    </row>
    <row r="5" s="2934" customFormat="1" ht="42" spans="1:67">
      <c r="A5" s="2952" t="s">
        <v>588</v>
      </c>
      <c r="B5" s="2953" t="s">
        <v>587</v>
      </c>
      <c r="C5" s="2954" t="s">
        <v>616</v>
      </c>
      <c r="D5" s="2955" t="s">
        <v>617</v>
      </c>
      <c r="E5" s="2956" t="s">
        <v>618</v>
      </c>
      <c r="F5" s="2957" t="s">
        <v>619</v>
      </c>
      <c r="G5" s="2956" t="s">
        <v>620</v>
      </c>
      <c r="H5" s="2956" t="s">
        <v>621</v>
      </c>
      <c r="I5" s="2956" t="s">
        <v>622</v>
      </c>
      <c r="J5" s="3047" t="s">
        <v>623</v>
      </c>
      <c r="K5" s="3048" t="s">
        <v>597</v>
      </c>
      <c r="L5" s="3049" t="s">
        <v>624</v>
      </c>
      <c r="M5" s="3050" t="s">
        <v>625</v>
      </c>
      <c r="N5" s="3051" t="s">
        <v>626</v>
      </c>
      <c r="O5" s="3049" t="s">
        <v>627</v>
      </c>
      <c r="P5" s="3052" t="s">
        <v>628</v>
      </c>
      <c r="Q5" s="1828" t="s">
        <v>629</v>
      </c>
      <c r="R5" s="3069" t="s">
        <v>630</v>
      </c>
      <c r="S5" s="3070" t="s">
        <v>631</v>
      </c>
      <c r="T5" s="3071" t="s">
        <v>632</v>
      </c>
      <c r="U5" s="3072" t="s">
        <v>633</v>
      </c>
      <c r="V5" s="2956" t="s">
        <v>634</v>
      </c>
      <c r="W5" s="2956" t="s">
        <v>635</v>
      </c>
      <c r="X5" s="624"/>
      <c r="Y5" s="1893" t="s">
        <v>636</v>
      </c>
      <c r="Z5" s="3097" t="s">
        <v>633</v>
      </c>
      <c r="AA5" s="2956" t="s">
        <v>634</v>
      </c>
      <c r="AB5" s="2956" t="s">
        <v>635</v>
      </c>
      <c r="AC5" s="624"/>
      <c r="AD5" s="624" t="s">
        <v>636</v>
      </c>
      <c r="AE5" s="3072" t="s">
        <v>637</v>
      </c>
      <c r="AF5" s="2956" t="s">
        <v>638</v>
      </c>
      <c r="AG5" s="1893" t="s">
        <v>639</v>
      </c>
      <c r="AH5" s="3072" t="s">
        <v>640</v>
      </c>
      <c r="AI5" s="3097" t="s">
        <v>641</v>
      </c>
      <c r="AJ5" s="3097" t="s">
        <v>642</v>
      </c>
      <c r="AK5" s="2956" t="s">
        <v>643</v>
      </c>
      <c r="AL5" s="2956" t="s">
        <v>644</v>
      </c>
      <c r="AM5" s="1893" t="s">
        <v>645</v>
      </c>
      <c r="AN5" s="3109" t="s">
        <v>646</v>
      </c>
      <c r="AO5" s="3127" t="s">
        <v>647</v>
      </c>
      <c r="AP5" s="3128" t="s">
        <v>648</v>
      </c>
      <c r="AQ5" s="3129" t="s">
        <v>649</v>
      </c>
      <c r="AR5" s="3129" t="s">
        <v>650</v>
      </c>
      <c r="AS5" s="2863"/>
      <c r="AT5" s="2863"/>
      <c r="AU5" s="2863"/>
      <c r="AV5" s="2863"/>
      <c r="AW5" s="2863"/>
      <c r="AX5" s="2863"/>
      <c r="AY5" s="2863"/>
      <c r="AZ5" s="2863"/>
      <c r="BA5" s="2863"/>
      <c r="BB5" s="2863"/>
      <c r="BC5" s="2863"/>
      <c r="BD5" s="2863"/>
      <c r="BE5" s="2863"/>
      <c r="BF5" s="2863"/>
      <c r="BG5" s="2863"/>
      <c r="BH5" s="2863"/>
      <c r="BI5" s="2863"/>
      <c r="BJ5" s="2863"/>
      <c r="BK5" s="2863"/>
      <c r="BL5" s="2863"/>
      <c r="BM5" s="2863"/>
      <c r="BN5" s="2863"/>
      <c r="BO5" s="2863"/>
    </row>
    <row r="6" s="2933" customFormat="1" ht="14" spans="1:67">
      <c r="A6" s="2958" t="str">
        <f>'数据-汇总表'!C19</f>
        <v>办公楼</v>
      </c>
      <c r="B6" s="2959" t="str">
        <f>IF(A6=0,"","经营性")</f>
        <v>经营性</v>
      </c>
      <c r="C6" s="2960" t="s">
        <v>408</v>
      </c>
      <c r="D6" s="2961">
        <f>SUMIF(项目基本情况!C$12:I$12,C6,项目基本情况!C$14:I$14)</f>
        <v>50</v>
      </c>
      <c r="E6" s="2962">
        <f>IF(B6="","",SUMIF(项目基本情况!C$12:I$12,C6,项目基本情况!C$13:I$13))</f>
        <v>56493</v>
      </c>
      <c r="F6" s="2963">
        <f>SUMIF(项目基本情况!C$12:I$12,C6,项目基本情况!C$15:I$15)</f>
        <v>30.01</v>
      </c>
      <c r="G6" s="2964">
        <f>IF(ISERROR(ROUND(POWER(1+H6,D6-F6)*(POWER(1+H6,F6)-1)/(POWER(1+H6,D6)-1),3)),0,ROUND(POWER(1+H6,D6-F6)*(POWER(1+H6,F6)-1)/(POWER(1+H6,D6)-1),3))</f>
        <v>0.842</v>
      </c>
      <c r="H6" s="2965">
        <v>0.05</v>
      </c>
      <c r="I6" s="2965">
        <v>0.055</v>
      </c>
      <c r="J6" s="2966">
        <v>0.07</v>
      </c>
      <c r="K6" s="3053">
        <f>SUMIF('数据-汇总表'!C$19:C$33,A6,'数据-汇总表'!E$19:E$33)</f>
        <v>3013</v>
      </c>
      <c r="L6" s="3054">
        <v>3500</v>
      </c>
      <c r="M6" s="3055">
        <f t="shared" ref="M6:M14" si="0">ROUND(K6*L6/10000,0)</f>
        <v>1055</v>
      </c>
      <c r="N6" s="3056">
        <f>ROUND((N17+N18)/2,2)</f>
        <v>0.74</v>
      </c>
      <c r="O6" s="3055" t="str">
        <f>IF($N$5="成新度","——",ROUND(M6*N6,0))</f>
        <v>——</v>
      </c>
      <c r="P6" s="3057" t="str">
        <f>IF($N$5="成新度","——",M6-O6)</f>
        <v>——</v>
      </c>
      <c r="Q6" s="3073">
        <v>0.1</v>
      </c>
      <c r="R6" s="3074">
        <f ca="1">SUMIF('数据-汇总表'!C$19:C$33,A6,'数据-汇总表'!R$19:R$27)</f>
        <v>0</v>
      </c>
      <c r="S6" s="3075">
        <f>IF('数据-汇总表'!$I$17="按面积比例",SUMIF('数据-汇总表'!C$19:C$33,A6,'数据-汇总表'!K$19:K$33),SUMIF('数据-汇总表'!C$19:C$33,A6,'数据-汇总表'!N$19:N$33))</f>
        <v>0</v>
      </c>
      <c r="T6" s="3076">
        <f>ROUND($L$14*S6/10000,0)</f>
        <v>0</v>
      </c>
      <c r="U6" s="3077">
        <f>'比较法-办公租金'!C50</f>
        <v>3.6</v>
      </c>
      <c r="V6" s="3078">
        <v>0.025</v>
      </c>
      <c r="W6" s="3078">
        <v>0.1</v>
      </c>
      <c r="X6" s="3079"/>
      <c r="Y6" s="3098">
        <f>N6</f>
        <v>0.74</v>
      </c>
      <c r="Z6" s="3099"/>
      <c r="AA6" s="2966"/>
      <c r="AB6" s="2966"/>
      <c r="AC6" s="3079"/>
      <c r="AD6" s="3100"/>
      <c r="AE6" s="3101">
        <f ca="1">IF(AN6="",0,SUMIF(INDIRECT("'"&amp;AN6&amp;"'"&amp;"!E:E"),$AE$5,INDIRECT("'"&amp;AN6&amp;"'"&amp;"!F:F")))</f>
        <v>30.01</v>
      </c>
      <c r="AF6" s="2512"/>
      <c r="AG6" s="2030">
        <f ca="1">IF(AF6="",0,AE6-AF6)</f>
        <v>0</v>
      </c>
      <c r="AH6" s="3110"/>
      <c r="AI6" s="3111">
        <v>365</v>
      </c>
      <c r="AJ6" s="3112"/>
      <c r="AK6" s="3113">
        <v>0.005</v>
      </c>
      <c r="AL6" s="3114">
        <v>0.001</v>
      </c>
      <c r="AM6" s="3115">
        <v>0.005</v>
      </c>
      <c r="AN6" s="3116" t="s">
        <v>651</v>
      </c>
      <c r="AO6" s="855">
        <f ca="1">SUMIF(INDIRECT("'"&amp;AN6&amp;"'"&amp;"!A:A"),"总价",INDIRECT("'"&amp;AN6&amp;"'"&amp;"!B:B"))</f>
        <v>5589</v>
      </c>
      <c r="AP6" s="3130">
        <f>IF(C6="住宅",K6*L6,0)</f>
        <v>0</v>
      </c>
      <c r="AQ6" s="855">
        <f>ROUND($L$14*$N$14*S6/10000,0)</f>
        <v>0</v>
      </c>
      <c r="AR6" s="855">
        <f>ROUND($L$14*(1-$N$14)*S6/10000,0)</f>
        <v>0</v>
      </c>
      <c r="AS6" s="2862"/>
      <c r="AT6" s="2862"/>
      <c r="AU6" s="2862"/>
      <c r="AV6" s="2862"/>
      <c r="AW6" s="2862"/>
      <c r="AX6" s="2862"/>
      <c r="AY6" s="2862"/>
      <c r="AZ6" s="2862"/>
      <c r="BA6" s="2862"/>
      <c r="BB6" s="2862"/>
      <c r="BC6" s="2862"/>
      <c r="BD6" s="2862"/>
      <c r="BE6" s="2862"/>
      <c r="BF6" s="2862"/>
      <c r="BG6" s="2862"/>
      <c r="BH6" s="2862"/>
      <c r="BI6" s="2862"/>
      <c r="BJ6" s="2862"/>
      <c r="BK6" s="2862"/>
      <c r="BL6" s="2862"/>
      <c r="BM6" s="2862"/>
      <c r="BN6" s="2862"/>
      <c r="BO6" s="2862"/>
    </row>
    <row r="7" s="2933" customFormat="1" ht="14" spans="1:67">
      <c r="A7" s="2958">
        <f>'数据-汇总表'!C20</f>
        <v>0</v>
      </c>
      <c r="B7" s="2959" t="str">
        <f t="shared" ref="B7:B13" si="1">IF(A7=0,"","经营性")</f>
        <v/>
      </c>
      <c r="C7" s="2960"/>
      <c r="D7" s="2961">
        <f>SUMIF(项目基本情况!C$12:I$12,C7,项目基本情况!C$14:I$14)</f>
        <v>0</v>
      </c>
      <c r="E7" s="2962" t="str">
        <f>IF(B7="","",SUMIF(项目基本情况!C$12:I$12,C7,项目基本情况!C$13:I$13))</f>
        <v/>
      </c>
      <c r="F7" s="2963">
        <f>SUMIF(项目基本情况!C$12:I$12,C7,项目基本情况!C$15:I$15)</f>
        <v>0</v>
      </c>
      <c r="G7" s="2964">
        <f t="shared" ref="G7:G13" si="2">IF(ISERROR(ROUND(POWER(1+H7,D7-F7)*(POWER(1+H7,F7)-1)/(POWER(1+H7,D7)-1),3)),0,ROUND(POWER(1+H7,D7-F7)*(POWER(1+H7,F7)-1)/(POWER(1+H7,D7)-1),3))</f>
        <v>0</v>
      </c>
      <c r="H7" s="2965"/>
      <c r="I7" s="2965"/>
      <c r="J7" s="2966"/>
      <c r="K7" s="3053">
        <f>SUMIF('数据-汇总表'!C$19:C$33,A7,'数据-汇总表'!E$19:E$33)</f>
        <v>0</v>
      </c>
      <c r="L7" s="3054"/>
      <c r="M7" s="3055">
        <f t="shared" si="0"/>
        <v>0</v>
      </c>
      <c r="N7" s="3056"/>
      <c r="O7" s="3055" t="str">
        <f t="shared" ref="O7:O14" si="3">IF($N$5="成新度","——",ROUND(M7*N7,0))</f>
        <v>——</v>
      </c>
      <c r="P7" s="3057" t="str">
        <f t="shared" ref="P7:P14" si="4">IF($N$5="成新度","——",M7-O7)</f>
        <v>——</v>
      </c>
      <c r="Q7" s="3073"/>
      <c r="R7" s="3074">
        <f ca="1">SUMIF('数据-汇总表'!C$19:C$33,A7,'数据-汇总表'!R$19:R$27)</f>
        <v>0</v>
      </c>
      <c r="S7" s="3075">
        <f>IF('数据-汇总表'!$I$17="按面积比例",SUMIF('数据-汇总表'!C$19:C$33,A7,'数据-汇总表'!K$19:K$33),SUMIF('数据-汇总表'!C$19:C$33,A7,'数据-汇总表'!N$19:N$33))</f>
        <v>0</v>
      </c>
      <c r="T7" s="3076">
        <f t="shared" ref="T7:T13" si="5">ROUND($L$14*S7/10000,0)</f>
        <v>0</v>
      </c>
      <c r="U7" s="3077"/>
      <c r="V7" s="3078"/>
      <c r="W7" s="3078"/>
      <c r="X7" s="3079"/>
      <c r="Y7" s="3098"/>
      <c r="Z7" s="3099"/>
      <c r="AA7" s="2966"/>
      <c r="AB7" s="2966"/>
      <c r="AC7" s="3079"/>
      <c r="AD7" s="3100"/>
      <c r="AE7" s="3101">
        <f ca="1" t="shared" ref="AE7:AE13" si="6">IF(AN7="",0,SUMIF(INDIRECT("'"&amp;AN7&amp;"'"&amp;"!E:E"),$AE$5,INDIRECT("'"&amp;AN7&amp;"'"&amp;"!F:F")))</f>
        <v>0</v>
      </c>
      <c r="AF7" s="2512"/>
      <c r="AG7" s="2030">
        <f ca="1" t="shared" ref="AG7:AG13" si="7">IF(AF7="",0,AE7-AF7)</f>
        <v>0</v>
      </c>
      <c r="AH7" s="3110"/>
      <c r="AI7" s="3111"/>
      <c r="AJ7" s="3112"/>
      <c r="AK7" s="3113"/>
      <c r="AL7" s="3114"/>
      <c r="AM7" s="3115"/>
      <c r="AN7" s="3116"/>
      <c r="AO7" s="855" t="e">
        <f ca="1" t="shared" ref="AO7:AO13" si="8">SUMIF(INDIRECT("'"&amp;AN7&amp;"'"&amp;"!A:A"),"总价",INDIRECT("'"&amp;AN7&amp;"'"&amp;"!B:B"))</f>
        <v>#REF!</v>
      </c>
      <c r="AP7" s="3130">
        <f t="shared" ref="AP7:AP13" si="9">IF(C7="住宅",K7*L7,0)</f>
        <v>0</v>
      </c>
      <c r="AQ7" s="855">
        <f t="shared" ref="AQ7:AQ13" si="10">ROUND($L$14*$N$14*S7/10000,0)</f>
        <v>0</v>
      </c>
      <c r="AR7" s="855">
        <f t="shared" ref="AR7:AR13" si="11">ROUND($L$14*(1-$N$14)*S7/10000,0)</f>
        <v>0</v>
      </c>
      <c r="AS7" s="2862"/>
      <c r="AT7" s="2862"/>
      <c r="AU7" s="2862"/>
      <c r="AV7" s="2862"/>
      <c r="AW7" s="2862"/>
      <c r="AX7" s="2862"/>
      <c r="AY7" s="2862"/>
      <c r="AZ7" s="2862"/>
      <c r="BA7" s="2862"/>
      <c r="BB7" s="2862"/>
      <c r="BC7" s="2862"/>
      <c r="BD7" s="2862"/>
      <c r="BE7" s="2862"/>
      <c r="BF7" s="2862"/>
      <c r="BG7" s="2862"/>
      <c r="BH7" s="2862"/>
      <c r="BI7" s="2862"/>
      <c r="BJ7" s="2862"/>
      <c r="BK7" s="2862"/>
      <c r="BL7" s="2862"/>
      <c r="BM7" s="2862"/>
      <c r="BN7" s="2862"/>
      <c r="BO7" s="2862"/>
    </row>
    <row r="8" s="2933" customFormat="1" ht="14" spans="1:67">
      <c r="A8" s="2958">
        <f>'数据-汇总表'!C21</f>
        <v>0</v>
      </c>
      <c r="B8" s="2959" t="str">
        <f t="shared" si="1"/>
        <v/>
      </c>
      <c r="C8" s="2960"/>
      <c r="D8" s="2961">
        <f>SUMIF(项目基本情况!C$12:I$12,C8,项目基本情况!C$14:I$14)</f>
        <v>0</v>
      </c>
      <c r="E8" s="2962" t="str">
        <f>IF(B8="","",SUMIF(项目基本情况!C$12:I$12,C8,项目基本情况!C$13:I$13))</f>
        <v/>
      </c>
      <c r="F8" s="2963">
        <f>SUMIF(项目基本情况!C$12:I$12,C8,项目基本情况!C$15:I$15)</f>
        <v>0</v>
      </c>
      <c r="G8" s="2964">
        <f t="shared" si="2"/>
        <v>0</v>
      </c>
      <c r="H8" s="2965"/>
      <c r="I8" s="2965"/>
      <c r="J8" s="2966"/>
      <c r="K8" s="3053">
        <f>SUMIF('数据-汇总表'!C$19:C$33,A8,'数据-汇总表'!E$19:E$33)</f>
        <v>0</v>
      </c>
      <c r="L8" s="3054"/>
      <c r="M8" s="3055">
        <f t="shared" si="0"/>
        <v>0</v>
      </c>
      <c r="N8" s="3056"/>
      <c r="O8" s="3055" t="str">
        <f t="shared" si="3"/>
        <v>——</v>
      </c>
      <c r="P8" s="3057" t="str">
        <f t="shared" si="4"/>
        <v>——</v>
      </c>
      <c r="Q8" s="3073"/>
      <c r="R8" s="3074">
        <f ca="1">SUMIF('数据-汇总表'!C$19:C$33,A8,'数据-汇总表'!R$19:R$27)</f>
        <v>0</v>
      </c>
      <c r="S8" s="3075">
        <f>IF('数据-汇总表'!$I$17="按面积比例",SUMIF('数据-汇总表'!C$19:C$33,A8,'数据-汇总表'!K$19:K$33),SUMIF('数据-汇总表'!C$19:C$33,A8,'数据-汇总表'!N$19:N$33))</f>
        <v>0</v>
      </c>
      <c r="T8" s="3076">
        <f t="shared" si="5"/>
        <v>0</v>
      </c>
      <c r="U8" s="3080"/>
      <c r="V8" s="3081"/>
      <c r="W8" s="3081"/>
      <c r="X8" s="3079"/>
      <c r="Y8" s="3098"/>
      <c r="Z8" s="3099"/>
      <c r="AA8" s="2966"/>
      <c r="AB8" s="2966"/>
      <c r="AC8" s="3079"/>
      <c r="AD8" s="3100"/>
      <c r="AE8" s="3101">
        <f ca="1" t="shared" si="6"/>
        <v>0</v>
      </c>
      <c r="AF8" s="2512"/>
      <c r="AG8" s="2030">
        <f ca="1" t="shared" si="7"/>
        <v>0</v>
      </c>
      <c r="AH8" s="3117"/>
      <c r="AI8" s="3111"/>
      <c r="AJ8" s="3112"/>
      <c r="AK8" s="3118"/>
      <c r="AL8" s="3119"/>
      <c r="AM8" s="3120"/>
      <c r="AN8" s="3116"/>
      <c r="AO8" s="855" t="e">
        <f ca="1" t="shared" si="8"/>
        <v>#REF!</v>
      </c>
      <c r="AP8" s="3130">
        <f t="shared" si="9"/>
        <v>0</v>
      </c>
      <c r="AQ8" s="855">
        <f t="shared" si="10"/>
        <v>0</v>
      </c>
      <c r="AR8" s="855">
        <f t="shared" si="11"/>
        <v>0</v>
      </c>
      <c r="AS8" s="2862"/>
      <c r="AT8" s="2862"/>
      <c r="AU8" s="2862"/>
      <c r="AV8" s="2862"/>
      <c r="AW8" s="2862"/>
      <c r="AX8" s="2862"/>
      <c r="AY8" s="2862"/>
      <c r="AZ8" s="2862"/>
      <c r="BA8" s="2862"/>
      <c r="BB8" s="2862"/>
      <c r="BC8" s="2862"/>
      <c r="BD8" s="2862"/>
      <c r="BE8" s="2862"/>
      <c r="BF8" s="2862"/>
      <c r="BG8" s="2862"/>
      <c r="BH8" s="2862"/>
      <c r="BI8" s="2862"/>
      <c r="BJ8" s="2862"/>
      <c r="BK8" s="2862"/>
      <c r="BL8" s="2862"/>
      <c r="BM8" s="2862"/>
      <c r="BN8" s="2862"/>
      <c r="BO8" s="2862"/>
    </row>
    <row r="9" s="2933" customFormat="1" ht="14" spans="1:67">
      <c r="A9" s="2958">
        <f>'数据-汇总表'!C22</f>
        <v>0</v>
      </c>
      <c r="B9" s="2959" t="str">
        <f t="shared" si="1"/>
        <v/>
      </c>
      <c r="C9" s="2960"/>
      <c r="D9" s="2961">
        <f>SUMIF(项目基本情况!C$12:I$12,C9,项目基本情况!C$14:I$14)</f>
        <v>0</v>
      </c>
      <c r="E9" s="2962" t="str">
        <f>IF(B9="","",SUMIF(项目基本情况!C$12:I$12,C9,项目基本情况!C$13:I$13))</f>
        <v/>
      </c>
      <c r="F9" s="2963">
        <f>SUMIF(项目基本情况!C$12:I$12,C9,项目基本情况!C$15:I$15)</f>
        <v>0</v>
      </c>
      <c r="G9" s="2964">
        <f t="shared" si="2"/>
        <v>0</v>
      </c>
      <c r="H9" s="2966"/>
      <c r="I9" s="2966"/>
      <c r="J9" s="2966"/>
      <c r="K9" s="3053">
        <f>SUMIF('数据-汇总表'!C$19:C$33,A9,'数据-汇总表'!E$19:E$33)</f>
        <v>0</v>
      </c>
      <c r="L9" s="3054"/>
      <c r="M9" s="3055">
        <f t="shared" si="0"/>
        <v>0</v>
      </c>
      <c r="N9" s="3056"/>
      <c r="O9" s="3055" t="str">
        <f t="shared" si="3"/>
        <v>——</v>
      </c>
      <c r="P9" s="3057" t="str">
        <f t="shared" si="4"/>
        <v>——</v>
      </c>
      <c r="Q9" s="3082"/>
      <c r="R9" s="3074">
        <f ca="1">SUMIF('数据-汇总表'!C$19:C$33,A9,'数据-汇总表'!R$19:R$27)</f>
        <v>0</v>
      </c>
      <c r="S9" s="3075">
        <f>IF('数据-汇总表'!$I$17="按面积比例",SUMIF('数据-汇总表'!C$19:C$33,A9,'数据-汇总表'!K$19:K$33),SUMIF('数据-汇总表'!C$19:C$33,A9,'数据-汇总表'!N$19:N$33))</f>
        <v>0</v>
      </c>
      <c r="T9" s="3076">
        <f t="shared" si="5"/>
        <v>0</v>
      </c>
      <c r="U9" s="3077"/>
      <c r="V9" s="3078"/>
      <c r="W9" s="3078"/>
      <c r="X9" s="3079"/>
      <c r="Y9" s="3098"/>
      <c r="Z9" s="3099"/>
      <c r="AA9" s="2966"/>
      <c r="AB9" s="2966"/>
      <c r="AC9" s="3079"/>
      <c r="AD9" s="3100"/>
      <c r="AE9" s="3101">
        <f ca="1" t="shared" si="6"/>
        <v>0</v>
      </c>
      <c r="AF9" s="2512"/>
      <c r="AG9" s="2030">
        <f ca="1" t="shared" si="7"/>
        <v>0</v>
      </c>
      <c r="AH9" s="3110"/>
      <c r="AI9" s="3111"/>
      <c r="AJ9" s="3112"/>
      <c r="AK9" s="3113"/>
      <c r="AL9" s="3114"/>
      <c r="AM9" s="3115"/>
      <c r="AN9" s="3116"/>
      <c r="AO9" s="855" t="e">
        <f ca="1" t="shared" si="8"/>
        <v>#REF!</v>
      </c>
      <c r="AP9" s="3130">
        <f t="shared" si="9"/>
        <v>0</v>
      </c>
      <c r="AQ9" s="855">
        <f t="shared" si="10"/>
        <v>0</v>
      </c>
      <c r="AR9" s="855">
        <f t="shared" si="11"/>
        <v>0</v>
      </c>
      <c r="AS9" s="2862"/>
      <c r="AT9" s="2862"/>
      <c r="AU9" s="2862"/>
      <c r="AV9" s="2862"/>
      <c r="AW9" s="2862"/>
      <c r="AX9" s="2862"/>
      <c r="AY9" s="2862"/>
      <c r="AZ9" s="2862"/>
      <c r="BA9" s="2862"/>
      <c r="BB9" s="2862"/>
      <c r="BC9" s="2862"/>
      <c r="BD9" s="2862"/>
      <c r="BE9" s="2862"/>
      <c r="BF9" s="2862"/>
      <c r="BG9" s="2862"/>
      <c r="BH9" s="2862"/>
      <c r="BI9" s="2862"/>
      <c r="BJ9" s="2862"/>
      <c r="BK9" s="2862"/>
      <c r="BL9" s="2862"/>
      <c r="BM9" s="2862"/>
      <c r="BN9" s="2862"/>
      <c r="BO9" s="2862"/>
    </row>
    <row r="10" s="2933" customFormat="1" ht="14" spans="1:67">
      <c r="A10" s="2958">
        <f>'数据-汇总表'!C23</f>
        <v>0</v>
      </c>
      <c r="B10" s="2959" t="str">
        <f t="shared" si="1"/>
        <v/>
      </c>
      <c r="C10" s="2960"/>
      <c r="D10" s="2961">
        <f>SUMIF(项目基本情况!C$12:I$12,C10,项目基本情况!C$14:I$14)</f>
        <v>0</v>
      </c>
      <c r="E10" s="2962" t="str">
        <f>IF(B10="","",SUMIF(项目基本情况!C$12:I$12,C10,项目基本情况!C$13:I$13))</f>
        <v/>
      </c>
      <c r="F10" s="2963">
        <f>SUMIF(项目基本情况!C$12:I$12,C10,项目基本情况!C$15:I$15)</f>
        <v>0</v>
      </c>
      <c r="G10" s="2964">
        <f t="shared" si="2"/>
        <v>0</v>
      </c>
      <c r="H10" s="2966"/>
      <c r="I10" s="2966"/>
      <c r="J10" s="2966"/>
      <c r="K10" s="3053">
        <f>SUMIF('数据-汇总表'!C$19:C$33,A10,'数据-汇总表'!E$19:E$33)</f>
        <v>0</v>
      </c>
      <c r="L10" s="3054"/>
      <c r="M10" s="3055">
        <f t="shared" si="0"/>
        <v>0</v>
      </c>
      <c r="N10" s="3056"/>
      <c r="O10" s="3055" t="str">
        <f t="shared" si="3"/>
        <v>——</v>
      </c>
      <c r="P10" s="3057" t="str">
        <f t="shared" si="4"/>
        <v>——</v>
      </c>
      <c r="Q10" s="3082"/>
      <c r="R10" s="3074">
        <f ca="1">SUMIF('数据-汇总表'!C$19:C$33,A10,'数据-汇总表'!R$19:R$27)</f>
        <v>0</v>
      </c>
      <c r="S10" s="3075">
        <f>IF('数据-汇总表'!$I$17="按面积比例",SUMIF('数据-汇总表'!C$19:C$33,A10,'数据-汇总表'!K$19:K$33),SUMIF('数据-汇总表'!C$19:C$33,A10,'数据-汇总表'!N$19:N$33))</f>
        <v>0</v>
      </c>
      <c r="T10" s="3076">
        <f t="shared" si="5"/>
        <v>0</v>
      </c>
      <c r="U10" s="3077"/>
      <c r="V10" s="3078"/>
      <c r="W10" s="3078"/>
      <c r="X10" s="3079"/>
      <c r="Y10" s="3098"/>
      <c r="Z10" s="3099"/>
      <c r="AA10" s="2966"/>
      <c r="AB10" s="2966"/>
      <c r="AC10" s="3079"/>
      <c r="AD10" s="3100"/>
      <c r="AE10" s="3101">
        <f ca="1" t="shared" si="6"/>
        <v>0</v>
      </c>
      <c r="AF10" s="2512"/>
      <c r="AG10" s="2030">
        <f ca="1" t="shared" si="7"/>
        <v>0</v>
      </c>
      <c r="AH10" s="3110"/>
      <c r="AI10" s="3111"/>
      <c r="AJ10" s="3112"/>
      <c r="AK10" s="3113"/>
      <c r="AL10" s="3114"/>
      <c r="AM10" s="3115"/>
      <c r="AN10" s="3116"/>
      <c r="AO10" s="855" t="e">
        <f ca="1" t="shared" si="8"/>
        <v>#REF!</v>
      </c>
      <c r="AP10" s="3130">
        <f t="shared" si="9"/>
        <v>0</v>
      </c>
      <c r="AQ10" s="855">
        <f t="shared" si="10"/>
        <v>0</v>
      </c>
      <c r="AR10" s="855">
        <f t="shared" si="11"/>
        <v>0</v>
      </c>
      <c r="AS10" s="2862"/>
      <c r="AT10" s="2862"/>
      <c r="AU10" s="2862"/>
      <c r="AV10" s="2862"/>
      <c r="AW10" s="2862"/>
      <c r="AX10" s="2862"/>
      <c r="AY10" s="2862"/>
      <c r="AZ10" s="2862"/>
      <c r="BA10" s="2862"/>
      <c r="BB10" s="2862"/>
      <c r="BC10" s="2862"/>
      <c r="BD10" s="2862"/>
      <c r="BE10" s="2862"/>
      <c r="BF10" s="2862"/>
      <c r="BG10" s="2862"/>
      <c r="BH10" s="2862"/>
      <c r="BI10" s="2862"/>
      <c r="BJ10" s="2862"/>
      <c r="BK10" s="2862"/>
      <c r="BL10" s="2862"/>
      <c r="BM10" s="2862"/>
      <c r="BN10" s="2862"/>
      <c r="BO10" s="2862"/>
    </row>
    <row r="11" s="2933" customFormat="1" ht="14" spans="1:67">
      <c r="A11" s="2958">
        <f>'数据-汇总表'!C24</f>
        <v>0</v>
      </c>
      <c r="B11" s="2959" t="str">
        <f t="shared" si="1"/>
        <v/>
      </c>
      <c r="C11" s="2960"/>
      <c r="D11" s="2961">
        <f>SUMIF(项目基本情况!C$12:I$12,C11,项目基本情况!C$14:I$14)</f>
        <v>0</v>
      </c>
      <c r="E11" s="2962" t="str">
        <f>IF(B11="","",SUMIF(项目基本情况!C$12:I$12,C11,项目基本情况!C$13:I$13))</f>
        <v/>
      </c>
      <c r="F11" s="2963">
        <f>SUMIF(项目基本情况!C$12:I$12,C11,项目基本情况!C$15:I$15)</f>
        <v>0</v>
      </c>
      <c r="G11" s="2964">
        <f t="shared" si="2"/>
        <v>0</v>
      </c>
      <c r="H11" s="2966"/>
      <c r="I11" s="2966"/>
      <c r="J11" s="2966"/>
      <c r="K11" s="3053">
        <f>SUMIF('数据-汇总表'!C$19:C$33,A11,'数据-汇总表'!E$19:E$33)</f>
        <v>0</v>
      </c>
      <c r="L11" s="3058"/>
      <c r="M11" s="3055">
        <f t="shared" si="0"/>
        <v>0</v>
      </c>
      <c r="N11" s="3056"/>
      <c r="O11" s="3055" t="str">
        <f t="shared" si="3"/>
        <v>——</v>
      </c>
      <c r="P11" s="3057" t="str">
        <f t="shared" si="4"/>
        <v>——</v>
      </c>
      <c r="Q11" s="3082"/>
      <c r="R11" s="3074">
        <f ca="1">SUMIF('数据-汇总表'!C$19:C$33,A11,'数据-汇总表'!R$19:R$27)</f>
        <v>0</v>
      </c>
      <c r="S11" s="3075">
        <f>IF('数据-汇总表'!$I$17="按面积比例",SUMIF('数据-汇总表'!C$19:C$33,A11,'数据-汇总表'!K$19:K$33),SUMIF('数据-汇总表'!C$19:C$33,A11,'数据-汇总表'!N$19:N$33))</f>
        <v>0</v>
      </c>
      <c r="T11" s="3076">
        <f t="shared" si="5"/>
        <v>0</v>
      </c>
      <c r="U11" s="3077"/>
      <c r="V11" s="2966"/>
      <c r="W11" s="2966"/>
      <c r="X11" s="3079"/>
      <c r="Y11" s="3098"/>
      <c r="Z11" s="3102"/>
      <c r="AA11" s="2966"/>
      <c r="AB11" s="2966"/>
      <c r="AC11" s="3079"/>
      <c r="AD11" s="3100"/>
      <c r="AE11" s="3101">
        <f ca="1" t="shared" si="6"/>
        <v>0</v>
      </c>
      <c r="AF11" s="2512"/>
      <c r="AG11" s="2030">
        <f ca="1" t="shared" si="7"/>
        <v>0</v>
      </c>
      <c r="AH11" s="3110"/>
      <c r="AI11" s="3111"/>
      <c r="AJ11" s="3112"/>
      <c r="AK11" s="3121"/>
      <c r="AL11" s="3122"/>
      <c r="AM11" s="3123"/>
      <c r="AN11" s="3116"/>
      <c r="AO11" s="855" t="e">
        <f ca="1" t="shared" si="8"/>
        <v>#REF!</v>
      </c>
      <c r="AP11" s="3130">
        <f t="shared" si="9"/>
        <v>0</v>
      </c>
      <c r="AQ11" s="855">
        <f t="shared" si="10"/>
        <v>0</v>
      </c>
      <c r="AR11" s="855">
        <f t="shared" si="11"/>
        <v>0</v>
      </c>
      <c r="AS11" s="2862"/>
      <c r="AT11" s="2862"/>
      <c r="AU11" s="2862"/>
      <c r="AV11" s="2862"/>
      <c r="AW11" s="2862"/>
      <c r="AX11" s="2862"/>
      <c r="AY11" s="2862"/>
      <c r="AZ11" s="2862"/>
      <c r="BA11" s="2862"/>
      <c r="BB11" s="2862"/>
      <c r="BC11" s="2862"/>
      <c r="BD11" s="2862"/>
      <c r="BE11" s="2862"/>
      <c r="BF11" s="2862"/>
      <c r="BG11" s="2862"/>
      <c r="BH11" s="2862"/>
      <c r="BI11" s="2862"/>
      <c r="BJ11" s="2862"/>
      <c r="BK11" s="2862"/>
      <c r="BL11" s="2862"/>
      <c r="BM11" s="2862"/>
      <c r="BN11" s="2862"/>
      <c r="BO11" s="2862"/>
    </row>
    <row r="12" s="2933" customFormat="1" ht="14" spans="1:67">
      <c r="A12" s="2958">
        <f>'数据-汇总表'!C25</f>
        <v>0</v>
      </c>
      <c r="B12" s="2959" t="str">
        <f t="shared" si="1"/>
        <v/>
      </c>
      <c r="C12" s="2960"/>
      <c r="D12" s="2961">
        <f>SUMIF(项目基本情况!C$12:I$12,C12,项目基本情况!C$14:I$14)</f>
        <v>0</v>
      </c>
      <c r="E12" s="2962" t="str">
        <f>IF(B12="","",SUMIF(项目基本情况!C$12:I$12,C12,项目基本情况!C$13:I$13))</f>
        <v/>
      </c>
      <c r="F12" s="2963">
        <f>SUMIF(项目基本情况!C$12:I$12,C12,项目基本情况!C$15:I$15)</f>
        <v>0</v>
      </c>
      <c r="G12" s="2964">
        <f t="shared" si="2"/>
        <v>0</v>
      </c>
      <c r="H12" s="2966"/>
      <c r="I12" s="2966"/>
      <c r="J12" s="2966"/>
      <c r="K12" s="3053">
        <f>SUMIF('数据-汇总表'!C$19:C$33,A12,'数据-汇总表'!E$19:E$33)</f>
        <v>0</v>
      </c>
      <c r="L12" s="3058"/>
      <c r="M12" s="3055">
        <f t="shared" si="0"/>
        <v>0</v>
      </c>
      <c r="N12" s="3056"/>
      <c r="O12" s="3055" t="str">
        <f t="shared" si="3"/>
        <v>——</v>
      </c>
      <c r="P12" s="3057" t="str">
        <f t="shared" si="4"/>
        <v>——</v>
      </c>
      <c r="Q12" s="3082"/>
      <c r="R12" s="3074">
        <f ca="1">SUMIF('数据-汇总表'!C$19:C$33,A12,'数据-汇总表'!R$19:R$27)</f>
        <v>0</v>
      </c>
      <c r="S12" s="3075">
        <f>IF('数据-汇总表'!$I$17="按面积比例",SUMIF('数据-汇总表'!C$19:C$33,A12,'数据-汇总表'!K$19:K$33),SUMIF('数据-汇总表'!C$19:C$33,A12,'数据-汇总表'!N$19:N$33))</f>
        <v>0</v>
      </c>
      <c r="T12" s="3076">
        <f t="shared" si="5"/>
        <v>0</v>
      </c>
      <c r="U12" s="3077"/>
      <c r="V12" s="2966"/>
      <c r="W12" s="2966"/>
      <c r="X12" s="3079"/>
      <c r="Y12" s="3098"/>
      <c r="Z12" s="3102"/>
      <c r="AA12" s="2966"/>
      <c r="AB12" s="2966"/>
      <c r="AC12" s="3079"/>
      <c r="AD12" s="3100"/>
      <c r="AE12" s="3101">
        <f ca="1" t="shared" si="6"/>
        <v>0</v>
      </c>
      <c r="AF12" s="2512"/>
      <c r="AG12" s="2030">
        <f ca="1" t="shared" si="7"/>
        <v>0</v>
      </c>
      <c r="AH12" s="3110"/>
      <c r="AI12" s="3111"/>
      <c r="AJ12" s="3112"/>
      <c r="AK12" s="3121"/>
      <c r="AL12" s="3122"/>
      <c r="AM12" s="3123"/>
      <c r="AN12" s="3116"/>
      <c r="AO12" s="855" t="e">
        <f ca="1" t="shared" si="8"/>
        <v>#REF!</v>
      </c>
      <c r="AP12" s="3130">
        <f t="shared" si="9"/>
        <v>0</v>
      </c>
      <c r="AQ12" s="855">
        <f t="shared" si="10"/>
        <v>0</v>
      </c>
      <c r="AR12" s="855">
        <f t="shared" si="11"/>
        <v>0</v>
      </c>
      <c r="AS12" s="2862"/>
      <c r="AT12" s="2862"/>
      <c r="AU12" s="2862"/>
      <c r="AV12" s="2862"/>
      <c r="AW12" s="2862"/>
      <c r="AX12" s="2862"/>
      <c r="AY12" s="2862"/>
      <c r="AZ12" s="2862"/>
      <c r="BA12" s="2862"/>
      <c r="BB12" s="2862"/>
      <c r="BC12" s="2862"/>
      <c r="BD12" s="2862"/>
      <c r="BE12" s="2862"/>
      <c r="BF12" s="2862"/>
      <c r="BG12" s="2862"/>
      <c r="BH12" s="2862"/>
      <c r="BI12" s="2862"/>
      <c r="BJ12" s="2862"/>
      <c r="BK12" s="2862"/>
      <c r="BL12" s="2862"/>
      <c r="BM12" s="2862"/>
      <c r="BN12" s="2862"/>
      <c r="BO12" s="2862"/>
    </row>
    <row r="13" s="2933" customFormat="1" ht="14" spans="1:67">
      <c r="A13" s="2958">
        <f>'数据-汇总表'!C26</f>
        <v>0</v>
      </c>
      <c r="B13" s="2959" t="str">
        <f t="shared" si="1"/>
        <v/>
      </c>
      <c r="C13" s="2960"/>
      <c r="D13" s="2961">
        <f>SUMIF(项目基本情况!C$12:I$12,C13,项目基本情况!C$14:I$14)</f>
        <v>0</v>
      </c>
      <c r="E13" s="2962" t="str">
        <f>IF(B13="","",SUMIF(项目基本情况!C$12:I$12,C13,项目基本情况!C$13:I$13))</f>
        <v/>
      </c>
      <c r="F13" s="2963">
        <f>SUMIF(项目基本情况!C$12:I$12,C13,项目基本情况!C$15:I$15)</f>
        <v>0</v>
      </c>
      <c r="G13" s="2964">
        <f t="shared" si="2"/>
        <v>0</v>
      </c>
      <c r="H13" s="2966"/>
      <c r="I13" s="2966"/>
      <c r="J13" s="2966"/>
      <c r="K13" s="3053">
        <f>SUMIF('数据-汇总表'!C$19:C$33,A13,'数据-汇总表'!E$19:E$33)</f>
        <v>0</v>
      </c>
      <c r="L13" s="3058"/>
      <c r="M13" s="3055">
        <f t="shared" si="0"/>
        <v>0</v>
      </c>
      <c r="N13" s="3059"/>
      <c r="O13" s="3055" t="str">
        <f t="shared" si="3"/>
        <v>——</v>
      </c>
      <c r="P13" s="3057" t="str">
        <f t="shared" si="4"/>
        <v>——</v>
      </c>
      <c r="Q13" s="3082"/>
      <c r="R13" s="3074">
        <f ca="1">SUMIF('数据-汇总表'!C$19:C$33,A13,'数据-汇总表'!R$19:R$27)</f>
        <v>0</v>
      </c>
      <c r="S13" s="3075">
        <f>IF('数据-汇总表'!$I$17="按面积比例",SUMIF('数据-汇总表'!C$19:C$33,A13,'数据-汇总表'!K$19:K$33),SUMIF('数据-汇总表'!C$19:C$33,A13,'数据-汇总表'!N$19:N$33))</f>
        <v>0</v>
      </c>
      <c r="T13" s="3076">
        <f t="shared" si="5"/>
        <v>0</v>
      </c>
      <c r="U13" s="3083"/>
      <c r="V13" s="3078"/>
      <c r="W13" s="3078"/>
      <c r="X13" s="3079"/>
      <c r="Y13" s="3098"/>
      <c r="Z13" s="3099"/>
      <c r="AA13" s="2966"/>
      <c r="AB13" s="2966"/>
      <c r="AC13" s="3079"/>
      <c r="AD13" s="3100"/>
      <c r="AE13" s="3101">
        <f ca="1" t="shared" si="6"/>
        <v>0</v>
      </c>
      <c r="AF13" s="2512"/>
      <c r="AG13" s="2030">
        <f ca="1" t="shared" si="7"/>
        <v>0</v>
      </c>
      <c r="AH13" s="3110"/>
      <c r="AI13" s="3111"/>
      <c r="AJ13" s="3112"/>
      <c r="AK13" s="3113"/>
      <c r="AL13" s="3114"/>
      <c r="AM13" s="3115"/>
      <c r="AN13" s="3116"/>
      <c r="AO13" s="855" t="e">
        <f ca="1" t="shared" si="8"/>
        <v>#REF!</v>
      </c>
      <c r="AP13" s="3130">
        <f t="shared" si="9"/>
        <v>0</v>
      </c>
      <c r="AQ13" s="855">
        <f t="shared" si="10"/>
        <v>0</v>
      </c>
      <c r="AR13" s="855">
        <f t="shared" si="11"/>
        <v>0</v>
      </c>
      <c r="AS13" s="2862"/>
      <c r="AT13" s="2862"/>
      <c r="AU13" s="2862"/>
      <c r="AV13" s="2862"/>
      <c r="AW13" s="2862"/>
      <c r="AX13" s="2862"/>
      <c r="AY13" s="2862"/>
      <c r="AZ13" s="2862"/>
      <c r="BA13" s="2862"/>
      <c r="BB13" s="2862"/>
      <c r="BC13" s="2862"/>
      <c r="BD13" s="2862"/>
      <c r="BE13" s="2862"/>
      <c r="BF13" s="2862"/>
      <c r="BG13" s="2862"/>
      <c r="BH13" s="2862"/>
      <c r="BI13" s="2862"/>
      <c r="BJ13" s="2862"/>
      <c r="BK13" s="2862"/>
      <c r="BL13" s="2862"/>
      <c r="BM13" s="2862"/>
      <c r="BN13" s="2862"/>
      <c r="BO13" s="2862"/>
    </row>
    <row r="14" s="2933" customFormat="1" ht="14" spans="1:67">
      <c r="A14" s="2967" t="s">
        <v>604</v>
      </c>
      <c r="B14" s="2959" t="s">
        <v>603</v>
      </c>
      <c r="C14" s="2968" t="s">
        <v>604</v>
      </c>
      <c r="D14" s="2961"/>
      <c r="E14" s="2962"/>
      <c r="F14" s="2963"/>
      <c r="G14" s="2964"/>
      <c r="H14" s="2969"/>
      <c r="I14" s="2969"/>
      <c r="J14" s="2969"/>
      <c r="K14" s="3053">
        <f>SUMIF('数据-汇总表'!C$19:C$33,A14,'数据-汇总表'!E$19:E$33)</f>
        <v>0</v>
      </c>
      <c r="L14" s="3058"/>
      <c r="M14" s="3055">
        <f t="shared" si="0"/>
        <v>0</v>
      </c>
      <c r="N14" s="3059"/>
      <c r="O14" s="3055" t="str">
        <f t="shared" si="3"/>
        <v>——</v>
      </c>
      <c r="P14" s="3057" t="str">
        <f t="shared" si="4"/>
        <v>——</v>
      </c>
      <c r="Q14" s="3084"/>
      <c r="R14" s="3074"/>
      <c r="S14" s="3075"/>
      <c r="T14" s="3076"/>
      <c r="U14" s="3085"/>
      <c r="V14" s="3086"/>
      <c r="W14" s="3086"/>
      <c r="X14" s="3087"/>
      <c r="Y14" s="3103"/>
      <c r="Z14" s="3104"/>
      <c r="AA14" s="3105"/>
      <c r="AB14" s="3105"/>
      <c r="AC14" s="3079"/>
      <c r="AD14" s="3087"/>
      <c r="AE14" s="3101"/>
      <c r="AF14" s="855"/>
      <c r="AG14" s="2030"/>
      <c r="AH14" s="3101"/>
      <c r="AI14" s="829"/>
      <c r="AJ14" s="853"/>
      <c r="AK14" s="3124"/>
      <c r="AL14" s="3125"/>
      <c r="AM14" s="3126"/>
      <c r="AN14" s="2395"/>
      <c r="AO14" s="2979"/>
      <c r="AP14" s="2979"/>
      <c r="AQ14" s="2979"/>
      <c r="AR14" s="2979"/>
      <c r="AS14" s="2862"/>
      <c r="AT14" s="2862"/>
      <c r="AU14" s="2862"/>
      <c r="AV14" s="2862"/>
      <c r="AW14" s="2862"/>
      <c r="AX14" s="2862"/>
      <c r="AY14" s="2862"/>
      <c r="AZ14" s="2862"/>
      <c r="BA14" s="2862"/>
      <c r="BB14" s="2862"/>
      <c r="BC14" s="2862"/>
      <c r="BD14" s="2862"/>
      <c r="BE14" s="2862"/>
      <c r="BF14" s="2862"/>
      <c r="BG14" s="2862"/>
      <c r="BH14" s="2862"/>
      <c r="BI14" s="2862"/>
      <c r="BJ14" s="2862"/>
      <c r="BK14" s="2862"/>
      <c r="BL14" s="2862"/>
      <c r="BM14" s="2862"/>
      <c r="BN14" s="2862"/>
      <c r="BO14" s="2862"/>
    </row>
    <row r="15" s="2933" customFormat="1" ht="28" spans="1:67">
      <c r="A15" s="2967" t="s">
        <v>605</v>
      </c>
      <c r="B15" s="2959" t="s">
        <v>603</v>
      </c>
      <c r="C15" s="2968" t="s">
        <v>652</v>
      </c>
      <c r="D15" s="2961"/>
      <c r="E15" s="2962"/>
      <c r="F15" s="2963"/>
      <c r="G15" s="2964"/>
      <c r="H15" s="2969"/>
      <c r="I15" s="2969"/>
      <c r="J15" s="2969"/>
      <c r="K15" s="3053">
        <f>SUMIF('数据-汇总表'!C$19:C$33,A15,'数据-汇总表'!E$19:E$33)</f>
        <v>0</v>
      </c>
      <c r="L15" s="3060"/>
      <c r="M15" s="3055"/>
      <c r="N15" s="3061"/>
      <c r="O15" s="3055"/>
      <c r="P15" s="3057"/>
      <c r="Q15" s="3084"/>
      <c r="R15" s="3074"/>
      <c r="S15" s="3075"/>
      <c r="T15" s="3076"/>
      <c r="U15" s="3085"/>
      <c r="V15" s="3086"/>
      <c r="W15" s="3086"/>
      <c r="X15" s="3087"/>
      <c r="Y15" s="3103"/>
      <c r="Z15" s="3104"/>
      <c r="AA15" s="3105"/>
      <c r="AB15" s="3105"/>
      <c r="AC15" s="3079"/>
      <c r="AD15" s="3087"/>
      <c r="AE15" s="3101"/>
      <c r="AF15" s="855"/>
      <c r="AG15" s="2030"/>
      <c r="AH15" s="3101"/>
      <c r="AI15" s="829"/>
      <c r="AJ15" s="853"/>
      <c r="AK15" s="3124"/>
      <c r="AL15" s="3125"/>
      <c r="AM15" s="3126"/>
      <c r="AN15" s="2395"/>
      <c r="AO15" s="2979"/>
      <c r="AP15" s="2979"/>
      <c r="AQ15" s="2979"/>
      <c r="AR15" s="2979"/>
      <c r="AS15" s="2862"/>
      <c r="AT15" s="2862"/>
      <c r="AU15" s="2862"/>
      <c r="AV15" s="2862"/>
      <c r="AW15" s="2862"/>
      <c r="AX15" s="2862"/>
      <c r="AY15" s="2862"/>
      <c r="AZ15" s="2862"/>
      <c r="BA15" s="2862"/>
      <c r="BB15" s="2862"/>
      <c r="BC15" s="2862"/>
      <c r="BD15" s="2862"/>
      <c r="BE15" s="2862"/>
      <c r="BF15" s="2862"/>
      <c r="BG15" s="2862"/>
      <c r="BH15" s="2862"/>
      <c r="BI15" s="2862"/>
      <c r="BJ15" s="2862"/>
      <c r="BK15" s="2862"/>
      <c r="BL15" s="2862"/>
      <c r="BM15" s="2862"/>
      <c r="BN15" s="2862"/>
      <c r="BO15" s="2862"/>
    </row>
    <row r="16" s="2933" customFormat="1" ht="14.75" spans="1:67">
      <c r="A16" s="2970" t="s">
        <v>606</v>
      </c>
      <c r="B16" s="2971"/>
      <c r="C16" s="2452"/>
      <c r="D16" s="2972"/>
      <c r="E16" s="2971"/>
      <c r="F16" s="2971"/>
      <c r="G16" s="2973">
        <f>ROUND(SUMPRODUCT(G6:G13,K6:K13)/SUMPRODUCT((G6:G13&gt;0)*(K6:K13)),3)</f>
        <v>0.842</v>
      </c>
      <c r="H16" s="2974">
        <f>ROUND(SUMPRODUCT(H6:H13,K6:K13)/SUMPRODUCT((H6:H13&gt;0)*(K6:K13)),3)</f>
        <v>0.05</v>
      </c>
      <c r="I16" s="3062"/>
      <c r="J16" s="3062"/>
      <c r="K16" s="3063">
        <f>SUM(K6:K15)</f>
        <v>3013</v>
      </c>
      <c r="L16" s="3064">
        <f>ROUND(M16*10000/SUM(K6:K14),0)</f>
        <v>3501</v>
      </c>
      <c r="M16" s="3064">
        <f>SUM(M6:M14)</f>
        <v>1055</v>
      </c>
      <c r="N16" s="3065">
        <f>ROUND(SUMPRODUCT(M6:M14,N6:N14)/M16,3)</f>
        <v>0.74</v>
      </c>
      <c r="O16" s="3064">
        <f>SUM(O6:O14)</f>
        <v>0</v>
      </c>
      <c r="P16" s="3064">
        <f>SUM(P6:P14)</f>
        <v>0</v>
      </c>
      <c r="Q16" s="3088">
        <f>ROUND(SUMPRODUCT(Q6:Q13,K6:K13)/SUMPRODUCT((Q6:Q13&gt;0)*(K6:K13)),2)</f>
        <v>0.1</v>
      </c>
      <c r="R16" s="3089">
        <f ca="1">SUM(R6:R13)</f>
        <v>0</v>
      </c>
      <c r="S16" s="3090">
        <f>SUM(S6:S13)</f>
        <v>0</v>
      </c>
      <c r="T16" s="3091">
        <f>IF(SUMIF(T6:T13,"&lt;9E307")=M14,SUMIF(T6:T13,"&lt;9E307"),"有误，请检查")</f>
        <v>0</v>
      </c>
      <c r="U16" s="3092"/>
      <c r="V16" s="3093"/>
      <c r="W16" s="3093"/>
      <c r="X16" s="3094"/>
      <c r="Y16" s="3106"/>
      <c r="Z16" s="3107"/>
      <c r="AA16" s="3093"/>
      <c r="AB16" s="3093"/>
      <c r="AC16" s="3094"/>
      <c r="AD16" s="3094"/>
      <c r="AE16" s="3092"/>
      <c r="AF16" s="3093"/>
      <c r="AG16" s="3106"/>
      <c r="AH16" s="3092"/>
      <c r="AI16" s="3107"/>
      <c r="AJ16" s="3107"/>
      <c r="AK16" s="3093"/>
      <c r="AL16" s="3093"/>
      <c r="AM16" s="3106"/>
      <c r="AN16" s="2395"/>
      <c r="AO16" s="2979"/>
      <c r="AP16" s="2979"/>
      <c r="AQ16" s="2979"/>
      <c r="AR16" s="2979"/>
      <c r="AS16" s="2862"/>
      <c r="AT16" s="2862"/>
      <c r="AU16" s="2862"/>
      <c r="AV16" s="2862"/>
      <c r="AW16" s="2862"/>
      <c r="AX16" s="2862"/>
      <c r="AY16" s="2862"/>
      <c r="AZ16" s="2862"/>
      <c r="BA16" s="2862"/>
      <c r="BB16" s="2862"/>
      <c r="BC16" s="2862"/>
      <c r="BD16" s="2862"/>
      <c r="BE16" s="2862"/>
      <c r="BF16" s="2862"/>
      <c r="BG16" s="2862"/>
      <c r="BH16" s="2862"/>
      <c r="BI16" s="2862"/>
      <c r="BJ16" s="2862"/>
      <c r="BK16" s="2862"/>
      <c r="BL16" s="2862"/>
      <c r="BM16" s="2862"/>
      <c r="BN16" s="2862"/>
      <c r="BO16" s="2862"/>
    </row>
    <row r="17" ht="13.75" spans="1:44">
      <c r="A17" s="2975"/>
      <c r="B17" s="2976"/>
      <c r="C17" s="2395"/>
      <c r="D17" s="2977"/>
      <c r="E17" s="2977"/>
      <c r="F17" s="2395"/>
      <c r="G17" s="2395"/>
      <c r="H17" s="2395"/>
      <c r="I17" s="2395"/>
      <c r="J17" s="2395"/>
      <c r="K17" s="3066"/>
      <c r="L17" s="3066"/>
      <c r="M17" s="2395"/>
      <c r="N17" s="2395">
        <f>ROUND(1-(2024-2001)/60,2)</f>
        <v>0.62</v>
      </c>
      <c r="O17" s="2395"/>
      <c r="P17" s="2395"/>
      <c r="Q17" s="2395"/>
      <c r="R17" s="2395"/>
      <c r="S17" s="2395"/>
      <c r="T17" s="2395"/>
      <c r="U17" s="2395"/>
      <c r="V17" s="2395"/>
      <c r="W17" s="2395"/>
      <c r="X17" s="2395"/>
      <c r="Y17" s="2395"/>
      <c r="Z17" s="2395"/>
      <c r="AA17" s="2395"/>
      <c r="AB17" s="2395"/>
      <c r="AC17" s="2395"/>
      <c r="AD17" s="2395"/>
      <c r="AE17" s="2395"/>
      <c r="AF17" s="2395"/>
      <c r="AG17" s="2395"/>
      <c r="AH17" s="2395"/>
      <c r="AI17" s="2395"/>
      <c r="AJ17" s="2395"/>
      <c r="AK17" s="2395"/>
      <c r="AL17" s="2395"/>
      <c r="AM17" s="2395"/>
      <c r="AN17" s="2395"/>
      <c r="AO17" s="2395"/>
      <c r="AP17" s="2395"/>
      <c r="AQ17" s="2395"/>
      <c r="AR17" s="2395"/>
    </row>
    <row r="18" ht="14.75" spans="1:44">
      <c r="A18" s="1881" t="s">
        <v>653</v>
      </c>
      <c r="B18" s="2978"/>
      <c r="C18" s="2979"/>
      <c r="D18" s="2980"/>
      <c r="E18" s="2979"/>
      <c r="F18" s="2979"/>
      <c r="G18" s="2979"/>
      <c r="H18" s="2979"/>
      <c r="I18" s="2979"/>
      <c r="J18" s="2979"/>
      <c r="K18" s="3066"/>
      <c r="L18" s="3066"/>
      <c r="M18" s="2395"/>
      <c r="N18" s="2395">
        <v>0.85</v>
      </c>
      <c r="O18" s="2395"/>
      <c r="P18" s="2395"/>
      <c r="Q18" s="2395"/>
      <c r="R18" s="2395"/>
      <c r="S18" s="2395"/>
      <c r="T18" s="2395"/>
      <c r="U18" s="2395">
        <f>1100/K16/365*10000</f>
        <v>10.0023187193395</v>
      </c>
      <c r="V18" s="2395"/>
      <c r="W18" s="2395"/>
      <c r="X18" s="2395"/>
      <c r="Y18" s="2395"/>
      <c r="Z18" s="2395"/>
      <c r="AA18" s="2395"/>
      <c r="AB18" s="2395"/>
      <c r="AC18" s="2395"/>
      <c r="AD18" s="2395"/>
      <c r="AE18" s="2395"/>
      <c r="AF18" s="2395"/>
      <c r="AG18" s="2395"/>
      <c r="AH18" s="2395"/>
      <c r="AI18" s="2395"/>
      <c r="AJ18" s="2395"/>
      <c r="AK18" s="2395"/>
      <c r="AL18" s="2395"/>
      <c r="AM18" s="2395"/>
      <c r="AN18" s="2395"/>
      <c r="AO18" s="2395"/>
      <c r="AP18" s="2395"/>
      <c r="AQ18" s="2395"/>
      <c r="AR18" s="2395"/>
    </row>
    <row r="19" ht="14" spans="1:44">
      <c r="A19" s="2981" t="s">
        <v>654</v>
      </c>
      <c r="B19" s="2982">
        <v>0</v>
      </c>
      <c r="C19" s="2983" t="s">
        <v>655</v>
      </c>
      <c r="D19" s="2980"/>
      <c r="E19" s="2979"/>
      <c r="F19" s="2979"/>
      <c r="G19" s="2979"/>
      <c r="H19" s="2979"/>
      <c r="I19" s="2979"/>
      <c r="J19" s="2979"/>
      <c r="K19" s="3066"/>
      <c r="L19" s="3066"/>
      <c r="M19" s="2395"/>
      <c r="N19" s="2395"/>
      <c r="O19" s="2395"/>
      <c r="P19" s="2395"/>
      <c r="Q19" s="2395"/>
      <c r="R19" s="2395"/>
      <c r="S19" s="2395"/>
      <c r="T19" s="2395"/>
      <c r="U19" s="2395"/>
      <c r="V19" s="2395"/>
      <c r="W19" s="2395"/>
      <c r="X19" s="2395"/>
      <c r="Y19" s="2395"/>
      <c r="Z19" s="2395"/>
      <c r="AA19" s="2395"/>
      <c r="AB19" s="2395"/>
      <c r="AC19" s="2395"/>
      <c r="AD19" s="2395"/>
      <c r="AE19" s="2395"/>
      <c r="AF19" s="2395"/>
      <c r="AG19" s="2395"/>
      <c r="AH19" s="2395"/>
      <c r="AI19" s="2395"/>
      <c r="AJ19" s="2395"/>
      <c r="AK19" s="2395"/>
      <c r="AL19" s="2395"/>
      <c r="AM19" s="2395"/>
      <c r="AN19" s="2395"/>
      <c r="AO19" s="2395"/>
      <c r="AP19" s="2395"/>
      <c r="AQ19" s="2395"/>
      <c r="AR19" s="2395"/>
    </row>
    <row r="20" ht="14" spans="1:44">
      <c r="A20" s="2984" t="s">
        <v>656</v>
      </c>
      <c r="B20" s="2985">
        <v>2</v>
      </c>
      <c r="C20" s="2986" t="s">
        <v>657</v>
      </c>
      <c r="D20" s="2980"/>
      <c r="E20" s="2979"/>
      <c r="F20" s="2979"/>
      <c r="G20" s="2979"/>
      <c r="H20" s="2979"/>
      <c r="I20" s="2979"/>
      <c r="J20" s="2979"/>
      <c r="K20" s="3066"/>
      <c r="L20" s="3066"/>
      <c r="M20" s="2395"/>
      <c r="N20" s="2395"/>
      <c r="O20" s="2395"/>
      <c r="P20" s="2395"/>
      <c r="Q20" s="2395"/>
      <c r="R20" s="2395"/>
      <c r="S20" s="2395"/>
      <c r="T20" s="2395"/>
      <c r="U20" s="2395"/>
      <c r="V20" s="2395"/>
      <c r="W20" s="2395"/>
      <c r="X20" s="2395"/>
      <c r="Y20" s="2395"/>
      <c r="Z20" s="2395"/>
      <c r="AA20" s="2395"/>
      <c r="AB20" s="2395"/>
      <c r="AC20" s="2395"/>
      <c r="AD20" s="2395"/>
      <c r="AE20" s="2395"/>
      <c r="AF20" s="2395"/>
      <c r="AG20" s="2395"/>
      <c r="AH20" s="2395"/>
      <c r="AI20" s="2395"/>
      <c r="AJ20" s="2395"/>
      <c r="AK20" s="2395"/>
      <c r="AL20" s="2395"/>
      <c r="AM20" s="2395"/>
      <c r="AN20" s="2395"/>
      <c r="AO20" s="2395"/>
      <c r="AP20" s="2395"/>
      <c r="AQ20" s="2395"/>
      <c r="AR20" s="2395"/>
    </row>
    <row r="21" ht="14" spans="1:44">
      <c r="A21" s="2987" t="s">
        <v>658</v>
      </c>
      <c r="B21" s="2985">
        <v>2</v>
      </c>
      <c r="C21" s="2979"/>
      <c r="D21" s="2980"/>
      <c r="E21" s="2979"/>
      <c r="F21" s="2979"/>
      <c r="G21" s="2979"/>
      <c r="H21" s="2979"/>
      <c r="I21" s="2979"/>
      <c r="J21" s="2979"/>
      <c r="K21" s="3066"/>
      <c r="L21" s="3066"/>
      <c r="M21" s="2395"/>
      <c r="N21" s="2395"/>
      <c r="O21" s="2395"/>
      <c r="P21" s="2395"/>
      <c r="Q21" s="2395"/>
      <c r="R21" s="2395"/>
      <c r="S21" s="2395"/>
      <c r="T21" s="2395"/>
      <c r="U21" s="2395"/>
      <c r="V21" s="2395"/>
      <c r="W21" s="2395"/>
      <c r="X21" s="2395"/>
      <c r="Y21" s="2395"/>
      <c r="Z21" s="2395"/>
      <c r="AA21" s="2395"/>
      <c r="AB21" s="2395"/>
      <c r="AC21" s="2395"/>
      <c r="AD21" s="2395"/>
      <c r="AE21" s="2395"/>
      <c r="AF21" s="2395"/>
      <c r="AG21" s="2395"/>
      <c r="AH21" s="2395"/>
      <c r="AI21" s="2395"/>
      <c r="AJ21" s="2395"/>
      <c r="AK21" s="2395"/>
      <c r="AL21" s="2395"/>
      <c r="AM21" s="2395"/>
      <c r="AN21" s="2395"/>
      <c r="AO21" s="2395"/>
      <c r="AP21" s="2395"/>
      <c r="AQ21" s="2395"/>
      <c r="AR21" s="2395"/>
    </row>
    <row r="22" ht="14" spans="1:44">
      <c r="A22" s="2984" t="s">
        <v>659</v>
      </c>
      <c r="B22" s="2988">
        <f>B19+B20</f>
        <v>2</v>
      </c>
      <c r="C22" s="2979"/>
      <c r="D22" s="2980"/>
      <c r="E22" s="2979"/>
      <c r="F22" s="2979"/>
      <c r="G22" s="2979"/>
      <c r="H22" s="2979"/>
      <c r="I22" s="2979"/>
      <c r="J22" s="2979"/>
      <c r="K22" s="3066"/>
      <c r="L22" s="3066"/>
      <c r="M22" s="2395"/>
      <c r="N22" s="2395"/>
      <c r="O22" s="2395"/>
      <c r="P22" s="2395"/>
      <c r="Q22" s="2395"/>
      <c r="R22" s="2395"/>
      <c r="S22" s="2395"/>
      <c r="T22" s="2395"/>
      <c r="U22" s="2395"/>
      <c r="V22" s="2395"/>
      <c r="W22" s="2395"/>
      <c r="X22" s="2395"/>
      <c r="Y22" s="2395"/>
      <c r="Z22" s="2395"/>
      <c r="AA22" s="2395"/>
      <c r="AB22" s="2395"/>
      <c r="AC22" s="2395"/>
      <c r="AD22" s="2395"/>
      <c r="AE22" s="2395"/>
      <c r="AF22" s="2395"/>
      <c r="AG22" s="2395"/>
      <c r="AH22" s="2395"/>
      <c r="AI22" s="2395"/>
      <c r="AJ22" s="2395"/>
      <c r="AK22" s="2395"/>
      <c r="AL22" s="2395"/>
      <c r="AM22" s="2395"/>
      <c r="AN22" s="2395"/>
      <c r="AO22" s="2395"/>
      <c r="AP22" s="2395"/>
      <c r="AQ22" s="2395"/>
      <c r="AR22" s="2395"/>
    </row>
    <row r="23" ht="14" spans="1:44">
      <c r="A23" s="2987" t="s">
        <v>660</v>
      </c>
      <c r="B23" s="2988">
        <f>B19+B21</f>
        <v>2</v>
      </c>
      <c r="C23" s="2979"/>
      <c r="D23" s="2980"/>
      <c r="E23" s="2979"/>
      <c r="F23" s="2979"/>
      <c r="G23" s="2979"/>
      <c r="H23" s="2979"/>
      <c r="I23" s="2979"/>
      <c r="J23" s="2979"/>
      <c r="K23" s="3066"/>
      <c r="L23" s="3066"/>
      <c r="M23" s="2395"/>
      <c r="N23" s="2395"/>
      <c r="O23" s="2395"/>
      <c r="P23" s="2395"/>
      <c r="Q23" s="2395"/>
      <c r="R23" s="2395"/>
      <c r="S23" s="2395"/>
      <c r="T23" s="2395"/>
      <c r="U23" s="2395"/>
      <c r="V23" s="2395"/>
      <c r="W23" s="2395"/>
      <c r="X23" s="2395"/>
      <c r="Y23" s="2395"/>
      <c r="Z23" s="2395"/>
      <c r="AA23" s="2395"/>
      <c r="AB23" s="2395"/>
      <c r="AC23" s="2395"/>
      <c r="AD23" s="2395"/>
      <c r="AE23" s="2395"/>
      <c r="AF23" s="2395"/>
      <c r="AG23" s="2395"/>
      <c r="AH23" s="2395"/>
      <c r="AI23" s="2395"/>
      <c r="AJ23" s="2395"/>
      <c r="AK23" s="2395"/>
      <c r="AL23" s="2395"/>
      <c r="AM23" s="2395"/>
      <c r="AN23" s="2395"/>
      <c r="AO23" s="2395"/>
      <c r="AP23" s="2395"/>
      <c r="AQ23" s="2395"/>
      <c r="AR23" s="2395"/>
    </row>
    <row r="24" ht="14.75" spans="1:44">
      <c r="A24" s="2989" t="s">
        <v>661</v>
      </c>
      <c r="B24" s="2990">
        <f>B20-B21</f>
        <v>0</v>
      </c>
      <c r="C24" s="2979"/>
      <c r="D24" s="2980"/>
      <c r="E24" s="2979"/>
      <c r="F24" s="2979"/>
      <c r="G24" s="2979"/>
      <c r="H24" s="2979"/>
      <c r="I24" s="2979"/>
      <c r="J24" s="2979"/>
      <c r="K24" s="3066"/>
      <c r="L24" s="3066"/>
      <c r="M24" s="2395"/>
      <c r="N24" s="2395"/>
      <c r="O24" s="2395"/>
      <c r="P24" s="2395"/>
      <c r="Q24" s="2395"/>
      <c r="R24" s="2395"/>
      <c r="S24" s="2395"/>
      <c r="T24" s="2395"/>
      <c r="U24" s="2395"/>
      <c r="V24" s="2395"/>
      <c r="W24" s="2395"/>
      <c r="X24" s="2395"/>
      <c r="Y24" s="2395"/>
      <c r="Z24" s="2395"/>
      <c r="AA24" s="2395"/>
      <c r="AB24" s="2395"/>
      <c r="AC24" s="2395"/>
      <c r="AD24" s="2395"/>
      <c r="AE24" s="2395"/>
      <c r="AF24" s="2395"/>
      <c r="AG24" s="2395"/>
      <c r="AH24" s="2395"/>
      <c r="AI24" s="2395"/>
      <c r="AJ24" s="2395"/>
      <c r="AK24" s="2395"/>
      <c r="AL24" s="2395"/>
      <c r="AM24" s="2395"/>
      <c r="AN24" s="2395"/>
      <c r="AO24" s="2395"/>
      <c r="AP24" s="2395"/>
      <c r="AQ24" s="2395"/>
      <c r="AR24" s="2395"/>
    </row>
    <row r="25" ht="14.75" spans="1:44">
      <c r="A25" s="2948"/>
      <c r="B25" s="2949"/>
      <c r="C25" s="2979"/>
      <c r="D25" s="2980"/>
      <c r="E25" s="2979"/>
      <c r="F25" s="2979"/>
      <c r="G25" s="2979"/>
      <c r="H25" s="2979"/>
      <c r="I25" s="2979"/>
      <c r="J25" s="2979"/>
      <c r="K25" s="3066"/>
      <c r="L25" s="3066"/>
      <c r="M25" s="2395"/>
      <c r="N25" s="2395"/>
      <c r="O25" s="2395"/>
      <c r="P25" s="2395"/>
      <c r="Q25" s="2395"/>
      <c r="R25" s="2395"/>
      <c r="S25" s="2395"/>
      <c r="T25" s="2395"/>
      <c r="U25" s="2395"/>
      <c r="V25" s="2395"/>
      <c r="W25" s="2395"/>
      <c r="X25" s="2395"/>
      <c r="Y25" s="2395"/>
      <c r="Z25" s="2395"/>
      <c r="AA25" s="2395"/>
      <c r="AB25" s="2395"/>
      <c r="AC25" s="2395"/>
      <c r="AD25" s="2395"/>
      <c r="AE25" s="2395"/>
      <c r="AF25" s="2395"/>
      <c r="AG25" s="2395"/>
      <c r="AH25" s="2395"/>
      <c r="AI25" s="2395"/>
      <c r="AJ25" s="2395"/>
      <c r="AK25" s="2395"/>
      <c r="AL25" s="2395"/>
      <c r="AM25" s="2395"/>
      <c r="AN25" s="2395"/>
      <c r="AO25" s="2395"/>
      <c r="AP25" s="2395"/>
      <c r="AQ25" s="2395"/>
      <c r="AR25" s="2395"/>
    </row>
    <row r="26" ht="14.75" spans="1:44">
      <c r="A26" s="2944" t="s">
        <v>662</v>
      </c>
      <c r="B26" s="2991" t="s">
        <v>663</v>
      </c>
      <c r="C26" s="2992" t="s">
        <v>664</v>
      </c>
      <c r="D26" s="2980"/>
      <c r="E26" s="2979"/>
      <c r="F26" s="2979"/>
      <c r="G26" s="2979"/>
      <c r="H26" s="2979"/>
      <c r="I26" s="2979"/>
      <c r="J26" s="2979"/>
      <c r="K26" s="3066"/>
      <c r="L26" s="3066"/>
      <c r="M26" s="2395"/>
      <c r="N26" s="2395"/>
      <c r="O26" s="2395"/>
      <c r="P26" s="2395"/>
      <c r="Q26" s="2395"/>
      <c r="R26" s="2395"/>
      <c r="S26" s="2395"/>
      <c r="T26" s="2395"/>
      <c r="U26" s="2395"/>
      <c r="V26" s="2395"/>
      <c r="W26" s="2395"/>
      <c r="X26" s="2395"/>
      <c r="Y26" s="2395"/>
      <c r="Z26" s="2395"/>
      <c r="AA26" s="2395"/>
      <c r="AB26" s="2395"/>
      <c r="AC26" s="2395"/>
      <c r="AD26" s="2395"/>
      <c r="AE26" s="2395"/>
      <c r="AF26" s="2395"/>
      <c r="AG26" s="2395"/>
      <c r="AH26" s="2395"/>
      <c r="AI26" s="2395"/>
      <c r="AJ26" s="2395"/>
      <c r="AK26" s="2395"/>
      <c r="AL26" s="2395"/>
      <c r="AM26" s="2395"/>
      <c r="AN26" s="2395"/>
      <c r="AO26" s="2395"/>
      <c r="AP26" s="2395"/>
      <c r="AQ26" s="2395"/>
      <c r="AR26" s="2395"/>
    </row>
    <row r="27" s="2935" customFormat="1" ht="28" spans="1:67">
      <c r="A27" s="2993" t="s">
        <v>665</v>
      </c>
      <c r="B27" s="2994"/>
      <c r="C27" s="2995" t="s">
        <v>666</v>
      </c>
      <c r="D27" s="2996"/>
      <c r="E27" s="845"/>
      <c r="F27" s="845"/>
      <c r="G27" s="2979"/>
      <c r="H27" s="2979"/>
      <c r="I27" s="2979"/>
      <c r="J27" s="2979"/>
      <c r="K27" s="3066"/>
      <c r="L27" s="3066"/>
      <c r="M27" s="2395"/>
      <c r="N27" s="2395"/>
      <c r="O27" s="2395"/>
      <c r="P27" s="2395"/>
      <c r="Q27" s="2395"/>
      <c r="R27" s="2395"/>
      <c r="S27" s="2395"/>
      <c r="T27" s="2395"/>
      <c r="U27" s="2395"/>
      <c r="V27" s="2395"/>
      <c r="W27" s="2395"/>
      <c r="X27" s="2395"/>
      <c r="Y27" s="2395"/>
      <c r="Z27" s="2395"/>
      <c r="AA27" s="2395"/>
      <c r="AB27" s="2395"/>
      <c r="AC27" s="2395"/>
      <c r="AD27" s="2395"/>
      <c r="AE27" s="2395"/>
      <c r="AF27" s="2395"/>
      <c r="AG27" s="2395"/>
      <c r="AH27" s="2395"/>
      <c r="AI27" s="2395"/>
      <c r="AJ27" s="2395"/>
      <c r="AK27" s="2395"/>
      <c r="AL27" s="2395"/>
      <c r="AM27" s="2395"/>
      <c r="AN27" s="2395"/>
      <c r="AO27" s="2395"/>
      <c r="AP27" s="2395"/>
      <c r="AQ27" s="2395"/>
      <c r="AR27" s="2395"/>
      <c r="AS27" s="2383"/>
      <c r="AT27" s="2383"/>
      <c r="AU27" s="2383"/>
      <c r="AV27" s="2383"/>
      <c r="AW27" s="2383"/>
      <c r="AX27" s="2383"/>
      <c r="AY27" s="2383"/>
      <c r="AZ27" s="2383"/>
      <c r="BA27" s="2383"/>
      <c r="BB27" s="2383"/>
      <c r="BC27" s="2383"/>
      <c r="BD27" s="2383"/>
      <c r="BE27" s="2383"/>
      <c r="BF27" s="2383"/>
      <c r="BG27" s="2383"/>
      <c r="BH27" s="2383"/>
      <c r="BI27" s="2383"/>
      <c r="BJ27" s="2383"/>
      <c r="BK27" s="2383"/>
      <c r="BL27" s="2383"/>
      <c r="BM27" s="2383"/>
      <c r="BN27" s="2383"/>
      <c r="BO27" s="2383"/>
    </row>
    <row r="28" s="2935" customFormat="1" ht="28" spans="1:67">
      <c r="A28" s="2997" t="s">
        <v>667</v>
      </c>
      <c r="B28" s="2998">
        <v>200</v>
      </c>
      <c r="C28" s="2999"/>
      <c r="D28" s="2996"/>
      <c r="E28" s="845"/>
      <c r="F28" s="845"/>
      <c r="G28" s="2979"/>
      <c r="H28" s="2979"/>
      <c r="I28" s="2979"/>
      <c r="J28" s="2979"/>
      <c r="K28" s="3066"/>
      <c r="L28" s="3066"/>
      <c r="M28" s="2395"/>
      <c r="N28" s="2395"/>
      <c r="O28" s="2395"/>
      <c r="P28" s="2395"/>
      <c r="Q28" s="2395"/>
      <c r="R28" s="2395"/>
      <c r="S28" s="2395"/>
      <c r="T28" s="2395"/>
      <c r="U28" s="2395"/>
      <c r="V28" s="2395"/>
      <c r="W28" s="2395"/>
      <c r="X28" s="2395"/>
      <c r="Y28" s="2395"/>
      <c r="Z28" s="2395"/>
      <c r="AA28" s="2395"/>
      <c r="AB28" s="2395"/>
      <c r="AC28" s="2395"/>
      <c r="AD28" s="2395"/>
      <c r="AE28" s="2395"/>
      <c r="AF28" s="2395"/>
      <c r="AG28" s="2395"/>
      <c r="AH28" s="2395"/>
      <c r="AI28" s="2395"/>
      <c r="AJ28" s="2395"/>
      <c r="AK28" s="2395"/>
      <c r="AL28" s="2395"/>
      <c r="AM28" s="2395"/>
      <c r="AN28" s="2395"/>
      <c r="AO28" s="2395"/>
      <c r="AP28" s="2395"/>
      <c r="AQ28" s="2395"/>
      <c r="AR28" s="2395"/>
      <c r="AS28" s="2383"/>
      <c r="AT28" s="2383"/>
      <c r="AU28" s="2383"/>
      <c r="AV28" s="2383"/>
      <c r="AW28" s="2383"/>
      <c r="AX28" s="2383"/>
      <c r="AY28" s="2383"/>
      <c r="AZ28" s="2383"/>
      <c r="BA28" s="2383"/>
      <c r="BB28" s="2383"/>
      <c r="BC28" s="2383"/>
      <c r="BD28" s="2383"/>
      <c r="BE28" s="2383"/>
      <c r="BF28" s="2383"/>
      <c r="BG28" s="2383"/>
      <c r="BH28" s="2383"/>
      <c r="BI28" s="2383"/>
      <c r="BJ28" s="2383"/>
      <c r="BK28" s="2383"/>
      <c r="BL28" s="2383"/>
      <c r="BM28" s="2383"/>
      <c r="BN28" s="2383"/>
      <c r="BO28" s="2383"/>
    </row>
    <row r="29" s="2935" customFormat="1" ht="28.75" spans="1:67">
      <c r="A29" s="3000" t="s">
        <v>668</v>
      </c>
      <c r="B29" s="3001">
        <f ca="1">成本法!C10</f>
        <v>60</v>
      </c>
      <c r="C29" s="3002" t="s">
        <v>669</v>
      </c>
      <c r="D29" s="2996"/>
      <c r="E29" s="845"/>
      <c r="F29" s="845"/>
      <c r="G29" s="2979"/>
      <c r="H29" s="2979"/>
      <c r="I29" s="2979"/>
      <c r="J29" s="2979"/>
      <c r="K29" s="3066"/>
      <c r="L29" s="3066"/>
      <c r="M29" s="2395"/>
      <c r="N29" s="2395"/>
      <c r="O29" s="2395"/>
      <c r="P29" s="2395"/>
      <c r="Q29" s="2395"/>
      <c r="R29" s="2395"/>
      <c r="S29" s="2395"/>
      <c r="T29" s="2395"/>
      <c r="U29" s="2395"/>
      <c r="V29" s="2395"/>
      <c r="W29" s="2395"/>
      <c r="X29" s="2395"/>
      <c r="Y29" s="2395"/>
      <c r="Z29" s="2395"/>
      <c r="AA29" s="2395"/>
      <c r="AB29" s="2395"/>
      <c r="AC29" s="2395"/>
      <c r="AD29" s="2395"/>
      <c r="AE29" s="2395"/>
      <c r="AF29" s="2395"/>
      <c r="AG29" s="2395"/>
      <c r="AH29" s="2395"/>
      <c r="AI29" s="2395"/>
      <c r="AJ29" s="2395"/>
      <c r="AK29" s="2395"/>
      <c r="AL29" s="2395"/>
      <c r="AM29" s="2395"/>
      <c r="AN29" s="2395"/>
      <c r="AO29" s="2395"/>
      <c r="AP29" s="2395"/>
      <c r="AQ29" s="2395"/>
      <c r="AR29" s="2395"/>
      <c r="AS29" s="2383"/>
      <c r="AT29" s="2383"/>
      <c r="AU29" s="2383"/>
      <c r="AV29" s="2383"/>
      <c r="AW29" s="2383"/>
      <c r="AX29" s="2383"/>
      <c r="AY29" s="2383"/>
      <c r="AZ29" s="2383"/>
      <c r="BA29" s="2383"/>
      <c r="BB29" s="2383"/>
      <c r="BC29" s="2383"/>
      <c r="BD29" s="2383"/>
      <c r="BE29" s="2383"/>
      <c r="BF29" s="2383"/>
      <c r="BG29" s="2383"/>
      <c r="BH29" s="2383"/>
      <c r="BI29" s="2383"/>
      <c r="BJ29" s="2383"/>
      <c r="BK29" s="2383"/>
      <c r="BL29" s="2383"/>
      <c r="BM29" s="2383"/>
      <c r="BN29" s="2383"/>
      <c r="BO29" s="2383"/>
    </row>
    <row r="30" s="2935" customFormat="1" ht="28" spans="1:67">
      <c r="A30" s="3003" t="s">
        <v>670</v>
      </c>
      <c r="B30" s="3004">
        <v>200</v>
      </c>
      <c r="C30" s="2999"/>
      <c r="D30" s="2996"/>
      <c r="E30" s="845"/>
      <c r="F30" s="845"/>
      <c r="G30" s="2979"/>
      <c r="H30" s="2979"/>
      <c r="I30" s="2979"/>
      <c r="J30" s="2979"/>
      <c r="K30" s="3066"/>
      <c r="L30" s="3066"/>
      <c r="M30" s="2395"/>
      <c r="N30" s="2395"/>
      <c r="O30" s="2395"/>
      <c r="P30" s="2395"/>
      <c r="Q30" s="2395"/>
      <c r="R30" s="2395"/>
      <c r="S30" s="2395"/>
      <c r="T30" s="2395"/>
      <c r="U30" s="2395"/>
      <c r="V30" s="2395"/>
      <c r="W30" s="2395"/>
      <c r="X30" s="2395"/>
      <c r="Y30" s="2395"/>
      <c r="Z30" s="2395"/>
      <c r="AA30" s="2395"/>
      <c r="AB30" s="2395"/>
      <c r="AC30" s="2395"/>
      <c r="AD30" s="2395"/>
      <c r="AE30" s="2395"/>
      <c r="AF30" s="2395"/>
      <c r="AG30" s="2395"/>
      <c r="AH30" s="2395"/>
      <c r="AI30" s="2395"/>
      <c r="AJ30" s="2395"/>
      <c r="AK30" s="2395"/>
      <c r="AL30" s="2395"/>
      <c r="AM30" s="2395"/>
      <c r="AN30" s="2395"/>
      <c r="AO30" s="2395"/>
      <c r="AP30" s="2395"/>
      <c r="AQ30" s="2395"/>
      <c r="AR30" s="2395"/>
      <c r="AS30" s="2383"/>
      <c r="AT30" s="2383"/>
      <c r="AU30" s="2383"/>
      <c r="AV30" s="2383"/>
      <c r="AW30" s="2383"/>
      <c r="AX30" s="2383"/>
      <c r="AY30" s="2383"/>
      <c r="AZ30" s="2383"/>
      <c r="BA30" s="2383"/>
      <c r="BB30" s="2383"/>
      <c r="BC30" s="2383"/>
      <c r="BD30" s="2383"/>
      <c r="BE30" s="2383"/>
      <c r="BF30" s="2383"/>
      <c r="BG30" s="2383"/>
      <c r="BH30" s="2383"/>
      <c r="BI30" s="2383"/>
      <c r="BJ30" s="2383"/>
      <c r="BK30" s="2383"/>
      <c r="BL30" s="2383"/>
      <c r="BM30" s="2383"/>
      <c r="BN30" s="2383"/>
      <c r="BO30" s="2383"/>
    </row>
    <row r="31" s="2935" customFormat="1" ht="28" spans="1:67">
      <c r="A31" s="2997" t="s">
        <v>671</v>
      </c>
      <c r="B31" s="3005">
        <f>B30-B32</f>
        <v>200</v>
      </c>
      <c r="C31" s="3006"/>
      <c r="D31" s="2996"/>
      <c r="E31" s="845"/>
      <c r="F31" s="845"/>
      <c r="G31" s="2979"/>
      <c r="H31" s="2979"/>
      <c r="I31" s="2979"/>
      <c r="J31" s="2979"/>
      <c r="K31" s="3066"/>
      <c r="L31" s="3066"/>
      <c r="M31" s="2395"/>
      <c r="N31" s="2395"/>
      <c r="O31" s="2395"/>
      <c r="P31" s="2395"/>
      <c r="Q31" s="2395"/>
      <c r="R31" s="2395"/>
      <c r="S31" s="2395"/>
      <c r="T31" s="2395"/>
      <c r="U31" s="2395"/>
      <c r="V31" s="2395"/>
      <c r="W31" s="2395"/>
      <c r="X31" s="2395"/>
      <c r="Y31" s="2395"/>
      <c r="Z31" s="2395"/>
      <c r="AA31" s="2395"/>
      <c r="AB31" s="2395"/>
      <c r="AC31" s="2395"/>
      <c r="AD31" s="2395"/>
      <c r="AE31" s="2395"/>
      <c r="AF31" s="2395"/>
      <c r="AG31" s="2395"/>
      <c r="AH31" s="2395"/>
      <c r="AI31" s="2395"/>
      <c r="AJ31" s="2395"/>
      <c r="AK31" s="2395"/>
      <c r="AL31" s="2395"/>
      <c r="AM31" s="2395"/>
      <c r="AN31" s="2395"/>
      <c r="AO31" s="2395"/>
      <c r="AP31" s="2395"/>
      <c r="AQ31" s="2395"/>
      <c r="AR31" s="2395"/>
      <c r="AS31" s="2383"/>
      <c r="AT31" s="2383"/>
      <c r="AU31" s="2383"/>
      <c r="AV31" s="2383"/>
      <c r="AW31" s="2383"/>
      <c r="AX31" s="2383"/>
      <c r="AY31" s="2383"/>
      <c r="AZ31" s="2383"/>
      <c r="BA31" s="2383"/>
      <c r="BB31" s="2383"/>
      <c r="BC31" s="2383"/>
      <c r="BD31" s="2383"/>
      <c r="BE31" s="2383"/>
      <c r="BF31" s="2383"/>
      <c r="BG31" s="2383"/>
      <c r="BH31" s="2383"/>
      <c r="BI31" s="2383"/>
      <c r="BJ31" s="2383"/>
      <c r="BK31" s="2383"/>
      <c r="BL31" s="2383"/>
      <c r="BM31" s="2383"/>
      <c r="BN31" s="2383"/>
      <c r="BO31" s="2383"/>
    </row>
    <row r="32" s="2935" customFormat="1" ht="28.75" spans="1:67">
      <c r="A32" s="3007" t="s">
        <v>672</v>
      </c>
      <c r="B32" s="3008">
        <v>0</v>
      </c>
      <c r="C32" s="2999"/>
      <c r="D32" s="2980"/>
      <c r="E32" s="2979"/>
      <c r="F32" s="2979"/>
      <c r="G32" s="2979"/>
      <c r="H32" s="2979"/>
      <c r="I32" s="2979"/>
      <c r="J32" s="2979"/>
      <c r="K32" s="3066"/>
      <c r="L32" s="3066"/>
      <c r="M32" s="2395"/>
      <c r="N32" s="2395"/>
      <c r="O32" s="2395"/>
      <c r="P32" s="2395"/>
      <c r="Q32" s="2395"/>
      <c r="R32" s="2395"/>
      <c r="S32" s="2395"/>
      <c r="T32" s="2395"/>
      <c r="U32" s="2395"/>
      <c r="V32" s="2395"/>
      <c r="W32" s="2395"/>
      <c r="X32" s="2395"/>
      <c r="Y32" s="2395"/>
      <c r="Z32" s="2395"/>
      <c r="AA32" s="2395"/>
      <c r="AB32" s="2395"/>
      <c r="AC32" s="2395"/>
      <c r="AD32" s="2395"/>
      <c r="AE32" s="2395"/>
      <c r="AF32" s="2395"/>
      <c r="AG32" s="2395"/>
      <c r="AH32" s="2395"/>
      <c r="AI32" s="2395"/>
      <c r="AJ32" s="2395"/>
      <c r="AK32" s="2395"/>
      <c r="AL32" s="2395"/>
      <c r="AM32" s="2395"/>
      <c r="AN32" s="2395"/>
      <c r="AO32" s="2395"/>
      <c r="AP32" s="2395"/>
      <c r="AQ32" s="2395"/>
      <c r="AR32" s="2395"/>
      <c r="AS32" s="2383"/>
      <c r="AT32" s="2383"/>
      <c r="AU32" s="2383"/>
      <c r="AV32" s="2383"/>
      <c r="AW32" s="2383"/>
      <c r="AX32" s="2383"/>
      <c r="AY32" s="2383"/>
      <c r="AZ32" s="2383"/>
      <c r="BA32" s="2383"/>
      <c r="BB32" s="2383"/>
      <c r="BC32" s="2383"/>
      <c r="BD32" s="2383"/>
      <c r="BE32" s="2383"/>
      <c r="BF32" s="2383"/>
      <c r="BG32" s="2383"/>
      <c r="BH32" s="2383"/>
      <c r="BI32" s="2383"/>
      <c r="BJ32" s="2383"/>
      <c r="BK32" s="2383"/>
      <c r="BL32" s="2383"/>
      <c r="BM32" s="2383"/>
      <c r="BN32" s="2383"/>
      <c r="BO32" s="2383"/>
    </row>
    <row r="33" s="2935" customFormat="1" ht="14" spans="1:67">
      <c r="A33" s="2993" t="s">
        <v>673</v>
      </c>
      <c r="B33" s="3009">
        <v>0.03</v>
      </c>
      <c r="C33" s="3010" t="s">
        <v>674</v>
      </c>
      <c r="D33" s="2980"/>
      <c r="E33" s="2979"/>
      <c r="F33" s="2979"/>
      <c r="G33" s="2979"/>
      <c r="H33" s="2979"/>
      <c r="I33" s="2979"/>
      <c r="J33" s="2979"/>
      <c r="K33" s="3066"/>
      <c r="L33" s="3066"/>
      <c r="M33" s="2395"/>
      <c r="N33" s="2395"/>
      <c r="O33" s="2395"/>
      <c r="P33" s="2395"/>
      <c r="Q33" s="2395"/>
      <c r="R33" s="2395"/>
      <c r="S33" s="2395"/>
      <c r="T33" s="2395"/>
      <c r="U33" s="2395"/>
      <c r="V33" s="2395"/>
      <c r="W33" s="2395"/>
      <c r="X33" s="2395"/>
      <c r="Y33" s="2395"/>
      <c r="Z33" s="2395"/>
      <c r="AA33" s="2395"/>
      <c r="AB33" s="2395"/>
      <c r="AC33" s="2395"/>
      <c r="AD33" s="2395"/>
      <c r="AE33" s="2395"/>
      <c r="AF33" s="2395"/>
      <c r="AG33" s="2395"/>
      <c r="AH33" s="2395"/>
      <c r="AI33" s="2395"/>
      <c r="AJ33" s="2395"/>
      <c r="AK33" s="2395"/>
      <c r="AL33" s="2395"/>
      <c r="AM33" s="2395"/>
      <c r="AN33" s="2395"/>
      <c r="AO33" s="2395"/>
      <c r="AP33" s="2395"/>
      <c r="AQ33" s="2395"/>
      <c r="AR33" s="2395"/>
      <c r="AS33" s="2383"/>
      <c r="AT33" s="2383"/>
      <c r="AU33" s="2383"/>
      <c r="AV33" s="2383"/>
      <c r="AW33" s="2383"/>
      <c r="AX33" s="2383"/>
      <c r="AY33" s="2383"/>
      <c r="AZ33" s="2383"/>
      <c r="BA33" s="2383"/>
      <c r="BB33" s="2383"/>
      <c r="BC33" s="2383"/>
      <c r="BD33" s="2383"/>
      <c r="BE33" s="2383"/>
      <c r="BF33" s="2383"/>
      <c r="BG33" s="2383"/>
      <c r="BH33" s="2383"/>
      <c r="BI33" s="2383"/>
      <c r="BJ33" s="2383"/>
      <c r="BK33" s="2383"/>
      <c r="BL33" s="2383"/>
      <c r="BM33" s="2383"/>
      <c r="BN33" s="2383"/>
      <c r="BO33" s="2383"/>
    </row>
    <row r="34" s="2935" customFormat="1" ht="14" spans="1:67">
      <c r="A34" s="2997" t="s">
        <v>675</v>
      </c>
      <c r="B34" s="3011">
        <v>0</v>
      </c>
      <c r="C34" s="3010" t="s">
        <v>676</v>
      </c>
      <c r="D34" s="3012" t="s">
        <v>677</v>
      </c>
      <c r="E34" s="2976"/>
      <c r="F34" s="2979"/>
      <c r="G34" s="2979"/>
      <c r="H34" s="2979"/>
      <c r="I34" s="2979"/>
      <c r="J34" s="2979"/>
      <c r="K34" s="3066"/>
      <c r="L34" s="3066"/>
      <c r="M34" s="2395"/>
      <c r="N34" s="2395"/>
      <c r="O34" s="2395"/>
      <c r="P34" s="2395"/>
      <c r="Q34" s="2395"/>
      <c r="R34" s="2395"/>
      <c r="S34" s="2395"/>
      <c r="T34" s="2395"/>
      <c r="U34" s="2395"/>
      <c r="V34" s="2395"/>
      <c r="W34" s="2395"/>
      <c r="X34" s="2395"/>
      <c r="Y34" s="2395"/>
      <c r="Z34" s="2395"/>
      <c r="AA34" s="2395"/>
      <c r="AB34" s="2395"/>
      <c r="AC34" s="2395"/>
      <c r="AD34" s="2395"/>
      <c r="AE34" s="2395"/>
      <c r="AF34" s="2395"/>
      <c r="AG34" s="2395"/>
      <c r="AH34" s="2395"/>
      <c r="AI34" s="2395"/>
      <c r="AJ34" s="2395"/>
      <c r="AK34" s="2395"/>
      <c r="AL34" s="2395"/>
      <c r="AM34" s="2395"/>
      <c r="AN34" s="2395"/>
      <c r="AO34" s="2395"/>
      <c r="AP34" s="2395"/>
      <c r="AQ34" s="2395"/>
      <c r="AR34" s="2395"/>
      <c r="AS34" s="2383"/>
      <c r="AT34" s="2383"/>
      <c r="AU34" s="2383"/>
      <c r="AV34" s="2383"/>
      <c r="AW34" s="2383"/>
      <c r="AX34" s="2383"/>
      <c r="AY34" s="2383"/>
      <c r="AZ34" s="2383"/>
      <c r="BA34" s="2383"/>
      <c r="BB34" s="2383"/>
      <c r="BC34" s="2383"/>
      <c r="BD34" s="2383"/>
      <c r="BE34" s="2383"/>
      <c r="BF34" s="2383"/>
      <c r="BG34" s="2383"/>
      <c r="BH34" s="2383"/>
      <c r="BI34" s="2383"/>
      <c r="BJ34" s="2383"/>
      <c r="BK34" s="2383"/>
      <c r="BL34" s="2383"/>
      <c r="BM34" s="2383"/>
      <c r="BN34" s="2383"/>
      <c r="BO34" s="2383"/>
    </row>
    <row r="35" s="2935" customFormat="1" ht="14" spans="1:67">
      <c r="A35" s="2997" t="s">
        <v>678</v>
      </c>
      <c r="B35" s="2998">
        <v>200</v>
      </c>
      <c r="C35" s="3010" t="s">
        <v>679</v>
      </c>
      <c r="D35" s="2996"/>
      <c r="E35" s="845"/>
      <c r="F35" s="845"/>
      <c r="G35" s="2979"/>
      <c r="H35" s="2979"/>
      <c r="I35" s="2979"/>
      <c r="J35" s="2979"/>
      <c r="K35" s="3066"/>
      <c r="L35" s="3066"/>
      <c r="M35" s="2395"/>
      <c r="N35" s="2395"/>
      <c r="O35" s="2395"/>
      <c r="P35" s="2395"/>
      <c r="Q35" s="2395"/>
      <c r="R35" s="2395"/>
      <c r="S35" s="2395"/>
      <c r="T35" s="2395"/>
      <c r="U35" s="2395"/>
      <c r="V35" s="2395"/>
      <c r="W35" s="2395"/>
      <c r="X35" s="2395"/>
      <c r="Y35" s="2395"/>
      <c r="Z35" s="2395"/>
      <c r="AA35" s="2395"/>
      <c r="AB35" s="2395"/>
      <c r="AC35" s="2395"/>
      <c r="AD35" s="2395"/>
      <c r="AE35" s="2395"/>
      <c r="AF35" s="2395"/>
      <c r="AG35" s="2395"/>
      <c r="AH35" s="2395"/>
      <c r="AI35" s="2395"/>
      <c r="AJ35" s="2395"/>
      <c r="AK35" s="2395"/>
      <c r="AL35" s="2395"/>
      <c r="AM35" s="2395"/>
      <c r="AN35" s="2395"/>
      <c r="AO35" s="2395"/>
      <c r="AP35" s="2395"/>
      <c r="AQ35" s="2395"/>
      <c r="AR35" s="2395"/>
      <c r="AS35" s="2383"/>
      <c r="AT35" s="2383"/>
      <c r="AU35" s="2383"/>
      <c r="AV35" s="2383"/>
      <c r="AW35" s="2383"/>
      <c r="AX35" s="2383"/>
      <c r="AY35" s="2383"/>
      <c r="AZ35" s="2383"/>
      <c r="BA35" s="2383"/>
      <c r="BB35" s="2383"/>
      <c r="BC35" s="2383"/>
      <c r="BD35" s="2383"/>
      <c r="BE35" s="2383"/>
      <c r="BF35" s="2383"/>
      <c r="BG35" s="2383"/>
      <c r="BH35" s="2383"/>
      <c r="BI35" s="2383"/>
      <c r="BJ35" s="2383"/>
      <c r="BK35" s="2383"/>
      <c r="BL35" s="2383"/>
      <c r="BM35" s="2383"/>
      <c r="BN35" s="2383"/>
      <c r="BO35" s="2383"/>
    </row>
    <row r="36" ht="14.75" spans="1:44">
      <c r="A36" s="3000" t="s">
        <v>680</v>
      </c>
      <c r="B36" s="3013">
        <v>0.02</v>
      </c>
      <c r="C36" s="3010" t="s">
        <v>681</v>
      </c>
      <c r="D36" s="2980"/>
      <c r="E36" s="2979"/>
      <c r="F36" s="2979"/>
      <c r="G36" s="2979"/>
      <c r="H36" s="2979"/>
      <c r="I36" s="2979"/>
      <c r="J36" s="2979"/>
      <c r="K36" s="3066"/>
      <c r="L36" s="3066"/>
      <c r="M36" s="2395"/>
      <c r="N36" s="2395"/>
      <c r="O36" s="2395"/>
      <c r="P36" s="2395"/>
      <c r="Q36" s="2395"/>
      <c r="R36" s="2395"/>
      <c r="S36" s="2395"/>
      <c r="T36" s="2395"/>
      <c r="U36" s="2395"/>
      <c r="V36" s="2395"/>
      <c r="W36" s="2395"/>
      <c r="X36" s="2395"/>
      <c r="Y36" s="2395"/>
      <c r="Z36" s="2395"/>
      <c r="AA36" s="2395"/>
      <c r="AB36" s="2395"/>
      <c r="AC36" s="2395"/>
      <c r="AD36" s="2395"/>
      <c r="AE36" s="2395"/>
      <c r="AF36" s="2395"/>
      <c r="AG36" s="2395"/>
      <c r="AH36" s="2395"/>
      <c r="AI36" s="2395"/>
      <c r="AJ36" s="2395"/>
      <c r="AK36" s="2395"/>
      <c r="AL36" s="2395"/>
      <c r="AM36" s="2395"/>
      <c r="AN36" s="2395"/>
      <c r="AO36" s="2395"/>
      <c r="AP36" s="2395"/>
      <c r="AQ36" s="2395"/>
      <c r="AR36" s="2395"/>
    </row>
    <row r="37" ht="14" spans="1:44">
      <c r="A37" s="3003" t="s">
        <v>682</v>
      </c>
      <c r="B37" s="3014">
        <v>0.02</v>
      </c>
      <c r="C37" s="3010" t="s">
        <v>683</v>
      </c>
      <c r="D37" s="2980"/>
      <c r="E37" s="2979"/>
      <c r="F37" s="2979"/>
      <c r="G37" s="2979"/>
      <c r="H37" s="2979"/>
      <c r="I37" s="2979"/>
      <c r="J37" s="2979"/>
      <c r="K37" s="3066"/>
      <c r="L37" s="3066"/>
      <c r="M37" s="2395"/>
      <c r="N37" s="2395"/>
      <c r="O37" s="2395"/>
      <c r="P37" s="2395"/>
      <c r="Q37" s="2395"/>
      <c r="R37" s="2395"/>
      <c r="S37" s="2395"/>
      <c r="T37" s="2395"/>
      <c r="U37" s="2395"/>
      <c r="V37" s="2395"/>
      <c r="W37" s="2395"/>
      <c r="X37" s="2395"/>
      <c r="Y37" s="2395"/>
      <c r="Z37" s="2395"/>
      <c r="AA37" s="2395"/>
      <c r="AB37" s="2395"/>
      <c r="AC37" s="2395"/>
      <c r="AD37" s="2395"/>
      <c r="AE37" s="2395"/>
      <c r="AF37" s="2395"/>
      <c r="AG37" s="2395"/>
      <c r="AH37" s="2395"/>
      <c r="AI37" s="2395"/>
      <c r="AJ37" s="2395"/>
      <c r="AK37" s="2395"/>
      <c r="AL37" s="2395"/>
      <c r="AM37" s="2395"/>
      <c r="AN37" s="2395"/>
      <c r="AO37" s="2395"/>
      <c r="AP37" s="2395"/>
      <c r="AQ37" s="2395"/>
      <c r="AR37" s="2395"/>
    </row>
    <row r="38" ht="14" spans="1:44">
      <c r="A38" s="2997" t="s">
        <v>684</v>
      </c>
      <c r="B38" s="3011">
        <v>0.02</v>
      </c>
      <c r="C38" s="3010" t="s">
        <v>683</v>
      </c>
      <c r="D38" s="2980"/>
      <c r="E38" s="2979"/>
      <c r="F38" s="2979"/>
      <c r="G38" s="2979"/>
      <c r="H38" s="2979"/>
      <c r="I38" s="2979"/>
      <c r="J38" s="2979"/>
      <c r="K38" s="3066"/>
      <c r="L38" s="3066"/>
      <c r="M38" s="2395"/>
      <c r="N38" s="2395"/>
      <c r="O38" s="2395"/>
      <c r="P38" s="2395"/>
      <c r="Q38" s="2395"/>
      <c r="R38" s="2395"/>
      <c r="S38" s="2395"/>
      <c r="T38" s="2395"/>
      <c r="U38" s="2395"/>
      <c r="V38" s="2395"/>
      <c r="W38" s="2395"/>
      <c r="X38" s="2395"/>
      <c r="Y38" s="2395"/>
      <c r="Z38" s="2395"/>
      <c r="AA38" s="2395"/>
      <c r="AB38" s="2395"/>
      <c r="AC38" s="2395"/>
      <c r="AD38" s="2395"/>
      <c r="AE38" s="2395"/>
      <c r="AF38" s="2395"/>
      <c r="AG38" s="2395"/>
      <c r="AH38" s="2395"/>
      <c r="AI38" s="2395"/>
      <c r="AJ38" s="2395"/>
      <c r="AK38" s="2395"/>
      <c r="AL38" s="2395"/>
      <c r="AM38" s="2395"/>
      <c r="AN38" s="2395"/>
      <c r="AO38" s="2395"/>
      <c r="AP38" s="2395"/>
      <c r="AQ38" s="2395"/>
      <c r="AR38" s="2395"/>
    </row>
    <row r="39" ht="14" spans="1:44">
      <c r="A39" s="3007" t="s">
        <v>685</v>
      </c>
      <c r="B39" s="3015">
        <f ca="1">存贷款利率!I1</f>
        <v>0.015</v>
      </c>
      <c r="C39" s="3016"/>
      <c r="D39" s="2980"/>
      <c r="E39" s="2979"/>
      <c r="F39" s="2979"/>
      <c r="G39" s="2979"/>
      <c r="H39" s="2979"/>
      <c r="I39" s="2979"/>
      <c r="J39" s="2979"/>
      <c r="K39" s="3066"/>
      <c r="L39" s="3066"/>
      <c r="M39" s="2395"/>
      <c r="N39" s="2395"/>
      <c r="O39" s="2395"/>
      <c r="P39" s="2395"/>
      <c r="Q39" s="2395"/>
      <c r="R39" s="2395"/>
      <c r="S39" s="2395"/>
      <c r="T39" s="2395"/>
      <c r="U39" s="2395"/>
      <c r="V39" s="2395"/>
      <c r="W39" s="2395"/>
      <c r="X39" s="2395"/>
      <c r="Y39" s="2395"/>
      <c r="Z39" s="2395"/>
      <c r="AA39" s="2395"/>
      <c r="AB39" s="2395"/>
      <c r="AC39" s="2395"/>
      <c r="AD39" s="2395"/>
      <c r="AE39" s="2395"/>
      <c r="AF39" s="2395"/>
      <c r="AG39" s="2395"/>
      <c r="AH39" s="2395"/>
      <c r="AI39" s="2395"/>
      <c r="AJ39" s="2395"/>
      <c r="AK39" s="2395"/>
      <c r="AL39" s="2395"/>
      <c r="AM39" s="2395"/>
      <c r="AN39" s="2395"/>
      <c r="AO39" s="2395"/>
      <c r="AP39" s="2395"/>
      <c r="AQ39" s="2395"/>
      <c r="AR39" s="2395"/>
    </row>
    <row r="40" ht="14.75" spans="1:44">
      <c r="A40" s="3017" t="s">
        <v>686</v>
      </c>
      <c r="B40" s="3018">
        <f ca="1">IF(A40="利息：取LPR",存贷款利率!G1,存贷款利率!G1+C40)</f>
        <v>0.0335</v>
      </c>
      <c r="C40" s="3019">
        <v>0.005</v>
      </c>
      <c r="D40" s="2395"/>
      <c r="E40" s="2980"/>
      <c r="F40" s="2979"/>
      <c r="G40" s="2979"/>
      <c r="H40" s="2979"/>
      <c r="I40" s="2979"/>
      <c r="J40" s="2979"/>
      <c r="K40" s="3066"/>
      <c r="L40" s="3066"/>
      <c r="M40" s="2395"/>
      <c r="N40" s="2395"/>
      <c r="O40" s="2395"/>
      <c r="P40" s="2395"/>
      <c r="Q40" s="2395"/>
      <c r="R40" s="2395"/>
      <c r="S40" s="2395"/>
      <c r="T40" s="2395"/>
      <c r="U40" s="2395"/>
      <c r="V40" s="2395"/>
      <c r="W40" s="2395"/>
      <c r="X40" s="2395"/>
      <c r="Y40" s="2395"/>
      <c r="Z40" s="2395"/>
      <c r="AA40" s="2395"/>
      <c r="AB40" s="2395"/>
      <c r="AC40" s="2395"/>
      <c r="AD40" s="2395"/>
      <c r="AE40" s="2395"/>
      <c r="AF40" s="2395"/>
      <c r="AG40" s="2395"/>
      <c r="AH40" s="2395"/>
      <c r="AI40" s="2395"/>
      <c r="AJ40" s="2395"/>
      <c r="AK40" s="2395"/>
      <c r="AL40" s="2395"/>
      <c r="AM40" s="2395"/>
      <c r="AN40" s="2395"/>
      <c r="AO40" s="2395"/>
      <c r="AP40" s="2395"/>
      <c r="AQ40" s="2395"/>
      <c r="AR40" s="2395"/>
    </row>
    <row r="41" ht="14" spans="1:44">
      <c r="A41" s="2993" t="s">
        <v>687</v>
      </c>
      <c r="B41" s="3020">
        <f>B42+B43</f>
        <v>0.056</v>
      </c>
      <c r="C41" s="3006"/>
      <c r="D41" s="2395"/>
      <c r="E41" s="2980"/>
      <c r="F41" s="2979"/>
      <c r="G41" s="2979"/>
      <c r="H41" s="2979"/>
      <c r="I41" s="2979"/>
      <c r="J41" s="2979"/>
      <c r="K41" s="3066"/>
      <c r="L41" s="3066"/>
      <c r="M41" s="2395"/>
      <c r="N41" s="2395"/>
      <c r="O41" s="2395"/>
      <c r="P41" s="2395"/>
      <c r="Q41" s="2395"/>
      <c r="R41" s="2395"/>
      <c r="S41" s="2395"/>
      <c r="T41" s="2395"/>
      <c r="U41" s="2395"/>
      <c r="V41" s="2395"/>
      <c r="W41" s="2395"/>
      <c r="X41" s="2395"/>
      <c r="Y41" s="2395"/>
      <c r="Z41" s="2395"/>
      <c r="AA41" s="2395"/>
      <c r="AB41" s="2395"/>
      <c r="AC41" s="2395"/>
      <c r="AD41" s="2395"/>
      <c r="AE41" s="2395"/>
      <c r="AF41" s="2395"/>
      <c r="AG41" s="2395"/>
      <c r="AH41" s="2395"/>
      <c r="AI41" s="2395"/>
      <c r="AJ41" s="2395"/>
      <c r="AK41" s="2395"/>
      <c r="AL41" s="2395"/>
      <c r="AM41" s="2395"/>
      <c r="AN41" s="2395"/>
      <c r="AO41" s="2395"/>
      <c r="AP41" s="2395"/>
      <c r="AQ41" s="2395"/>
      <c r="AR41" s="2395"/>
    </row>
    <row r="42" ht="14" spans="1:44">
      <c r="A42" s="3021" t="s">
        <v>688</v>
      </c>
      <c r="B42" s="3022">
        <v>0.05</v>
      </c>
      <c r="C42" s="3023">
        <f>IF(B2&lt;DATE(2016,5,1),0,B42)</f>
        <v>0.05</v>
      </c>
      <c r="D42" s="2980"/>
      <c r="E42" s="2979"/>
      <c r="F42" s="2979"/>
      <c r="G42" s="2979"/>
      <c r="H42" s="2979"/>
      <c r="I42" s="2979"/>
      <c r="J42" s="2979"/>
      <c r="K42" s="3066"/>
      <c r="L42" s="3066"/>
      <c r="M42" s="2395"/>
      <c r="N42" s="2395"/>
      <c r="O42" s="2395"/>
      <c r="P42" s="2395"/>
      <c r="Q42" s="2395"/>
      <c r="R42" s="2395"/>
      <c r="S42" s="2395"/>
      <c r="T42" s="2395"/>
      <c r="U42" s="2395"/>
      <c r="V42" s="2395"/>
      <c r="W42" s="2395"/>
      <c r="X42" s="2395"/>
      <c r="Y42" s="2395"/>
      <c r="Z42" s="2395"/>
      <c r="AA42" s="2395"/>
      <c r="AB42" s="2395"/>
      <c r="AC42" s="2395"/>
      <c r="AD42" s="2395"/>
      <c r="AE42" s="2395"/>
      <c r="AF42" s="2395"/>
      <c r="AG42" s="2395"/>
      <c r="AH42" s="2395"/>
      <c r="AI42" s="2395"/>
      <c r="AJ42" s="2395"/>
      <c r="AK42" s="2395"/>
      <c r="AL42" s="2395"/>
      <c r="AM42" s="2395"/>
      <c r="AN42" s="2395"/>
      <c r="AO42" s="2395"/>
      <c r="AP42" s="2395"/>
      <c r="AQ42" s="2395"/>
      <c r="AR42" s="2395"/>
    </row>
    <row r="43" ht="14" spans="1:44">
      <c r="A43" s="3021" t="s">
        <v>689</v>
      </c>
      <c r="B43" s="3024">
        <f>B42*(B44+B45+B46)+B47</f>
        <v>0.006</v>
      </c>
      <c r="C43" s="3006"/>
      <c r="D43" s="2980"/>
      <c r="E43" s="2979"/>
      <c r="F43" s="2979"/>
      <c r="G43" s="2979"/>
      <c r="H43" s="2979"/>
      <c r="I43" s="2979"/>
      <c r="J43" s="2979"/>
      <c r="K43" s="3066"/>
      <c r="L43" s="3066"/>
      <c r="M43" s="2395"/>
      <c r="N43" s="2395"/>
      <c r="O43" s="2395"/>
      <c r="P43" s="2395"/>
      <c r="Q43" s="2395"/>
      <c r="R43" s="2395"/>
      <c r="S43" s="2395"/>
      <c r="T43" s="2395"/>
      <c r="U43" s="2395"/>
      <c r="V43" s="2395"/>
      <c r="W43" s="2395"/>
      <c r="X43" s="2395"/>
      <c r="Y43" s="2395"/>
      <c r="Z43" s="2395"/>
      <c r="AA43" s="2395"/>
      <c r="AB43" s="2395"/>
      <c r="AC43" s="2395"/>
      <c r="AD43" s="2395"/>
      <c r="AE43" s="2395"/>
      <c r="AF43" s="2395"/>
      <c r="AG43" s="2395"/>
      <c r="AH43" s="2395"/>
      <c r="AI43" s="2395"/>
      <c r="AJ43" s="2395"/>
      <c r="AK43" s="2395"/>
      <c r="AL43" s="2395"/>
      <c r="AM43" s="2395"/>
      <c r="AN43" s="2395"/>
      <c r="AO43" s="2395"/>
      <c r="AP43" s="2395"/>
      <c r="AQ43" s="2395"/>
      <c r="AR43" s="2395"/>
    </row>
    <row r="44" ht="14" spans="1:44">
      <c r="A44" s="3025" t="s">
        <v>690</v>
      </c>
      <c r="B44" s="3026">
        <v>0.07</v>
      </c>
      <c r="C44" s="3010" t="s">
        <v>691</v>
      </c>
      <c r="D44" s="2980"/>
      <c r="E44" s="2979"/>
      <c r="F44" s="2979"/>
      <c r="G44" s="2979"/>
      <c r="H44" s="2979"/>
      <c r="I44" s="2979"/>
      <c r="J44" s="2979"/>
      <c r="K44" s="3066"/>
      <c r="L44" s="3066"/>
      <c r="M44" s="2395"/>
      <c r="N44" s="2395"/>
      <c r="O44" s="2395"/>
      <c r="P44" s="2395"/>
      <c r="Q44" s="2395"/>
      <c r="R44" s="2395"/>
      <c r="S44" s="2395"/>
      <c r="T44" s="2395"/>
      <c r="U44" s="2395"/>
      <c r="V44" s="2395"/>
      <c r="W44" s="2395"/>
      <c r="X44" s="2395"/>
      <c r="Y44" s="2395"/>
      <c r="Z44" s="2395"/>
      <c r="AA44" s="2395"/>
      <c r="AB44" s="2395"/>
      <c r="AC44" s="2395"/>
      <c r="AD44" s="2395"/>
      <c r="AE44" s="2395"/>
      <c r="AF44" s="2395"/>
      <c r="AG44" s="2395"/>
      <c r="AH44" s="2395"/>
      <c r="AI44" s="2395"/>
      <c r="AJ44" s="2395"/>
      <c r="AK44" s="2395"/>
      <c r="AL44" s="2395"/>
      <c r="AM44" s="2395"/>
      <c r="AN44" s="2395"/>
      <c r="AO44" s="2395"/>
      <c r="AP44" s="2395"/>
      <c r="AQ44" s="2395"/>
      <c r="AR44" s="2395"/>
    </row>
    <row r="45" ht="14" spans="1:44">
      <c r="A45" s="3025" t="s">
        <v>692</v>
      </c>
      <c r="B45" s="3022">
        <v>0.03</v>
      </c>
      <c r="C45" s="3002" t="s">
        <v>693</v>
      </c>
      <c r="D45" s="2980"/>
      <c r="E45" s="2979"/>
      <c r="F45" s="2979"/>
      <c r="G45" s="2979"/>
      <c r="H45" s="2979"/>
      <c r="I45" s="2979"/>
      <c r="J45" s="2979"/>
      <c r="K45" s="3066"/>
      <c r="L45" s="3066"/>
      <c r="M45" s="2395"/>
      <c r="N45" s="2395"/>
      <c r="O45" s="2395"/>
      <c r="P45" s="2395"/>
      <c r="Q45" s="2395"/>
      <c r="R45" s="2395"/>
      <c r="S45" s="2395"/>
      <c r="T45" s="2395"/>
      <c r="U45" s="2395"/>
      <c r="V45" s="2395"/>
      <c r="W45" s="2395"/>
      <c r="X45" s="2395"/>
      <c r="Y45" s="2395"/>
      <c r="Z45" s="2395"/>
      <c r="AA45" s="2395"/>
      <c r="AB45" s="2395"/>
      <c r="AC45" s="2395"/>
      <c r="AD45" s="2395"/>
      <c r="AE45" s="2395"/>
      <c r="AF45" s="2395"/>
      <c r="AG45" s="2395"/>
      <c r="AH45" s="2395"/>
      <c r="AI45" s="2395"/>
      <c r="AJ45" s="2395"/>
      <c r="AK45" s="2395"/>
      <c r="AL45" s="2395"/>
      <c r="AM45" s="2395"/>
      <c r="AN45" s="2395"/>
      <c r="AO45" s="2395"/>
      <c r="AP45" s="2395"/>
      <c r="AQ45" s="2395"/>
      <c r="AR45" s="2395"/>
    </row>
    <row r="46" ht="14" spans="1:44">
      <c r="A46" s="3025" t="s">
        <v>694</v>
      </c>
      <c r="B46" s="3022">
        <v>0.02</v>
      </c>
      <c r="C46" s="3002" t="s">
        <v>695</v>
      </c>
      <c r="D46" s="2980"/>
      <c r="E46" s="2979"/>
      <c r="F46" s="2979"/>
      <c r="G46" s="2979"/>
      <c r="H46" s="2979"/>
      <c r="I46" s="2979"/>
      <c r="J46" s="2979"/>
      <c r="K46" s="3066"/>
      <c r="L46" s="3066"/>
      <c r="M46" s="2395"/>
      <c r="N46" s="2395"/>
      <c r="O46" s="2395"/>
      <c r="P46" s="2395"/>
      <c r="Q46" s="2395"/>
      <c r="R46" s="2395"/>
      <c r="S46" s="2395"/>
      <c r="T46" s="2395"/>
      <c r="U46" s="2395"/>
      <c r="V46" s="2395"/>
      <c r="W46" s="2395"/>
      <c r="X46" s="2395"/>
      <c r="Y46" s="2395"/>
      <c r="Z46" s="2395"/>
      <c r="AA46" s="2395"/>
      <c r="AB46" s="2395"/>
      <c r="AC46" s="2395"/>
      <c r="AD46" s="2395"/>
      <c r="AE46" s="2395"/>
      <c r="AF46" s="2395"/>
      <c r="AG46" s="2395"/>
      <c r="AH46" s="2395"/>
      <c r="AI46" s="2395"/>
      <c r="AJ46" s="2395"/>
      <c r="AK46" s="2395"/>
      <c r="AL46" s="2395"/>
      <c r="AM46" s="2395"/>
      <c r="AN46" s="2395"/>
      <c r="AO46" s="2395"/>
      <c r="AP46" s="2395"/>
      <c r="AQ46" s="2395"/>
      <c r="AR46" s="2395"/>
    </row>
    <row r="47" ht="14.75" spans="1:44">
      <c r="A47" s="3027" t="s">
        <v>696</v>
      </c>
      <c r="B47" s="3028"/>
      <c r="C47" s="3029" t="s">
        <v>697</v>
      </c>
      <c r="D47" s="2980"/>
      <c r="E47" s="2979"/>
      <c r="F47" s="2979"/>
      <c r="G47" s="2979"/>
      <c r="H47" s="2979"/>
      <c r="I47" s="2979"/>
      <c r="J47" s="2979"/>
      <c r="K47" s="3066"/>
      <c r="L47" s="3066"/>
      <c r="M47" s="2395"/>
      <c r="N47" s="2395"/>
      <c r="O47" s="2395"/>
      <c r="P47" s="2395"/>
      <c r="Q47" s="2395"/>
      <c r="R47" s="2395"/>
      <c r="S47" s="2395"/>
      <c r="T47" s="2395"/>
      <c r="U47" s="2395"/>
      <c r="V47" s="2395"/>
      <c r="W47" s="2395"/>
      <c r="X47" s="2395"/>
      <c r="Y47" s="2395"/>
      <c r="Z47" s="2395"/>
      <c r="AA47" s="2395"/>
      <c r="AB47" s="2395"/>
      <c r="AC47" s="2395"/>
      <c r="AD47" s="2395"/>
      <c r="AE47" s="2395"/>
      <c r="AF47" s="2395"/>
      <c r="AG47" s="2395"/>
      <c r="AH47" s="2395"/>
      <c r="AI47" s="2395"/>
      <c r="AJ47" s="2395"/>
      <c r="AK47" s="2395"/>
      <c r="AL47" s="2395"/>
      <c r="AM47" s="2395"/>
      <c r="AN47" s="2395"/>
      <c r="AO47" s="2395"/>
      <c r="AP47" s="2395"/>
      <c r="AQ47" s="2395"/>
      <c r="AR47" s="2395"/>
    </row>
    <row r="48" ht="14" spans="1:44">
      <c r="A48" s="3030" t="s">
        <v>698</v>
      </c>
      <c r="B48" s="3031">
        <v>0.03</v>
      </c>
      <c r="C48" s="3002" t="s">
        <v>693</v>
      </c>
      <c r="D48" s="2980"/>
      <c r="E48" s="2979"/>
      <c r="F48" s="2979"/>
      <c r="G48" s="2979"/>
      <c r="H48" s="2979"/>
      <c r="I48" s="2979"/>
      <c r="J48" s="2979"/>
      <c r="K48" s="3066"/>
      <c r="L48" s="3066"/>
      <c r="M48" s="2395"/>
      <c r="N48" s="2395"/>
      <c r="O48" s="2395"/>
      <c r="P48" s="2395"/>
      <c r="Q48" s="2395"/>
      <c r="R48" s="2395"/>
      <c r="S48" s="2395"/>
      <c r="T48" s="2395"/>
      <c r="U48" s="2395"/>
      <c r="V48" s="2395"/>
      <c r="W48" s="2395"/>
      <c r="X48" s="2395"/>
      <c r="Y48" s="2395"/>
      <c r="Z48" s="2395"/>
      <c r="AA48" s="2395"/>
      <c r="AB48" s="2395"/>
      <c r="AC48" s="2395"/>
      <c r="AD48" s="2395"/>
      <c r="AE48" s="2395"/>
      <c r="AF48" s="2395"/>
      <c r="AG48" s="2395"/>
      <c r="AH48" s="2395"/>
      <c r="AI48" s="2395"/>
      <c r="AJ48" s="2395"/>
      <c r="AK48" s="2395"/>
      <c r="AL48" s="2395"/>
      <c r="AM48" s="2395"/>
      <c r="AN48" s="2395"/>
      <c r="AO48" s="2395"/>
      <c r="AP48" s="2395"/>
      <c r="AQ48" s="2395"/>
      <c r="AR48" s="2395"/>
    </row>
    <row r="49" ht="14.75" spans="1:44">
      <c r="A49" s="3007" t="s">
        <v>699</v>
      </c>
      <c r="B49" s="3022">
        <v>0.0005</v>
      </c>
      <c r="C49" s="3002" t="s">
        <v>700</v>
      </c>
      <c r="D49" s="2980"/>
      <c r="E49" s="2979"/>
      <c r="F49" s="2979"/>
      <c r="G49" s="2979"/>
      <c r="H49" s="2979"/>
      <c r="I49" s="2979"/>
      <c r="J49" s="2979"/>
      <c r="K49" s="3066"/>
      <c r="L49" s="3066"/>
      <c r="M49" s="2395"/>
      <c r="N49" s="2395"/>
      <c r="O49" s="2395"/>
      <c r="P49" s="2395"/>
      <c r="Q49" s="2395"/>
      <c r="R49" s="2395"/>
      <c r="S49" s="2395"/>
      <c r="T49" s="2395"/>
      <c r="U49" s="2395"/>
      <c r="V49" s="2395"/>
      <c r="W49" s="2395"/>
      <c r="X49" s="2395"/>
      <c r="Y49" s="2395"/>
      <c r="Z49" s="2395"/>
      <c r="AA49" s="2395"/>
      <c r="AB49" s="2395"/>
      <c r="AC49" s="2395"/>
      <c r="AD49" s="2395"/>
      <c r="AE49" s="2395"/>
      <c r="AF49" s="2395"/>
      <c r="AG49" s="2395"/>
      <c r="AH49" s="2395"/>
      <c r="AI49" s="2395"/>
      <c r="AJ49" s="2395"/>
      <c r="AK49" s="2395"/>
      <c r="AL49" s="2395"/>
      <c r="AM49" s="2395"/>
      <c r="AN49" s="2395"/>
      <c r="AO49" s="2395"/>
      <c r="AP49" s="2395"/>
      <c r="AQ49" s="2395"/>
      <c r="AR49" s="2395"/>
    </row>
    <row r="50" ht="14" spans="1:44">
      <c r="A50" s="3032" t="s">
        <v>701</v>
      </c>
      <c r="B50" s="3033">
        <v>0.012</v>
      </c>
      <c r="C50" s="845"/>
      <c r="D50" s="2980"/>
      <c r="E50" s="2979"/>
      <c r="F50" s="2979"/>
      <c r="G50" s="2979"/>
      <c r="H50" s="2979"/>
      <c r="I50" s="2979"/>
      <c r="J50" s="2979"/>
      <c r="K50" s="3066"/>
      <c r="L50" s="3066"/>
      <c r="M50" s="2395"/>
      <c r="N50" s="2395"/>
      <c r="O50" s="2395"/>
      <c r="P50" s="2395"/>
      <c r="Q50" s="2395"/>
      <c r="R50" s="2395"/>
      <c r="S50" s="2395"/>
      <c r="T50" s="2395"/>
      <c r="U50" s="2395"/>
      <c r="V50" s="2395"/>
      <c r="W50" s="2395"/>
      <c r="X50" s="2395"/>
      <c r="Y50" s="2395"/>
      <c r="Z50" s="2395"/>
      <c r="AA50" s="2395"/>
      <c r="AB50" s="2395"/>
      <c r="AC50" s="2395"/>
      <c r="AD50" s="2395"/>
      <c r="AE50" s="2395"/>
      <c r="AF50" s="2395"/>
      <c r="AG50" s="2395"/>
      <c r="AH50" s="2395"/>
      <c r="AI50" s="2395"/>
      <c r="AJ50" s="2395"/>
      <c r="AK50" s="2395"/>
      <c r="AL50" s="2395"/>
      <c r="AM50" s="2395"/>
      <c r="AN50" s="2395"/>
      <c r="AO50" s="2395"/>
      <c r="AP50" s="2395"/>
      <c r="AQ50" s="2395"/>
      <c r="AR50" s="2395"/>
    </row>
    <row r="51" ht="14.75" spans="1:44">
      <c r="A51" s="3000" t="s">
        <v>702</v>
      </c>
      <c r="B51" s="3034">
        <v>0.12</v>
      </c>
      <c r="C51" s="845"/>
      <c r="D51" s="2980"/>
      <c r="E51" s="2979"/>
      <c r="F51" s="2979"/>
      <c r="G51" s="2979"/>
      <c r="H51" s="2979"/>
      <c r="I51" s="2979"/>
      <c r="J51" s="2979"/>
      <c r="K51" s="3066"/>
      <c r="L51" s="3066"/>
      <c r="M51" s="2395"/>
      <c r="N51" s="2395"/>
      <c r="O51" s="2395"/>
      <c r="P51" s="2395"/>
      <c r="Q51" s="2395"/>
      <c r="R51" s="2395"/>
      <c r="S51" s="2395"/>
      <c r="T51" s="2395"/>
      <c r="U51" s="2395"/>
      <c r="V51" s="2395"/>
      <c r="W51" s="2395"/>
      <c r="X51" s="2395"/>
      <c r="Y51" s="2395"/>
      <c r="Z51" s="2395"/>
      <c r="AA51" s="2395"/>
      <c r="AB51" s="2395"/>
      <c r="AC51" s="2395"/>
      <c r="AD51" s="2395"/>
      <c r="AE51" s="2395"/>
      <c r="AF51" s="2395"/>
      <c r="AG51" s="2395"/>
      <c r="AH51" s="2395"/>
      <c r="AI51" s="2395"/>
      <c r="AJ51" s="2395"/>
      <c r="AK51" s="2395"/>
      <c r="AL51" s="2395"/>
      <c r="AM51" s="2395"/>
      <c r="AN51" s="2395"/>
      <c r="AO51" s="2395"/>
      <c r="AP51" s="2395"/>
      <c r="AQ51" s="2395"/>
      <c r="AR51" s="2395"/>
    </row>
    <row r="52" ht="14" spans="1:44">
      <c r="A52" s="3032" t="s">
        <v>703</v>
      </c>
      <c r="B52" s="3035">
        <f>SUMIF(A54:A63,B53,B54:B63)</f>
        <v>0</v>
      </c>
      <c r="C52" s="845"/>
      <c r="D52" s="2980"/>
      <c r="E52" s="2979"/>
      <c r="F52" s="2979"/>
      <c r="G52" s="2979"/>
      <c r="H52" s="2979"/>
      <c r="I52" s="2979"/>
      <c r="J52" s="2979"/>
      <c r="K52" s="3066"/>
      <c r="L52" s="3066"/>
      <c r="M52" s="2395"/>
      <c r="N52" s="2395"/>
      <c r="O52" s="2395"/>
      <c r="P52" s="2395"/>
      <c r="Q52" s="2395"/>
      <c r="R52" s="2395"/>
      <c r="S52" s="2395"/>
      <c r="T52" s="2395"/>
      <c r="U52" s="2395"/>
      <c r="V52" s="2395"/>
      <c r="W52" s="2395"/>
      <c r="X52" s="2395"/>
      <c r="Y52" s="2395"/>
      <c r="Z52" s="2395"/>
      <c r="AA52" s="2395"/>
      <c r="AB52" s="2395"/>
      <c r="AC52" s="2395"/>
      <c r="AD52" s="2395"/>
      <c r="AE52" s="2395"/>
      <c r="AF52" s="2395"/>
      <c r="AG52" s="2395"/>
      <c r="AH52" s="2395"/>
      <c r="AI52" s="2395"/>
      <c r="AJ52" s="2395"/>
      <c r="AK52" s="2395"/>
      <c r="AL52" s="2395"/>
      <c r="AM52" s="2395"/>
      <c r="AN52" s="2395"/>
      <c r="AO52" s="2395"/>
      <c r="AP52" s="2395"/>
      <c r="AQ52" s="2395"/>
      <c r="AR52" s="2395"/>
    </row>
    <row r="53" ht="28" spans="1:44">
      <c r="A53" s="2997" t="s">
        <v>704</v>
      </c>
      <c r="B53" s="3036" t="s">
        <v>267</v>
      </c>
      <c r="C53" s="845" t="s">
        <v>705</v>
      </c>
      <c r="D53" s="3037" t="s">
        <v>706</v>
      </c>
      <c r="E53" s="2979"/>
      <c r="F53" s="2979"/>
      <c r="G53" s="2979"/>
      <c r="H53" s="2979"/>
      <c r="I53" s="2979"/>
      <c r="J53" s="2979"/>
      <c r="K53" s="3066"/>
      <c r="L53" s="3066"/>
      <c r="M53" s="2395"/>
      <c r="N53" s="2395"/>
      <c r="O53" s="2395"/>
      <c r="P53" s="2395"/>
      <c r="Q53" s="2395"/>
      <c r="R53" s="2395"/>
      <c r="S53" s="2395"/>
      <c r="T53" s="2395"/>
      <c r="U53" s="2395"/>
      <c r="V53" s="2395"/>
      <c r="W53" s="2395"/>
      <c r="X53" s="2395"/>
      <c r="Y53" s="2395"/>
      <c r="Z53" s="2395"/>
      <c r="AA53" s="2395"/>
      <c r="AB53" s="2395"/>
      <c r="AC53" s="2395"/>
      <c r="AD53" s="2395"/>
      <c r="AE53" s="2395"/>
      <c r="AF53" s="2395"/>
      <c r="AG53" s="2395"/>
      <c r="AH53" s="2395"/>
      <c r="AI53" s="2395"/>
      <c r="AJ53" s="2395"/>
      <c r="AK53" s="2395"/>
      <c r="AL53" s="2395"/>
      <c r="AM53" s="2395"/>
      <c r="AN53" s="2395"/>
      <c r="AO53" s="2395"/>
      <c r="AP53" s="2395"/>
      <c r="AQ53" s="2395"/>
      <c r="AR53" s="2395"/>
    </row>
    <row r="54" ht="14" spans="1:44">
      <c r="A54" s="3038" t="s">
        <v>707</v>
      </c>
      <c r="B54" s="3039"/>
      <c r="C54" s="845">
        <v>30</v>
      </c>
      <c r="D54" s="2980"/>
      <c r="E54" s="2979"/>
      <c r="F54" s="2979"/>
      <c r="G54" s="2979"/>
      <c r="H54" s="2979"/>
      <c r="I54" s="2979"/>
      <c r="J54" s="2979"/>
      <c r="K54" s="3066"/>
      <c r="L54" s="3066"/>
      <c r="M54" s="2395"/>
      <c r="N54" s="2395"/>
      <c r="O54" s="2395"/>
      <c r="P54" s="2395"/>
      <c r="Q54" s="2395"/>
      <c r="R54" s="2395"/>
      <c r="S54" s="2395"/>
      <c r="T54" s="2395"/>
      <c r="U54" s="2395"/>
      <c r="V54" s="2395"/>
      <c r="W54" s="2395"/>
      <c r="X54" s="2395"/>
      <c r="Y54" s="2395"/>
      <c r="Z54" s="2395"/>
      <c r="AA54" s="2395"/>
      <c r="AB54" s="2395"/>
      <c r="AC54" s="2395"/>
      <c r="AD54" s="2395"/>
      <c r="AE54" s="2395"/>
      <c r="AF54" s="2395"/>
      <c r="AG54" s="2395"/>
      <c r="AH54" s="2395"/>
      <c r="AI54" s="2395"/>
      <c r="AJ54" s="2395"/>
      <c r="AK54" s="2395"/>
      <c r="AL54" s="2395"/>
      <c r="AM54" s="2395"/>
      <c r="AN54" s="2395"/>
      <c r="AO54" s="2395"/>
      <c r="AP54" s="2395"/>
      <c r="AQ54" s="2395"/>
      <c r="AR54" s="2395"/>
    </row>
    <row r="55" ht="14" spans="1:44">
      <c r="A55" s="3038" t="s">
        <v>708</v>
      </c>
      <c r="B55" s="3039"/>
      <c r="C55" s="845">
        <v>24</v>
      </c>
      <c r="D55" s="2980"/>
      <c r="E55" s="2979"/>
      <c r="F55" s="2979"/>
      <c r="G55" s="2979"/>
      <c r="H55" s="2979"/>
      <c r="I55" s="3067"/>
      <c r="J55" s="2979"/>
      <c r="K55" s="3066"/>
      <c r="L55" s="3066"/>
      <c r="M55" s="2395"/>
      <c r="N55" s="2395"/>
      <c r="O55" s="2395"/>
      <c r="P55" s="2395"/>
      <c r="Q55" s="2395"/>
      <c r="R55" s="2395"/>
      <c r="S55" s="2395"/>
      <c r="T55" s="2395"/>
      <c r="U55" s="2395"/>
      <c r="V55" s="2395"/>
      <c r="W55" s="2395"/>
      <c r="X55" s="2395"/>
      <c r="Y55" s="2395"/>
      <c r="Z55" s="2395"/>
      <c r="AA55" s="2395"/>
      <c r="AB55" s="2395"/>
      <c r="AC55" s="2395"/>
      <c r="AD55" s="2395"/>
      <c r="AE55" s="2395"/>
      <c r="AF55" s="2395"/>
      <c r="AG55" s="2395"/>
      <c r="AH55" s="2395"/>
      <c r="AI55" s="2395"/>
      <c r="AJ55" s="2395"/>
      <c r="AK55" s="2395"/>
      <c r="AL55" s="2395"/>
      <c r="AM55" s="2395"/>
      <c r="AN55" s="2395"/>
      <c r="AO55" s="2395"/>
      <c r="AP55" s="2395"/>
      <c r="AQ55" s="2395"/>
      <c r="AR55" s="2395"/>
    </row>
    <row r="56" ht="14" spans="1:44">
      <c r="A56" s="3038" t="s">
        <v>709</v>
      </c>
      <c r="B56" s="3039"/>
      <c r="C56" s="845">
        <v>18</v>
      </c>
      <c r="D56" s="2980"/>
      <c r="E56" s="2979"/>
      <c r="F56" s="2979"/>
      <c r="G56" s="2979"/>
      <c r="H56" s="2979"/>
      <c r="I56" s="2979"/>
      <c r="J56" s="2979"/>
      <c r="K56" s="3066"/>
      <c r="L56" s="3066"/>
      <c r="M56" s="2395"/>
      <c r="N56" s="2395"/>
      <c r="O56" s="2395"/>
      <c r="P56" s="2395"/>
      <c r="Q56" s="2395"/>
      <c r="R56" s="2395"/>
      <c r="S56" s="2395"/>
      <c r="T56" s="2395"/>
      <c r="U56" s="2395"/>
      <c r="V56" s="2395"/>
      <c r="W56" s="2395"/>
      <c r="X56" s="2395"/>
      <c r="Y56" s="2395"/>
      <c r="Z56" s="2395"/>
      <c r="AA56" s="2395"/>
      <c r="AB56" s="2395"/>
      <c r="AC56" s="2395"/>
      <c r="AD56" s="2395"/>
      <c r="AE56" s="2395"/>
      <c r="AF56" s="2395"/>
      <c r="AG56" s="2395"/>
      <c r="AH56" s="2395"/>
      <c r="AI56" s="2395"/>
      <c r="AJ56" s="2395"/>
      <c r="AK56" s="2395"/>
      <c r="AL56" s="2395"/>
      <c r="AM56" s="2395"/>
      <c r="AN56" s="2395"/>
      <c r="AO56" s="2395"/>
      <c r="AP56" s="2395"/>
      <c r="AQ56" s="2395"/>
      <c r="AR56" s="2395"/>
    </row>
    <row r="57" ht="14" spans="1:44">
      <c r="A57" s="3038" t="s">
        <v>710</v>
      </c>
      <c r="B57" s="3039"/>
      <c r="C57" s="845">
        <v>12</v>
      </c>
      <c r="D57" s="2980"/>
      <c r="E57" s="2979"/>
      <c r="F57" s="2979"/>
      <c r="G57" s="2979"/>
      <c r="H57" s="2979"/>
      <c r="I57" s="2979"/>
      <c r="J57" s="2979"/>
      <c r="K57" s="3066"/>
      <c r="L57" s="3066"/>
      <c r="M57" s="2395"/>
      <c r="N57" s="2395"/>
      <c r="O57" s="2395"/>
      <c r="P57" s="2395"/>
      <c r="Q57" s="2395"/>
      <c r="R57" s="2395"/>
      <c r="S57" s="2395"/>
      <c r="T57" s="2395"/>
      <c r="U57" s="2395"/>
      <c r="V57" s="2395"/>
      <c r="W57" s="2395"/>
      <c r="X57" s="2395"/>
      <c r="Y57" s="2395"/>
      <c r="Z57" s="2395"/>
      <c r="AA57" s="2395"/>
      <c r="AB57" s="2395"/>
      <c r="AC57" s="2395"/>
      <c r="AD57" s="2395"/>
      <c r="AE57" s="2395"/>
      <c r="AF57" s="2395"/>
      <c r="AG57" s="2395"/>
      <c r="AH57" s="2395"/>
      <c r="AI57" s="2395"/>
      <c r="AJ57" s="2395"/>
      <c r="AK57" s="2395"/>
      <c r="AL57" s="2395"/>
      <c r="AM57" s="2395"/>
      <c r="AN57" s="2395"/>
      <c r="AO57" s="2395"/>
      <c r="AP57" s="2395"/>
      <c r="AQ57" s="2395"/>
      <c r="AR57" s="2395"/>
    </row>
    <row r="58" ht="14" spans="1:44">
      <c r="A58" s="3038" t="s">
        <v>711</v>
      </c>
      <c r="B58" s="3039"/>
      <c r="C58" s="845">
        <v>3</v>
      </c>
      <c r="D58" s="2980"/>
      <c r="E58" s="2979"/>
      <c r="F58" s="2979"/>
      <c r="G58" s="2979"/>
      <c r="H58" s="2979"/>
      <c r="I58" s="2979"/>
      <c r="J58" s="2979"/>
      <c r="K58" s="3066"/>
      <c r="L58" s="3066"/>
      <c r="M58" s="2395"/>
      <c r="N58" s="2395"/>
      <c r="O58" s="2395"/>
      <c r="P58" s="2395"/>
      <c r="Q58" s="2395"/>
      <c r="R58" s="2395"/>
      <c r="S58" s="2395"/>
      <c r="T58" s="2395"/>
      <c r="U58" s="2395"/>
      <c r="V58" s="2395"/>
      <c r="W58" s="2395"/>
      <c r="X58" s="2395"/>
      <c r="Y58" s="2395"/>
      <c r="Z58" s="2395"/>
      <c r="AA58" s="2395"/>
      <c r="AB58" s="2395"/>
      <c r="AC58" s="2395"/>
      <c r="AD58" s="2395"/>
      <c r="AE58" s="2395"/>
      <c r="AF58" s="2395"/>
      <c r="AG58" s="2395"/>
      <c r="AH58" s="2395"/>
      <c r="AI58" s="2395"/>
      <c r="AJ58" s="2395"/>
      <c r="AK58" s="2395"/>
      <c r="AL58" s="2395"/>
      <c r="AM58" s="2395"/>
      <c r="AN58" s="2395"/>
      <c r="AO58" s="2395"/>
      <c r="AP58" s="2395"/>
      <c r="AQ58" s="2395"/>
      <c r="AR58" s="2395"/>
    </row>
    <row r="59" ht="14" spans="1:44">
      <c r="A59" s="3038" t="s">
        <v>712</v>
      </c>
      <c r="B59" s="3039"/>
      <c r="C59" s="845">
        <v>1.5</v>
      </c>
      <c r="D59" s="2980"/>
      <c r="E59" s="2979"/>
      <c r="F59" s="2979"/>
      <c r="G59" s="2979"/>
      <c r="H59" s="2979"/>
      <c r="I59" s="2979"/>
      <c r="J59" s="2979"/>
      <c r="K59" s="3066"/>
      <c r="L59" s="3066"/>
      <c r="M59" s="2395"/>
      <c r="N59" s="2395"/>
      <c r="O59" s="2395"/>
      <c r="P59" s="2395"/>
      <c r="Q59" s="2395"/>
      <c r="R59" s="2395"/>
      <c r="S59" s="2395"/>
      <c r="T59" s="2395"/>
      <c r="U59" s="2395"/>
      <c r="V59" s="2395"/>
      <c r="W59" s="2395"/>
      <c r="X59" s="2395"/>
      <c r="Y59" s="2395"/>
      <c r="Z59" s="2395"/>
      <c r="AA59" s="2395"/>
      <c r="AB59" s="2395"/>
      <c r="AC59" s="2395"/>
      <c r="AD59" s="2395"/>
      <c r="AE59" s="2395"/>
      <c r="AF59" s="2395"/>
      <c r="AG59" s="2395"/>
      <c r="AH59" s="2395"/>
      <c r="AI59" s="2395"/>
      <c r="AJ59" s="2395"/>
      <c r="AK59" s="2395"/>
      <c r="AL59" s="2395"/>
      <c r="AM59" s="2395"/>
      <c r="AN59" s="2395"/>
      <c r="AO59" s="2395"/>
      <c r="AP59" s="2395"/>
      <c r="AQ59" s="2395"/>
      <c r="AR59" s="2395"/>
    </row>
    <row r="60" ht="14" spans="1:44">
      <c r="A60" s="3038" t="s">
        <v>713</v>
      </c>
      <c r="B60" s="3039"/>
      <c r="C60" s="2979"/>
      <c r="D60" s="2980"/>
      <c r="E60" s="2979"/>
      <c r="F60" s="2979"/>
      <c r="G60" s="2979"/>
      <c r="H60" s="2979"/>
      <c r="I60" s="2979"/>
      <c r="J60" s="2979"/>
      <c r="K60" s="3066"/>
      <c r="L60" s="3066"/>
      <c r="M60" s="2395"/>
      <c r="N60" s="2395"/>
      <c r="O60" s="2395"/>
      <c r="P60" s="2395"/>
      <c r="Q60" s="2395"/>
      <c r="R60" s="2395"/>
      <c r="S60" s="2395"/>
      <c r="T60" s="2395"/>
      <c r="U60" s="2395"/>
      <c r="V60" s="2395"/>
      <c r="W60" s="2395"/>
      <c r="X60" s="2395"/>
      <c r="Y60" s="2395"/>
      <c r="Z60" s="2395"/>
      <c r="AA60" s="2395"/>
      <c r="AB60" s="2395"/>
      <c r="AC60" s="2395"/>
      <c r="AD60" s="2395"/>
      <c r="AE60" s="2395"/>
      <c r="AF60" s="2395"/>
      <c r="AG60" s="2395"/>
      <c r="AH60" s="2395"/>
      <c r="AI60" s="2395"/>
      <c r="AJ60" s="2395"/>
      <c r="AK60" s="2395"/>
      <c r="AL60" s="2395"/>
      <c r="AM60" s="2395"/>
      <c r="AN60" s="2395"/>
      <c r="AO60" s="2395"/>
      <c r="AP60" s="2395"/>
      <c r="AQ60" s="2395"/>
      <c r="AR60" s="2395"/>
    </row>
    <row r="61" ht="14" spans="1:44">
      <c r="A61" s="3038" t="s">
        <v>714</v>
      </c>
      <c r="B61" s="3039"/>
      <c r="C61" s="2979"/>
      <c r="D61" s="2980"/>
      <c r="E61" s="2979"/>
      <c r="F61" s="2979"/>
      <c r="G61" s="2979"/>
      <c r="H61" s="2979"/>
      <c r="I61" s="2979"/>
      <c r="J61" s="2979"/>
      <c r="K61" s="3066"/>
      <c r="L61" s="3066"/>
      <c r="M61" s="2395"/>
      <c r="N61" s="2395"/>
      <c r="O61" s="2395"/>
      <c r="P61" s="2395"/>
      <c r="Q61" s="2395"/>
      <c r="R61" s="2395"/>
      <c r="S61" s="2395"/>
      <c r="T61" s="2395"/>
      <c r="U61" s="2395"/>
      <c r="V61" s="2395"/>
      <c r="W61" s="2395"/>
      <c r="X61" s="2395"/>
      <c r="Y61" s="2395"/>
      <c r="Z61" s="2395"/>
      <c r="AA61" s="2395"/>
      <c r="AB61" s="2395"/>
      <c r="AC61" s="2395"/>
      <c r="AD61" s="2395"/>
      <c r="AE61" s="2395"/>
      <c r="AF61" s="2395"/>
      <c r="AG61" s="2395"/>
      <c r="AH61" s="2395"/>
      <c r="AI61" s="2395"/>
      <c r="AJ61" s="2395"/>
      <c r="AK61" s="2395"/>
      <c r="AL61" s="2395"/>
      <c r="AM61" s="2395"/>
      <c r="AN61" s="2395"/>
      <c r="AO61" s="2395"/>
      <c r="AP61" s="2395"/>
      <c r="AQ61" s="2395"/>
      <c r="AR61" s="2395"/>
    </row>
    <row r="62" ht="14" spans="1:44">
      <c r="A62" s="3038" t="s">
        <v>715</v>
      </c>
      <c r="B62" s="3039"/>
      <c r="C62" s="2979"/>
      <c r="D62" s="2980"/>
      <c r="E62" s="2979"/>
      <c r="F62" s="2979"/>
      <c r="G62" s="2979"/>
      <c r="H62" s="2979"/>
      <c r="I62" s="2979"/>
      <c r="J62" s="2979"/>
      <c r="K62" s="3066"/>
      <c r="L62" s="3066"/>
      <c r="M62" s="2395"/>
      <c r="N62" s="2395"/>
      <c r="O62" s="2395"/>
      <c r="P62" s="2395"/>
      <c r="Q62" s="2395"/>
      <c r="R62" s="2395"/>
      <c r="S62" s="2395"/>
      <c r="T62" s="2395"/>
      <c r="U62" s="2395"/>
      <c r="V62" s="2395"/>
      <c r="W62" s="2395"/>
      <c r="X62" s="2395"/>
      <c r="Y62" s="2395"/>
      <c r="Z62" s="2395"/>
      <c r="AA62" s="2395"/>
      <c r="AB62" s="2395"/>
      <c r="AC62" s="2395"/>
      <c r="AD62" s="2395"/>
      <c r="AE62" s="2395"/>
      <c r="AF62" s="2395"/>
      <c r="AG62" s="2395"/>
      <c r="AH62" s="2395"/>
      <c r="AI62" s="2395"/>
      <c r="AJ62" s="2395"/>
      <c r="AK62" s="2395"/>
      <c r="AL62" s="2395"/>
      <c r="AM62" s="2395"/>
      <c r="AN62" s="2395"/>
      <c r="AO62" s="2395"/>
      <c r="AP62" s="2395"/>
      <c r="AQ62" s="2395"/>
      <c r="AR62" s="2395"/>
    </row>
    <row r="63" ht="14.75" spans="1:44">
      <c r="A63" s="3040" t="s">
        <v>716</v>
      </c>
      <c r="B63" s="3041"/>
      <c r="C63" s="2979"/>
      <c r="D63" s="2980"/>
      <c r="E63" s="2979"/>
      <c r="F63" s="2979"/>
      <c r="G63" s="2979"/>
      <c r="H63" s="2979"/>
      <c r="I63" s="2979"/>
      <c r="J63" s="2979"/>
      <c r="K63" s="3066"/>
      <c r="L63" s="3066"/>
      <c r="M63" s="2395"/>
      <c r="N63" s="2395"/>
      <c r="O63" s="2395"/>
      <c r="P63" s="2395"/>
      <c r="Q63" s="2395"/>
      <c r="R63" s="2395"/>
      <c r="S63" s="2395"/>
      <c r="T63" s="2395"/>
      <c r="U63" s="2395"/>
      <c r="V63" s="2395"/>
      <c r="W63" s="2395"/>
      <c r="X63" s="2395"/>
      <c r="Y63" s="2395"/>
      <c r="Z63" s="2395"/>
      <c r="AA63" s="2395"/>
      <c r="AB63" s="2395"/>
      <c r="AC63" s="2395"/>
      <c r="AD63" s="2395"/>
      <c r="AE63" s="2395"/>
      <c r="AF63" s="2395"/>
      <c r="AG63" s="2395"/>
      <c r="AH63" s="2395"/>
      <c r="AI63" s="2395"/>
      <c r="AJ63" s="2395"/>
      <c r="AK63" s="2395"/>
      <c r="AL63" s="2395"/>
      <c r="AM63" s="2395"/>
      <c r="AN63" s="2395"/>
      <c r="AO63" s="2395"/>
      <c r="AP63" s="2395"/>
      <c r="AQ63" s="2395"/>
      <c r="AR63" s="2395"/>
    </row>
    <row r="64" s="2467" customFormat="1" spans="1:44">
      <c r="A64" s="3042"/>
      <c r="B64" s="2395"/>
      <c r="C64" s="2395"/>
      <c r="D64" s="2977"/>
      <c r="E64" s="2395"/>
      <c r="F64" s="2395"/>
      <c r="G64" s="2395"/>
      <c r="H64" s="2395"/>
      <c r="I64" s="2395"/>
      <c r="J64" s="2395"/>
      <c r="K64" s="3066"/>
      <c r="L64" s="3066"/>
      <c r="M64" s="2395"/>
      <c r="N64" s="2395"/>
      <c r="O64" s="2395"/>
      <c r="P64" s="2395"/>
      <c r="Q64" s="2395"/>
      <c r="R64" s="2395"/>
      <c r="S64" s="2395"/>
      <c r="T64" s="2395"/>
      <c r="U64" s="2395"/>
      <c r="V64" s="2395"/>
      <c r="W64" s="2395"/>
      <c r="X64" s="2395"/>
      <c r="Y64" s="2395"/>
      <c r="Z64" s="2395"/>
      <c r="AA64" s="2395"/>
      <c r="AB64" s="2395"/>
      <c r="AC64" s="2395"/>
      <c r="AD64" s="2395"/>
      <c r="AE64" s="2395"/>
      <c r="AF64" s="2395"/>
      <c r="AG64" s="2395"/>
      <c r="AH64" s="2395"/>
      <c r="AI64" s="2395"/>
      <c r="AJ64" s="2395"/>
      <c r="AK64" s="2395"/>
      <c r="AL64" s="2395"/>
      <c r="AM64" s="2395"/>
      <c r="AN64" s="2395"/>
      <c r="AO64" s="2395"/>
      <c r="AP64" s="2395"/>
      <c r="AQ64" s="2395"/>
      <c r="AR64" s="2395"/>
    </row>
    <row r="65" s="2467" customFormat="1" spans="1:44">
      <c r="A65" s="3042"/>
      <c r="B65" s="2395"/>
      <c r="C65" s="2395"/>
      <c r="D65" s="2977"/>
      <c r="E65" s="2395"/>
      <c r="F65" s="2395"/>
      <c r="G65" s="2395"/>
      <c r="H65" s="2395"/>
      <c r="I65" s="2395"/>
      <c r="J65" s="2395"/>
      <c r="K65" s="3066"/>
      <c r="L65" s="3066"/>
      <c r="M65" s="2395"/>
      <c r="N65" s="2395"/>
      <c r="O65" s="2395"/>
      <c r="P65" s="2395"/>
      <c r="Q65" s="2395"/>
      <c r="R65" s="2395"/>
      <c r="S65" s="2395"/>
      <c r="T65" s="2395"/>
      <c r="U65" s="2395"/>
      <c r="V65" s="2395"/>
      <c r="W65" s="2395"/>
      <c r="X65" s="2395"/>
      <c r="Y65" s="2395"/>
      <c r="Z65" s="2395"/>
      <c r="AA65" s="2395"/>
      <c r="AB65" s="2395"/>
      <c r="AC65" s="2395"/>
      <c r="AD65" s="2395"/>
      <c r="AE65" s="2395"/>
      <c r="AF65" s="2395"/>
      <c r="AG65" s="2395"/>
      <c r="AH65" s="2395"/>
      <c r="AI65" s="2395"/>
      <c r="AJ65" s="2395"/>
      <c r="AK65" s="2395"/>
      <c r="AL65" s="2395"/>
      <c r="AM65" s="2395"/>
      <c r="AN65" s="2395"/>
      <c r="AO65" s="2395"/>
      <c r="AP65" s="2395"/>
      <c r="AQ65" s="2395"/>
      <c r="AR65" s="2395"/>
    </row>
    <row r="66" s="2467" customFormat="1" spans="1:44">
      <c r="A66" s="3042"/>
      <c r="B66" s="2395"/>
      <c r="C66" s="2395"/>
      <c r="D66" s="2977"/>
      <c r="E66" s="2395"/>
      <c r="F66" s="2395"/>
      <c r="G66" s="2395"/>
      <c r="H66" s="2395"/>
      <c r="I66" s="2395"/>
      <c r="J66" s="2395"/>
      <c r="K66" s="3066"/>
      <c r="L66" s="3066"/>
      <c r="M66" s="2395"/>
      <c r="N66" s="2395"/>
      <c r="O66" s="2395"/>
      <c r="P66" s="2395"/>
      <c r="Q66" s="2395"/>
      <c r="R66" s="2395"/>
      <c r="S66" s="2395"/>
      <c r="T66" s="2395"/>
      <c r="U66" s="2395"/>
      <c r="V66" s="2395"/>
      <c r="W66" s="2395"/>
      <c r="X66" s="2395"/>
      <c r="Y66" s="2395"/>
      <c r="Z66" s="2395"/>
      <c r="AA66" s="2395"/>
      <c r="AB66" s="2395"/>
      <c r="AC66" s="2395"/>
      <c r="AD66" s="2395"/>
      <c r="AE66" s="2395"/>
      <c r="AF66" s="2395"/>
      <c r="AG66" s="2395"/>
      <c r="AH66" s="2395"/>
      <c r="AI66" s="2395"/>
      <c r="AJ66" s="2395"/>
      <c r="AK66" s="2395"/>
      <c r="AL66" s="2395"/>
      <c r="AM66" s="2395"/>
      <c r="AN66" s="2395"/>
      <c r="AO66" s="2395"/>
      <c r="AP66" s="2395"/>
      <c r="AQ66" s="2395"/>
      <c r="AR66" s="2395"/>
    </row>
    <row r="67" s="2467" customFormat="1" spans="1:44">
      <c r="A67" s="3042"/>
      <c r="B67" s="2395"/>
      <c r="C67" s="2395"/>
      <c r="D67" s="2977"/>
      <c r="E67" s="2395"/>
      <c r="F67" s="2395"/>
      <c r="G67" s="2395"/>
      <c r="H67" s="2395"/>
      <c r="I67" s="2395"/>
      <c r="J67" s="2395"/>
      <c r="K67" s="3066"/>
      <c r="L67" s="3066"/>
      <c r="M67" s="2395"/>
      <c r="N67" s="2395"/>
      <c r="O67" s="2395"/>
      <c r="P67" s="2395"/>
      <c r="Q67" s="2395"/>
      <c r="R67" s="2395"/>
      <c r="S67" s="2395"/>
      <c r="T67" s="2395"/>
      <c r="U67" s="2395"/>
      <c r="V67" s="2395"/>
      <c r="W67" s="2395"/>
      <c r="X67" s="2395"/>
      <c r="Y67" s="2395"/>
      <c r="Z67" s="2395"/>
      <c r="AA67" s="2395"/>
      <c r="AB67" s="2395"/>
      <c r="AC67" s="2395"/>
      <c r="AD67" s="2395"/>
      <c r="AE67" s="2395"/>
      <c r="AF67" s="2395"/>
      <c r="AG67" s="2395"/>
      <c r="AH67" s="2395"/>
      <c r="AI67" s="2395"/>
      <c r="AJ67" s="2395"/>
      <c r="AK67" s="2395"/>
      <c r="AL67" s="2395"/>
      <c r="AM67" s="2395"/>
      <c r="AN67" s="2395"/>
      <c r="AO67" s="2395"/>
      <c r="AP67" s="2395"/>
      <c r="AQ67" s="2395"/>
      <c r="AR67" s="2395"/>
    </row>
    <row r="68" s="2467" customFormat="1" spans="1:44">
      <c r="A68" s="3042"/>
      <c r="B68" s="2395"/>
      <c r="C68" s="2395"/>
      <c r="D68" s="2977"/>
      <c r="E68" s="2395"/>
      <c r="F68" s="2395"/>
      <c r="G68" s="2395"/>
      <c r="H68" s="2395"/>
      <c r="I68" s="2395"/>
      <c r="J68" s="2395"/>
      <c r="K68" s="3066"/>
      <c r="L68" s="3066"/>
      <c r="M68" s="2395"/>
      <c r="N68" s="2395"/>
      <c r="O68" s="2395"/>
      <c r="P68" s="2395"/>
      <c r="Q68" s="2395"/>
      <c r="R68" s="2395"/>
      <c r="S68" s="2395"/>
      <c r="T68" s="2395"/>
      <c r="U68" s="2395"/>
      <c r="V68" s="2395"/>
      <c r="W68" s="2395"/>
      <c r="X68" s="2395"/>
      <c r="Y68" s="2395"/>
      <c r="Z68" s="2395"/>
      <c r="AA68" s="2395"/>
      <c r="AB68" s="2395"/>
      <c r="AC68" s="2395"/>
      <c r="AD68" s="2395"/>
      <c r="AE68" s="2395"/>
      <c r="AF68" s="2395"/>
      <c r="AG68" s="2395"/>
      <c r="AH68" s="2395"/>
      <c r="AI68" s="2395"/>
      <c r="AJ68" s="2395"/>
      <c r="AK68" s="2395"/>
      <c r="AL68" s="2395"/>
      <c r="AM68" s="2395"/>
      <c r="AN68" s="2395"/>
      <c r="AO68" s="2395"/>
      <c r="AP68" s="2395"/>
      <c r="AQ68" s="2395"/>
      <c r="AR68" s="2395"/>
    </row>
    <row r="69" s="2467" customFormat="1" spans="1:12">
      <c r="A69" s="2839"/>
      <c r="D69" s="3131"/>
      <c r="K69" s="1470"/>
      <c r="L69" s="1470"/>
    </row>
    <row r="70" s="2467" customFormat="1" spans="1:12">
      <c r="A70" s="2839"/>
      <c r="D70" s="3131"/>
      <c r="K70" s="1470"/>
      <c r="L70" s="1470"/>
    </row>
    <row r="71" s="2467" customFormat="1" spans="1:12">
      <c r="A71" s="2839"/>
      <c r="D71" s="3131"/>
      <c r="K71" s="1470"/>
      <c r="L71" s="1470"/>
    </row>
    <row r="72" s="2467" customFormat="1" spans="1:12">
      <c r="A72" s="2839"/>
      <c r="D72" s="3131"/>
      <c r="K72" s="1470"/>
      <c r="L72" s="1470"/>
    </row>
    <row r="73" s="2467" customFormat="1" spans="1:12">
      <c r="A73" s="2839"/>
      <c r="D73" s="3131"/>
      <c r="K73" s="1470"/>
      <c r="L73" s="1470"/>
    </row>
    <row r="74" s="2467" customFormat="1" spans="1:12">
      <c r="A74" s="2839"/>
      <c r="D74" s="3131"/>
      <c r="K74" s="1470"/>
      <c r="L74" s="1470"/>
    </row>
    <row r="75" s="2467" customFormat="1" spans="1:12">
      <c r="A75" s="2839"/>
      <c r="D75" s="3131"/>
      <c r="K75" s="1470"/>
      <c r="L75" s="1470"/>
    </row>
    <row r="76" s="2467" customFormat="1" spans="1:12">
      <c r="A76" s="2839"/>
      <c r="D76" s="3131"/>
      <c r="K76" s="1470"/>
      <c r="L76" s="1470"/>
    </row>
    <row r="77" s="2467" customFormat="1" spans="1:12">
      <c r="A77" s="2839"/>
      <c r="D77" s="3131"/>
      <c r="K77" s="1470"/>
      <c r="L77" s="1470"/>
    </row>
    <row r="78" s="2467" customFormat="1" spans="1:12">
      <c r="A78" s="2839"/>
      <c r="D78" s="3131"/>
      <c r="K78" s="1470"/>
      <c r="L78" s="1470"/>
    </row>
    <row r="79" s="2467" customFormat="1" spans="1:12">
      <c r="A79" s="2839"/>
      <c r="D79" s="3131"/>
      <c r="K79" s="1470"/>
      <c r="L79" s="1470"/>
    </row>
    <row r="80" s="2467" customFormat="1" spans="1:12">
      <c r="A80" s="2839"/>
      <c r="D80" s="3131"/>
      <c r="K80" s="1470"/>
      <c r="L80" s="1470"/>
    </row>
    <row r="81" s="2467" customFormat="1" spans="1:12">
      <c r="A81" s="2839"/>
      <c r="D81" s="3131"/>
      <c r="K81" s="1470"/>
      <c r="L81" s="1470"/>
    </row>
    <row r="82" s="2467" customFormat="1" spans="1:12">
      <c r="A82" s="2839"/>
      <c r="D82" s="3131"/>
      <c r="K82" s="1470"/>
      <c r="L82" s="1470"/>
    </row>
    <row r="83" s="2467" customFormat="1" spans="1:12">
      <c r="A83" s="2839"/>
      <c r="D83" s="3131"/>
      <c r="K83" s="1470"/>
      <c r="L83" s="1470"/>
    </row>
    <row r="84" s="2467" customFormat="1" spans="1:12">
      <c r="A84" s="2839"/>
      <c r="D84" s="3131"/>
      <c r="K84" s="1470"/>
      <c r="L84" s="1470"/>
    </row>
    <row r="85" s="2467" customFormat="1" spans="1:12">
      <c r="A85" s="2839"/>
      <c r="D85" s="3131"/>
      <c r="K85" s="1470"/>
      <c r="L85" s="1470"/>
    </row>
    <row r="86" s="2467" customFormat="1" spans="1:12">
      <c r="A86" s="2839"/>
      <c r="D86" s="3131"/>
      <c r="K86" s="1470"/>
      <c r="L86" s="1470"/>
    </row>
    <row r="87" s="2467" customFormat="1" spans="1:12">
      <c r="A87" s="2839"/>
      <c r="D87" s="3131"/>
      <c r="K87" s="1470"/>
      <c r="L87" s="1470"/>
    </row>
    <row r="88" s="2467" customFormat="1" spans="1:12">
      <c r="A88" s="2839"/>
      <c r="D88" s="3131"/>
      <c r="K88" s="1470"/>
      <c r="L88" s="1470"/>
    </row>
    <row r="89" s="2467" customFormat="1" spans="1:12">
      <c r="A89" s="2839"/>
      <c r="D89" s="3131"/>
      <c r="K89" s="1470"/>
      <c r="L89" s="1470"/>
    </row>
    <row r="90" s="2467" customFormat="1" spans="1:12">
      <c r="A90" s="2839"/>
      <c r="D90" s="3131"/>
      <c r="K90" s="1470"/>
      <c r="L90" s="1470"/>
    </row>
    <row r="91" s="2467" customFormat="1" spans="1:12">
      <c r="A91" s="2839"/>
      <c r="D91" s="3131"/>
      <c r="K91" s="1470"/>
      <c r="L91" s="1470"/>
    </row>
    <row r="92" s="2467" customFormat="1" spans="1:12">
      <c r="A92" s="2839"/>
      <c r="D92" s="3131"/>
      <c r="K92" s="1470"/>
      <c r="L92" s="1470"/>
    </row>
    <row r="93" s="2467" customFormat="1" spans="1:12">
      <c r="A93" s="2839"/>
      <c r="D93" s="3131"/>
      <c r="K93" s="1470"/>
      <c r="L93" s="1470"/>
    </row>
    <row r="94" s="2467" customFormat="1" spans="1:12">
      <c r="A94" s="2839"/>
      <c r="D94" s="3131"/>
      <c r="K94" s="1470"/>
      <c r="L94" s="1470"/>
    </row>
    <row r="95" s="2467" customFormat="1" spans="1:12">
      <c r="A95" s="2839"/>
      <c r="D95" s="3131"/>
      <c r="K95" s="1470"/>
      <c r="L95" s="1470"/>
    </row>
    <row r="96" s="2467" customFormat="1" spans="1:12">
      <c r="A96" s="2839"/>
      <c r="D96" s="3131"/>
      <c r="K96" s="1470"/>
      <c r="L96" s="1470"/>
    </row>
    <row r="97" s="2467" customFormat="1" spans="1:12">
      <c r="A97" s="2839"/>
      <c r="D97" s="3131"/>
      <c r="K97" s="1470"/>
      <c r="L97" s="1470"/>
    </row>
    <row r="98" s="2467" customFormat="1" spans="1:12">
      <c r="A98" s="2839"/>
      <c r="D98" s="3131"/>
      <c r="K98" s="1470"/>
      <c r="L98" s="1470"/>
    </row>
    <row r="99" s="2467" customFormat="1" spans="1:12">
      <c r="A99" s="2839"/>
      <c r="D99" s="3131"/>
      <c r="K99" s="1470"/>
      <c r="L99" s="1470"/>
    </row>
    <row r="100" s="2467" customFormat="1" spans="1:12">
      <c r="A100" s="2839"/>
      <c r="D100" s="3131"/>
      <c r="K100" s="1470"/>
      <c r="L100" s="1470"/>
    </row>
    <row r="101" s="2467" customFormat="1" spans="1:12">
      <c r="A101" s="2839"/>
      <c r="D101" s="3131"/>
      <c r="K101" s="1470"/>
      <c r="L101" s="1470"/>
    </row>
    <row r="102" s="2467" customFormat="1" spans="1:12">
      <c r="A102" s="2839"/>
      <c r="D102" s="3131"/>
      <c r="K102" s="1470"/>
      <c r="L102" s="1470"/>
    </row>
    <row r="103" s="2467" customFormat="1" spans="1:12">
      <c r="A103" s="2839"/>
      <c r="D103" s="3131"/>
      <c r="K103" s="1470"/>
      <c r="L103" s="1470"/>
    </row>
    <row r="104" s="2467" customFormat="1" spans="1:12">
      <c r="A104" s="2839"/>
      <c r="D104" s="3131"/>
      <c r="K104" s="1470"/>
      <c r="L104" s="1470"/>
    </row>
    <row r="105" s="2467" customFormat="1" spans="1:12">
      <c r="A105" s="2839"/>
      <c r="D105" s="3131"/>
      <c r="K105" s="1470"/>
      <c r="L105" s="1470"/>
    </row>
    <row r="106" s="2467" customFormat="1" spans="1:12">
      <c r="A106" s="2839"/>
      <c r="D106" s="3131"/>
      <c r="K106" s="1470"/>
      <c r="L106" s="1470"/>
    </row>
    <row r="107" s="2467" customFormat="1" spans="1:12">
      <c r="A107" s="2839"/>
      <c r="D107" s="3131"/>
      <c r="K107" s="1470"/>
      <c r="L107" s="1470"/>
    </row>
    <row r="108" s="2467" customFormat="1" spans="1:12">
      <c r="A108" s="2839"/>
      <c r="D108" s="3131"/>
      <c r="K108" s="1470"/>
      <c r="L108" s="1470"/>
    </row>
    <row r="109" s="2467" customFormat="1" spans="1:12">
      <c r="A109" s="2839"/>
      <c r="D109" s="3131"/>
      <c r="K109" s="1470"/>
      <c r="L109" s="1470"/>
    </row>
    <row r="110" s="2467" customFormat="1" spans="1:12">
      <c r="A110" s="2839"/>
      <c r="D110" s="3131"/>
      <c r="K110" s="1470"/>
      <c r="L110" s="1470"/>
    </row>
    <row r="111" s="2467" customFormat="1" spans="1:12">
      <c r="A111" s="2839"/>
      <c r="D111" s="3131"/>
      <c r="K111" s="1470"/>
      <c r="L111" s="1470"/>
    </row>
    <row r="112" s="2467" customFormat="1" spans="1:12">
      <c r="A112" s="2839"/>
      <c r="D112" s="3131"/>
      <c r="K112" s="1470"/>
      <c r="L112" s="1470"/>
    </row>
    <row r="113" s="2467" customFormat="1" spans="1:12">
      <c r="A113" s="2839"/>
      <c r="D113" s="3131"/>
      <c r="K113" s="1470"/>
      <c r="L113" s="1470"/>
    </row>
    <row r="114" s="2467" customFormat="1" spans="1:12">
      <c r="A114" s="2839"/>
      <c r="D114" s="3131"/>
      <c r="K114" s="1470"/>
      <c r="L114" s="1470"/>
    </row>
    <row r="115" s="2467" customFormat="1" spans="1:12">
      <c r="A115" s="2839"/>
      <c r="D115" s="3131"/>
      <c r="K115" s="1470"/>
      <c r="L115" s="1470"/>
    </row>
    <row r="116" s="2467" customFormat="1" spans="1:12">
      <c r="A116" s="2839"/>
      <c r="D116" s="3131"/>
      <c r="K116" s="1470"/>
      <c r="L116" s="1470"/>
    </row>
    <row r="117" s="2467" customFormat="1" spans="1:12">
      <c r="A117" s="2839"/>
      <c r="D117" s="3131"/>
      <c r="K117" s="1470"/>
      <c r="L117" s="1470"/>
    </row>
    <row r="118" s="2467" customFormat="1" spans="1:12">
      <c r="A118" s="2839"/>
      <c r="D118" s="3131"/>
      <c r="K118" s="1470"/>
      <c r="L118" s="1470"/>
    </row>
    <row r="119" s="2467" customFormat="1" spans="1:12">
      <c r="A119" s="2839"/>
      <c r="D119" s="3131"/>
      <c r="K119" s="1470"/>
      <c r="L119" s="1470"/>
    </row>
    <row r="120" s="2467" customFormat="1" spans="1:12">
      <c r="A120" s="2839"/>
      <c r="D120" s="3131"/>
      <c r="K120" s="1470"/>
      <c r="L120" s="1470"/>
    </row>
    <row r="121" s="2467" customFormat="1" spans="1:12">
      <c r="A121" s="2839"/>
      <c r="D121" s="3131"/>
      <c r="K121" s="1470"/>
      <c r="L121" s="1470"/>
    </row>
    <row r="122" s="2467" customFormat="1" spans="1:12">
      <c r="A122" s="2839"/>
      <c r="D122" s="3131"/>
      <c r="K122" s="1470"/>
      <c r="L122" s="1470"/>
    </row>
    <row r="123" s="2467" customFormat="1" spans="1:12">
      <c r="A123" s="2839"/>
      <c r="D123" s="3131"/>
      <c r="K123" s="1470"/>
      <c r="L123" s="1470"/>
    </row>
    <row r="124" s="2467" customFormat="1" spans="1:12">
      <c r="A124" s="2839"/>
      <c r="D124" s="3131"/>
      <c r="K124" s="1470"/>
      <c r="L124" s="1470"/>
    </row>
    <row r="125" s="2467" customFormat="1" spans="1:12">
      <c r="A125" s="2839"/>
      <c r="D125" s="3131"/>
      <c r="K125" s="1470"/>
      <c r="L125" s="1470"/>
    </row>
    <row r="126" s="2467" customFormat="1" spans="1:12">
      <c r="A126" s="2839"/>
      <c r="D126" s="3131"/>
      <c r="K126" s="1470"/>
      <c r="L126" s="1470"/>
    </row>
    <row r="127" s="2467" customFormat="1" spans="1:12">
      <c r="A127" s="2839"/>
      <c r="D127" s="3131"/>
      <c r="K127" s="1470"/>
      <c r="L127" s="1470"/>
    </row>
    <row r="128" s="2467" customFormat="1" spans="1:12">
      <c r="A128" s="2839"/>
      <c r="D128" s="3131"/>
      <c r="K128" s="1470"/>
      <c r="L128" s="1470"/>
    </row>
    <row r="129" s="2467" customFormat="1" spans="1:12">
      <c r="A129" s="2839"/>
      <c r="D129" s="3131"/>
      <c r="K129" s="1470"/>
      <c r="L129" s="1470"/>
    </row>
    <row r="130" s="2467" customFormat="1" spans="1:12">
      <c r="A130" s="2839"/>
      <c r="D130" s="3131"/>
      <c r="K130" s="1470"/>
      <c r="L130" s="1470"/>
    </row>
    <row r="131" s="2467" customFormat="1" spans="1:12">
      <c r="A131" s="2839"/>
      <c r="D131" s="3131"/>
      <c r="K131" s="1470"/>
      <c r="L131" s="1470"/>
    </row>
    <row r="132" s="2467" customFormat="1" spans="1:12">
      <c r="A132" s="2839"/>
      <c r="D132" s="3131"/>
      <c r="K132" s="1470"/>
      <c r="L132" s="1470"/>
    </row>
    <row r="133" s="2467" customFormat="1" spans="1:12">
      <c r="A133" s="2839"/>
      <c r="D133" s="3131"/>
      <c r="K133" s="1470"/>
      <c r="L133" s="1470"/>
    </row>
    <row r="134" s="2936" customFormat="1" spans="1:12">
      <c r="A134" s="3132"/>
      <c r="D134" s="3133"/>
      <c r="K134" s="1371"/>
      <c r="L134" s="1371"/>
    </row>
    <row r="135" s="2936" customFormat="1" spans="1:12">
      <c r="A135" s="3132"/>
      <c r="D135" s="3133"/>
      <c r="K135" s="1371"/>
      <c r="L135" s="1371"/>
    </row>
    <row r="136" s="2936" customFormat="1" spans="1:12">
      <c r="A136" s="3132"/>
      <c r="D136" s="3133"/>
      <c r="K136" s="1371"/>
      <c r="L136" s="1371"/>
    </row>
    <row r="137" s="2936" customFormat="1" spans="1:12">
      <c r="A137" s="3132"/>
      <c r="D137" s="3133"/>
      <c r="K137" s="1371"/>
      <c r="L137" s="1371"/>
    </row>
    <row r="138" s="2936" customFormat="1" spans="1:12">
      <c r="A138" s="3132"/>
      <c r="D138" s="3133"/>
      <c r="K138" s="1371"/>
      <c r="L138" s="1371"/>
    </row>
    <row r="139" s="2936" customFormat="1" spans="1:12">
      <c r="A139" s="3132"/>
      <c r="D139" s="3133"/>
      <c r="K139" s="1371"/>
      <c r="L139" s="1371"/>
    </row>
    <row r="140" s="2936" customFormat="1" spans="1:12">
      <c r="A140" s="3132"/>
      <c r="D140" s="3133"/>
      <c r="K140" s="1371"/>
      <c r="L140" s="1371"/>
    </row>
    <row r="141" s="2936" customFormat="1" spans="1:12">
      <c r="A141" s="3132"/>
      <c r="D141" s="3133"/>
      <c r="K141" s="1371"/>
      <c r="L141" s="1371"/>
    </row>
    <row r="142" s="2936" customFormat="1" spans="1:12">
      <c r="A142" s="3132"/>
      <c r="D142" s="3133"/>
      <c r="K142" s="1371"/>
      <c r="L142" s="1371"/>
    </row>
    <row r="143" s="2936" customFormat="1" spans="1:12">
      <c r="A143" s="3132"/>
      <c r="D143" s="3133"/>
      <c r="K143" s="1371"/>
      <c r="L143" s="1371"/>
    </row>
    <row r="144" s="2936" customFormat="1" spans="1:12">
      <c r="A144" s="3132"/>
      <c r="D144" s="3133"/>
      <c r="K144" s="1371"/>
      <c r="L144" s="1371"/>
    </row>
    <row r="145" s="2936" customFormat="1" spans="1:12">
      <c r="A145" s="3132"/>
      <c r="D145" s="3133"/>
      <c r="K145" s="1371"/>
      <c r="L145" s="1371"/>
    </row>
    <row r="146" s="2936" customFormat="1" spans="1:12">
      <c r="A146" s="3132"/>
      <c r="D146" s="3133"/>
      <c r="K146" s="1371"/>
      <c r="L146" s="1371"/>
    </row>
    <row r="147" s="2936" customFormat="1" spans="1:12">
      <c r="A147" s="3132"/>
      <c r="D147" s="3133"/>
      <c r="K147" s="1371"/>
      <c r="L147" s="1371"/>
    </row>
    <row r="148" s="2936" customFormat="1" spans="1:12">
      <c r="A148" s="3132"/>
      <c r="D148" s="3133"/>
      <c r="K148" s="1371"/>
      <c r="L148" s="1371"/>
    </row>
    <row r="149" s="2936" customFormat="1" spans="1:12">
      <c r="A149" s="3132"/>
      <c r="D149" s="3133"/>
      <c r="K149" s="1371"/>
      <c r="L149" s="1371"/>
    </row>
    <row r="150" s="2936" customFormat="1" spans="1:12">
      <c r="A150" s="3132"/>
      <c r="D150" s="3133"/>
      <c r="K150" s="1371"/>
      <c r="L150" s="1371"/>
    </row>
    <row r="151" s="2936" customFormat="1" spans="1:12">
      <c r="A151" s="3132"/>
      <c r="D151" s="3133"/>
      <c r="K151" s="1371"/>
      <c r="L151" s="1371"/>
    </row>
    <row r="152" s="2936" customFormat="1" spans="1:12">
      <c r="A152" s="3132"/>
      <c r="D152" s="3133"/>
      <c r="K152" s="1371"/>
      <c r="L152" s="1371"/>
    </row>
    <row r="153" s="2936" customFormat="1" spans="1:12">
      <c r="A153" s="3132"/>
      <c r="D153" s="3133"/>
      <c r="K153" s="1371"/>
      <c r="L153" s="1371"/>
    </row>
    <row r="154" s="2936" customFormat="1" spans="1:12">
      <c r="A154" s="3132"/>
      <c r="D154" s="3133"/>
      <c r="K154" s="1371"/>
      <c r="L154" s="1371"/>
    </row>
    <row r="155" s="2936" customFormat="1" spans="1:12">
      <c r="A155" s="3132"/>
      <c r="D155" s="3133"/>
      <c r="K155" s="1371"/>
      <c r="L155" s="1371"/>
    </row>
    <row r="156" s="2936" customFormat="1" spans="1:12">
      <c r="A156" s="3132"/>
      <c r="D156" s="3133"/>
      <c r="K156" s="1371"/>
      <c r="L156" s="1371"/>
    </row>
    <row r="157" s="2936" customFormat="1" spans="1:12">
      <c r="A157" s="3132"/>
      <c r="D157" s="3133"/>
      <c r="K157" s="1371"/>
      <c r="L157" s="1371"/>
    </row>
    <row r="158" s="2936" customFormat="1" spans="1:12">
      <c r="A158" s="3132"/>
      <c r="D158" s="3133"/>
      <c r="K158" s="1371"/>
      <c r="L158" s="1371"/>
    </row>
    <row r="159" s="2936" customFormat="1" spans="1:12">
      <c r="A159" s="3132"/>
      <c r="D159" s="3133"/>
      <c r="K159" s="1371"/>
      <c r="L159" s="1371"/>
    </row>
    <row r="160" s="2936" customFormat="1" spans="1:12">
      <c r="A160" s="3132"/>
      <c r="D160" s="3133"/>
      <c r="K160" s="1371"/>
      <c r="L160" s="1371"/>
    </row>
    <row r="161" s="2936" customFormat="1" spans="1:12">
      <c r="A161" s="3132"/>
      <c r="D161" s="3133"/>
      <c r="K161" s="1371"/>
      <c r="L161" s="1371"/>
    </row>
    <row r="162" s="2936" customFormat="1" spans="1:12">
      <c r="A162" s="3132"/>
      <c r="D162" s="3133"/>
      <c r="K162" s="1371"/>
      <c r="L162" s="1371"/>
    </row>
    <row r="163" s="2936" customFormat="1" spans="1:12">
      <c r="A163" s="3132"/>
      <c r="D163" s="3133"/>
      <c r="K163" s="1371"/>
      <c r="L163" s="1371"/>
    </row>
    <row r="164" s="2936" customFormat="1" spans="1:12">
      <c r="A164" s="3132"/>
      <c r="D164" s="3133"/>
      <c r="K164" s="1371"/>
      <c r="L164" s="1371"/>
    </row>
    <row r="165" s="2936" customFormat="1" spans="1:12">
      <c r="A165" s="3132"/>
      <c r="D165" s="3133"/>
      <c r="K165" s="1371"/>
      <c r="L165" s="1371"/>
    </row>
    <row r="166" s="2936" customFormat="1" spans="1:12">
      <c r="A166" s="3132"/>
      <c r="D166" s="3133"/>
      <c r="K166" s="1371"/>
      <c r="L166" s="1371"/>
    </row>
    <row r="167" s="2936" customFormat="1" spans="1:12">
      <c r="A167" s="3132"/>
      <c r="D167" s="3133"/>
      <c r="K167" s="1371"/>
      <c r="L167" s="1371"/>
    </row>
    <row r="168" s="2936" customFormat="1" spans="1:12">
      <c r="A168" s="3132"/>
      <c r="D168" s="3133"/>
      <c r="K168" s="1371"/>
      <c r="L168" s="1371"/>
    </row>
    <row r="169" s="2936" customFormat="1" spans="1:12">
      <c r="A169" s="3132"/>
      <c r="D169" s="3133"/>
      <c r="K169" s="1371"/>
      <c r="L169" s="1371"/>
    </row>
    <row r="170" s="2936" customFormat="1" spans="1:12">
      <c r="A170" s="3132"/>
      <c r="D170" s="3133"/>
      <c r="K170" s="1371"/>
      <c r="L170" s="1371"/>
    </row>
    <row r="171" s="2936" customFormat="1" spans="1:12">
      <c r="A171" s="3132"/>
      <c r="D171" s="3133"/>
      <c r="K171" s="1371"/>
      <c r="L171" s="1371"/>
    </row>
    <row r="172" s="2936" customFormat="1" spans="1:12">
      <c r="A172" s="3132"/>
      <c r="D172" s="3133"/>
      <c r="K172" s="1371"/>
      <c r="L172" s="1371"/>
    </row>
    <row r="173" s="2936" customFormat="1" spans="1:12">
      <c r="A173" s="3132"/>
      <c r="D173" s="3133"/>
      <c r="K173" s="1371"/>
      <c r="L173" s="1371"/>
    </row>
    <row r="174" s="2936" customFormat="1" spans="1:12">
      <c r="A174" s="3132"/>
      <c r="D174" s="3133"/>
      <c r="K174" s="1371"/>
      <c r="L174" s="1371"/>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62" customWidth="1"/>
    <col min="2" max="2" width="24.5" style="2863" customWidth="1"/>
    <col min="3" max="3" width="24.5" style="2864" customWidth="1"/>
    <col min="4" max="4" width="2.62727272727273" style="2864" customWidth="1"/>
    <col min="5" max="5" width="5.87272727272727" style="2864" customWidth="1"/>
    <col min="6" max="6" width="27" style="2863" customWidth="1"/>
    <col min="7" max="7" width="27" style="2865" customWidth="1"/>
    <col min="8" max="8" width="11.8727272727273" style="2866" customWidth="1"/>
    <col min="9" max="9" width="16.7545454545455" style="2867" customWidth="1"/>
    <col min="10" max="10" width="2.62727272727273" style="2866" customWidth="1"/>
    <col min="11" max="11" width="11.8727272727273" style="2866" customWidth="1"/>
    <col min="12" max="12" width="16.7545454545455" style="2867" customWidth="1"/>
    <col min="13" max="13" width="2.62727272727273" style="2866" customWidth="1"/>
    <col min="14" max="14" width="11.8727272727273" style="2866" customWidth="1"/>
    <col min="15" max="15" width="16.7545454545455" style="2867" customWidth="1"/>
    <col min="16" max="16" width="2.62727272727273" style="2866" customWidth="1"/>
    <col min="17" max="17" width="11.8727272727273" style="2866" customWidth="1"/>
    <col min="18" max="18" width="16.7545454545455" style="2868" customWidth="1"/>
    <col min="19" max="29" width="9" style="2384"/>
    <col min="30" max="16384" width="9" style="2862"/>
  </cols>
  <sheetData>
    <row r="1" s="2860" customFormat="1" ht="18.75" spans="1:29">
      <c r="A1" s="2869" t="s">
        <v>717</v>
      </c>
      <c r="B1" s="2870"/>
      <c r="C1" s="2870"/>
      <c r="D1" s="2870"/>
      <c r="E1" s="2870"/>
      <c r="F1" s="2870"/>
      <c r="G1" s="2870"/>
      <c r="H1" s="2871"/>
      <c r="I1" s="2923"/>
      <c r="J1" s="2871"/>
      <c r="K1" s="2871"/>
      <c r="L1" s="2923"/>
      <c r="M1" s="2871"/>
      <c r="N1" s="2871"/>
      <c r="O1" s="2923"/>
      <c r="P1" s="2871"/>
      <c r="Q1" s="2930"/>
      <c r="R1" s="2931"/>
      <c r="S1" s="2932"/>
      <c r="T1" s="2932"/>
      <c r="U1" s="2932"/>
      <c r="V1" s="2932"/>
      <c r="W1" s="2932"/>
      <c r="X1" s="2932"/>
      <c r="Y1" s="2932"/>
      <c r="Z1" s="2932"/>
      <c r="AA1" s="2932"/>
      <c r="AB1" s="2932"/>
      <c r="AC1" s="2932"/>
    </row>
    <row r="2" ht="14.75" spans="1:18">
      <c r="A2" s="2872"/>
      <c r="B2" s="2873"/>
      <c r="C2" s="2874" t="s">
        <v>718</v>
      </c>
      <c r="D2" s="2875"/>
      <c r="E2" s="2872"/>
      <c r="F2" s="2876"/>
      <c r="G2" s="2874" t="s">
        <v>719</v>
      </c>
      <c r="H2" s="2384"/>
      <c r="I2" s="2384"/>
      <c r="J2" s="2384"/>
      <c r="K2" s="2384"/>
      <c r="L2" s="2384"/>
      <c r="M2" s="2384"/>
      <c r="N2" s="2384"/>
      <c r="O2" s="2384"/>
      <c r="P2" s="2384"/>
      <c r="Q2" s="2384"/>
      <c r="R2" s="2384"/>
    </row>
    <row r="3" ht="52" spans="1:18">
      <c r="A3" s="2877" t="s">
        <v>720</v>
      </c>
      <c r="B3" s="2878" t="s">
        <v>721</v>
      </c>
      <c r="C3" s="2879" t="s">
        <v>722</v>
      </c>
      <c r="D3" s="2880"/>
      <c r="E3" s="2881" t="s">
        <v>720</v>
      </c>
      <c r="F3" s="2882" t="s">
        <v>723</v>
      </c>
      <c r="G3" s="2883" t="s">
        <v>724</v>
      </c>
      <c r="H3" s="2384"/>
      <c r="I3" s="2384"/>
      <c r="J3" s="2384"/>
      <c r="K3" s="2384"/>
      <c r="L3" s="2384"/>
      <c r="M3" s="2384"/>
      <c r="N3" s="2384"/>
      <c r="O3" s="2384"/>
      <c r="P3" s="2384"/>
      <c r="Q3" s="2384"/>
      <c r="R3" s="2384"/>
    </row>
    <row r="4" ht="39" spans="1:18">
      <c r="A4" s="2881"/>
      <c r="B4" s="2162" t="s">
        <v>725</v>
      </c>
      <c r="C4" s="2884" t="s">
        <v>726</v>
      </c>
      <c r="D4" s="2880"/>
      <c r="E4" s="2885"/>
      <c r="F4" s="2377" t="s">
        <v>727</v>
      </c>
      <c r="G4" s="2886" t="s">
        <v>728</v>
      </c>
      <c r="H4" s="2384"/>
      <c r="I4" s="2384"/>
      <c r="J4" s="2384"/>
      <c r="K4" s="2384"/>
      <c r="L4" s="2384"/>
      <c r="M4" s="2384"/>
      <c r="N4" s="2384"/>
      <c r="O4" s="2384"/>
      <c r="P4" s="2384"/>
      <c r="Q4" s="2384"/>
      <c r="R4" s="2384"/>
    </row>
    <row r="5" ht="39" spans="1:18">
      <c r="A5" s="2881"/>
      <c r="B5" s="2162" t="s">
        <v>729</v>
      </c>
      <c r="C5" s="2884" t="s">
        <v>730</v>
      </c>
      <c r="D5" s="2880"/>
      <c r="E5" s="2885"/>
      <c r="F5" s="2162" t="s">
        <v>549</v>
      </c>
      <c r="G5" s="2886" t="s">
        <v>731</v>
      </c>
      <c r="H5" s="2384"/>
      <c r="I5" s="2384"/>
      <c r="J5" s="2384"/>
      <c r="K5" s="2384"/>
      <c r="L5" s="2384"/>
      <c r="M5" s="2384"/>
      <c r="N5" s="2384"/>
      <c r="O5" s="2384"/>
      <c r="P5" s="2384"/>
      <c r="Q5" s="2384"/>
      <c r="R5" s="2384"/>
    </row>
    <row r="6" ht="39" spans="1:18">
      <c r="A6" s="2881"/>
      <c r="B6" s="2162" t="s">
        <v>727</v>
      </c>
      <c r="C6" s="2886" t="s">
        <v>728</v>
      </c>
      <c r="D6" s="2880"/>
      <c r="E6" s="2885"/>
      <c r="F6" s="2162" t="s">
        <v>732</v>
      </c>
      <c r="G6" s="2886" t="s">
        <v>733</v>
      </c>
      <c r="H6" s="2384"/>
      <c r="I6" s="2384"/>
      <c r="J6" s="2384"/>
      <c r="K6" s="2384"/>
      <c r="L6" s="2384"/>
      <c r="M6" s="2384"/>
      <c r="N6" s="2384"/>
      <c r="O6" s="2384"/>
      <c r="P6" s="2384"/>
      <c r="Q6" s="2384"/>
      <c r="R6" s="2384"/>
    </row>
    <row r="7" ht="39.75" spans="1:18">
      <c r="A7" s="2881"/>
      <c r="B7" s="2162" t="s">
        <v>549</v>
      </c>
      <c r="C7" s="2886" t="s">
        <v>731</v>
      </c>
      <c r="D7" s="2887"/>
      <c r="E7" s="2888"/>
      <c r="F7" s="2889" t="s">
        <v>734</v>
      </c>
      <c r="G7" s="2890" t="s">
        <v>735</v>
      </c>
      <c r="H7" s="2384"/>
      <c r="I7" s="2384"/>
      <c r="J7" s="2384"/>
      <c r="K7" s="2384"/>
      <c r="L7" s="2384"/>
      <c r="M7" s="2384"/>
      <c r="N7" s="2384"/>
      <c r="O7" s="2384"/>
      <c r="P7" s="2384"/>
      <c r="Q7" s="2384"/>
      <c r="R7" s="2384"/>
    </row>
    <row r="8" ht="26" spans="1:18">
      <c r="A8" s="2881"/>
      <c r="B8" s="2162" t="s">
        <v>732</v>
      </c>
      <c r="C8" s="2886" t="s">
        <v>733</v>
      </c>
      <c r="D8" s="2887"/>
      <c r="E8" s="2887"/>
      <c r="F8" s="2284"/>
      <c r="G8" s="2284"/>
      <c r="H8" s="2384"/>
      <c r="I8" s="2384"/>
      <c r="J8" s="2384"/>
      <c r="K8" s="2384"/>
      <c r="L8" s="2384"/>
      <c r="M8" s="2384"/>
      <c r="N8" s="2384"/>
      <c r="O8" s="2384"/>
      <c r="P8" s="2384"/>
      <c r="Q8" s="2384"/>
      <c r="R8" s="2384"/>
    </row>
    <row r="9" ht="26" spans="1:18">
      <c r="A9" s="2881"/>
      <c r="B9" s="2162" t="s">
        <v>736</v>
      </c>
      <c r="C9" s="2884" t="s">
        <v>737</v>
      </c>
      <c r="D9" s="2880"/>
      <c r="E9" s="2887"/>
      <c r="F9" s="2284"/>
      <c r="G9" s="2284"/>
      <c r="H9" s="2384"/>
      <c r="I9" s="2384"/>
      <c r="J9" s="2384"/>
      <c r="K9" s="2384"/>
      <c r="L9" s="2384"/>
      <c r="M9" s="2384"/>
      <c r="N9" s="2384"/>
      <c r="O9" s="2384"/>
      <c r="P9" s="2384"/>
      <c r="Q9" s="2384"/>
      <c r="R9" s="2384"/>
    </row>
    <row r="10" s="2861" customFormat="1" ht="14.75" spans="1:29">
      <c r="A10" s="2891"/>
      <c r="B10" s="2892" t="s">
        <v>738</v>
      </c>
      <c r="C10" s="2893"/>
      <c r="D10" s="2880"/>
      <c r="E10" s="2880"/>
      <c r="F10" s="2284"/>
      <c r="G10" s="2284"/>
      <c r="H10" s="2894"/>
      <c r="I10" s="2924"/>
      <c r="J10" s="2925"/>
      <c r="K10" s="2894"/>
      <c r="L10" s="2924"/>
      <c r="M10" s="2925"/>
      <c r="N10" s="2894"/>
      <c r="O10" s="2924"/>
      <c r="P10" s="2925"/>
      <c r="Q10" s="2894"/>
      <c r="R10" s="2924"/>
      <c r="S10" s="2384"/>
      <c r="T10" s="2384"/>
      <c r="U10" s="2384"/>
      <c r="V10" s="2384"/>
      <c r="W10" s="2384"/>
      <c r="X10" s="2384"/>
      <c r="Y10" s="2384"/>
      <c r="Z10" s="2384"/>
      <c r="AA10" s="2384"/>
      <c r="AB10" s="2384"/>
      <c r="AC10" s="2384"/>
    </row>
    <row r="11" s="2861" customFormat="1" spans="1:29">
      <c r="A11" s="2895"/>
      <c r="B11" s="2887"/>
      <c r="C11" s="2880"/>
      <c r="D11" s="2880"/>
      <c r="E11" s="2880"/>
      <c r="F11" s="2887"/>
      <c r="G11" s="2896"/>
      <c r="H11" s="2894"/>
      <c r="I11" s="2924"/>
      <c r="J11" s="2925"/>
      <c r="K11" s="2894"/>
      <c r="L11" s="2924"/>
      <c r="M11" s="2925"/>
      <c r="N11" s="2894"/>
      <c r="O11" s="2924"/>
      <c r="P11" s="2925"/>
      <c r="Q11" s="2894"/>
      <c r="R11" s="2924"/>
      <c r="S11" s="2384"/>
      <c r="T11" s="2384"/>
      <c r="U11" s="2384"/>
      <c r="V11" s="2384"/>
      <c r="W11" s="2384"/>
      <c r="X11" s="2384"/>
      <c r="Y11" s="2384"/>
      <c r="Z11" s="2384"/>
      <c r="AA11" s="2384"/>
      <c r="AB11" s="2384"/>
      <c r="AC11" s="2384"/>
    </row>
    <row r="12" s="2860" customFormat="1" ht="18" spans="1:29">
      <c r="A12" s="2895"/>
      <c r="B12" s="2887"/>
      <c r="C12" s="2880"/>
      <c r="D12" s="2897"/>
      <c r="E12" s="2880"/>
      <c r="F12" s="2887"/>
      <c r="G12" s="2896"/>
      <c r="H12" s="2898"/>
      <c r="I12" s="2926"/>
      <c r="J12" s="2898"/>
      <c r="K12" s="2898"/>
      <c r="L12" s="2927"/>
      <c r="M12" s="2898"/>
      <c r="N12" s="2928"/>
      <c r="O12" s="2929"/>
      <c r="P12" s="2928"/>
      <c r="Q12" s="2928"/>
      <c r="R12" s="2931"/>
      <c r="S12" s="2932"/>
      <c r="T12" s="2932"/>
      <c r="U12" s="2932"/>
      <c r="V12" s="2932"/>
      <c r="W12" s="2932"/>
      <c r="X12" s="2932"/>
      <c r="Y12" s="2932"/>
      <c r="Z12" s="2932"/>
      <c r="AA12" s="2932"/>
      <c r="AB12" s="2932"/>
      <c r="AC12" s="2932"/>
    </row>
    <row r="13" ht="14.75" spans="1:7">
      <c r="A13" s="2899" t="s">
        <v>739</v>
      </c>
      <c r="B13" s="2897"/>
      <c r="C13" s="2897"/>
      <c r="D13" s="2895"/>
      <c r="E13" s="2897"/>
      <c r="F13" s="2897"/>
      <c r="G13" s="2897"/>
    </row>
    <row r="14" ht="14.75" spans="1:7">
      <c r="A14" s="2900"/>
      <c r="B14" s="2900"/>
      <c r="C14" s="2901" t="s">
        <v>718</v>
      </c>
      <c r="D14" s="2880"/>
      <c r="E14" s="2902"/>
      <c r="F14" s="2902"/>
      <c r="G14" s="2874" t="s">
        <v>719</v>
      </c>
    </row>
    <row r="15" ht="52" spans="1:7">
      <c r="A15" s="2903" t="s">
        <v>720</v>
      </c>
      <c r="B15" s="2904" t="s">
        <v>721</v>
      </c>
      <c r="C15" s="2905" t="str">
        <f>C3</f>
        <v>估价对象周边居住用地比例、居住小区规模和社区发展完善程度，综合评价居住社区成熟度一般</v>
      </c>
      <c r="D15" s="2880"/>
      <c r="E15" s="2906" t="s">
        <v>720</v>
      </c>
      <c r="F15" s="2904" t="s">
        <v>723</v>
      </c>
      <c r="G15" s="2907" t="str">
        <f>G3</f>
        <v>估价对象位于XX开发区，园区建设成熟度XX，产业集聚程度XX</v>
      </c>
    </row>
    <row r="16" ht="39" spans="1:7">
      <c r="A16" s="2908"/>
      <c r="B16" s="2909" t="s">
        <v>725</v>
      </c>
      <c r="C16" s="2910" t="str">
        <f>C4</f>
        <v>估价对象位于XX商圈，周边商业氛围成熟，人流量大，商业繁华度好</v>
      </c>
      <c r="D16" s="2880"/>
      <c r="E16" s="2911"/>
      <c r="F16" s="2912" t="s">
        <v>727</v>
      </c>
      <c r="G16" s="2913" t="str">
        <f>G4</f>
        <v>估价对象周边道路状况、公共交通通达情况、停车便捷程度，综合评价交通便捷度较好</v>
      </c>
    </row>
    <row r="17" ht="39" spans="1:7">
      <c r="A17" s="2908"/>
      <c r="B17" s="2909" t="s">
        <v>729</v>
      </c>
      <c r="C17" s="2910" t="str">
        <f>C5</f>
        <v>估价对象位于XX商圈，周边办公楼项目较多，入驻率高，办公集聚程度较好</v>
      </c>
      <c r="D17" s="2887"/>
      <c r="E17" s="2911"/>
      <c r="F17" s="2912" t="s">
        <v>740</v>
      </c>
      <c r="G17" s="2914"/>
    </row>
    <row r="18" ht="39" spans="1:7">
      <c r="A18" s="2908"/>
      <c r="B18" s="2912" t="s">
        <v>727</v>
      </c>
      <c r="C18" s="2913" t="str">
        <f>C6</f>
        <v>估价对象周边道路状况、公共交通通达情况、停车便捷程度，综合评价交通便捷度较好</v>
      </c>
      <c r="D18" s="2887"/>
      <c r="E18" s="2911"/>
      <c r="F18" s="2912" t="s">
        <v>734</v>
      </c>
      <c r="G18" s="2913" t="str">
        <f>G7</f>
        <v>该园区内是否有污染型企业，绿化情况，卫生条件，整体环境状况判断</v>
      </c>
    </row>
    <row r="19" ht="26" spans="1:7">
      <c r="A19" s="2908"/>
      <c r="B19" s="2912" t="s">
        <v>740</v>
      </c>
      <c r="C19" s="2914"/>
      <c r="D19" s="2880"/>
      <c r="E19" s="2911"/>
      <c r="F19" s="2162" t="s">
        <v>549</v>
      </c>
      <c r="G19" s="2913" t="str">
        <f>G5</f>
        <v>估价对象所在区域公共配套设施齐备情况</v>
      </c>
    </row>
    <row r="20" ht="26" spans="1:7">
      <c r="A20" s="2908"/>
      <c r="B20" s="2912" t="s">
        <v>741</v>
      </c>
      <c r="C20" s="2910" t="str">
        <f>C9</f>
        <v>区域自然环境：；人文环境；综合评价环境状况一般</v>
      </c>
      <c r="D20" s="2887"/>
      <c r="E20" s="2911"/>
      <c r="F20" s="2162" t="s">
        <v>732</v>
      </c>
      <c r="G20" s="2913" t="str">
        <f>G6</f>
        <v>估价对象所在区域基础设施水平</v>
      </c>
    </row>
    <row r="21" ht="26" spans="1:7">
      <c r="A21" s="2908"/>
      <c r="B21" s="2162" t="s">
        <v>549</v>
      </c>
      <c r="C21" s="2913" t="str">
        <f>C7</f>
        <v>估价对象所在区域公共配套设施齐备情况</v>
      </c>
      <c r="D21" s="2880"/>
      <c r="E21" s="2911"/>
      <c r="F21" s="2912" t="s">
        <v>742</v>
      </c>
      <c r="G21" s="2915"/>
    </row>
    <row r="22" ht="13.5" customHeight="1" spans="1:7">
      <c r="A22" s="2908"/>
      <c r="B22" s="2162" t="s">
        <v>732</v>
      </c>
      <c r="C22" s="2913" t="str">
        <f>C8</f>
        <v>估价对象所在区域基础设施水平</v>
      </c>
      <c r="D22" s="2880"/>
      <c r="E22" s="2911"/>
      <c r="F22" s="2912" t="s">
        <v>738</v>
      </c>
      <c r="G22" s="2914"/>
    </row>
    <row r="23" s="2384" customFormat="1" ht="14.75" spans="1:18">
      <c r="A23" s="2908"/>
      <c r="B23" s="2912" t="s">
        <v>742</v>
      </c>
      <c r="C23" s="2915"/>
      <c r="D23" s="2839"/>
      <c r="E23" s="2916"/>
      <c r="F23" s="2917" t="s">
        <v>498</v>
      </c>
      <c r="G23" s="2918"/>
      <c r="H23" s="2866"/>
      <c r="I23" s="2867"/>
      <c r="J23" s="2866"/>
      <c r="K23" s="2866"/>
      <c r="L23" s="2867"/>
      <c r="M23" s="2866"/>
      <c r="N23" s="2866"/>
      <c r="O23" s="2867"/>
      <c r="P23" s="2866"/>
      <c r="Q23" s="2866"/>
      <c r="R23" s="2868"/>
    </row>
    <row r="24" s="2384" customFormat="1" ht="14.75" spans="1:18">
      <c r="A24" s="2919"/>
      <c r="B24" s="2917" t="s">
        <v>738</v>
      </c>
      <c r="C24" s="2920">
        <f>C10</f>
        <v>0</v>
      </c>
      <c r="D24" s="2839"/>
      <c r="E24" s="2921"/>
      <c r="F24" s="2921"/>
      <c r="G24" s="2922"/>
      <c r="H24" s="2866"/>
      <c r="I24" s="2867"/>
      <c r="J24" s="2866"/>
      <c r="K24" s="2866"/>
      <c r="L24" s="2867"/>
      <c r="M24" s="2866"/>
      <c r="N24" s="2866"/>
      <c r="O24" s="2867"/>
      <c r="P24" s="2866"/>
      <c r="Q24" s="2866"/>
      <c r="R24" s="2868"/>
    </row>
    <row r="25" s="2384" customFormat="1" spans="2:18">
      <c r="B25" s="2866"/>
      <c r="C25" s="2866"/>
      <c r="D25" s="2866"/>
      <c r="H25" s="2866"/>
      <c r="I25" s="2867"/>
      <c r="J25" s="2866"/>
      <c r="K25" s="2866"/>
      <c r="L25" s="2867"/>
      <c r="M25" s="2866"/>
      <c r="N25" s="2866"/>
      <c r="O25" s="2867"/>
      <c r="P25" s="2866"/>
      <c r="Q25" s="2866"/>
      <c r="R25" s="2868"/>
    </row>
    <row r="26" s="2384" customFormat="1" spans="2:18">
      <c r="B26" s="2866"/>
      <c r="C26" s="2866"/>
      <c r="D26" s="2866"/>
      <c r="H26" s="2866"/>
      <c r="I26" s="2867"/>
      <c r="J26" s="2866"/>
      <c r="K26" s="2866"/>
      <c r="L26" s="2867"/>
      <c r="M26" s="2866"/>
      <c r="N26" s="2866"/>
      <c r="O26" s="2867"/>
      <c r="P26" s="2866"/>
      <c r="Q26" s="2866"/>
      <c r="R26" s="2868"/>
    </row>
    <row r="27" s="2384" customFormat="1" spans="2:18">
      <c r="B27" s="2866"/>
      <c r="C27" s="2866"/>
      <c r="D27" s="2866"/>
      <c r="H27" s="2866"/>
      <c r="I27" s="2867"/>
      <c r="J27" s="2866"/>
      <c r="K27" s="2866"/>
      <c r="L27" s="2867"/>
      <c r="M27" s="2866"/>
      <c r="N27" s="2866"/>
      <c r="O27" s="2867"/>
      <c r="P27" s="2866"/>
      <c r="Q27" s="2866"/>
      <c r="R27" s="2868"/>
    </row>
    <row r="28" s="2384" customFormat="1" spans="2:18">
      <c r="B28" s="2866"/>
      <c r="C28" s="2866"/>
      <c r="D28" s="2866"/>
      <c r="H28" s="2866"/>
      <c r="I28" s="2867"/>
      <c r="J28" s="2866"/>
      <c r="K28" s="2866"/>
      <c r="L28" s="2867"/>
      <c r="M28" s="2866"/>
      <c r="N28" s="2866"/>
      <c r="O28" s="2867"/>
      <c r="P28" s="2866"/>
      <c r="Q28" s="2866"/>
      <c r="R28" s="2868"/>
    </row>
    <row r="29" s="2384" customFormat="1" spans="2:18">
      <c r="B29" s="2866"/>
      <c r="C29" s="2866"/>
      <c r="D29" s="2866"/>
      <c r="H29" s="2866"/>
      <c r="I29" s="2867"/>
      <c r="J29" s="2866"/>
      <c r="K29" s="2866"/>
      <c r="L29" s="2867"/>
      <c r="M29" s="2866"/>
      <c r="N29" s="2866"/>
      <c r="O29" s="2867"/>
      <c r="P29" s="2866"/>
      <c r="Q29" s="2866"/>
      <c r="R29" s="2868"/>
    </row>
    <row r="30" s="2384" customFormat="1" spans="2:18">
      <c r="B30" s="2866"/>
      <c r="C30" s="2866"/>
      <c r="D30" s="2866"/>
      <c r="H30" s="2866"/>
      <c r="I30" s="2867"/>
      <c r="J30" s="2866"/>
      <c r="K30" s="2866"/>
      <c r="L30" s="2867"/>
      <c r="M30" s="2866"/>
      <c r="N30" s="2866"/>
      <c r="O30" s="2867"/>
      <c r="P30" s="2866"/>
      <c r="Q30" s="2866"/>
      <c r="R30" s="2868"/>
    </row>
    <row r="31" s="2384" customFormat="1" spans="2:18">
      <c r="B31" s="2866"/>
      <c r="C31" s="2866"/>
      <c r="D31" s="2866"/>
      <c r="H31" s="2866"/>
      <c r="I31" s="2867"/>
      <c r="J31" s="2866"/>
      <c r="K31" s="2866"/>
      <c r="L31" s="2867"/>
      <c r="M31" s="2866"/>
      <c r="N31" s="2866"/>
      <c r="O31" s="2867"/>
      <c r="P31" s="2866"/>
      <c r="Q31" s="2866"/>
      <c r="R31" s="2868"/>
    </row>
    <row r="32" s="2384" customFormat="1" spans="2:18">
      <c r="B32" s="2866"/>
      <c r="C32" s="2866"/>
      <c r="D32" s="2866"/>
      <c r="H32" s="2866"/>
      <c r="I32" s="2867"/>
      <c r="J32" s="2866"/>
      <c r="K32" s="2866"/>
      <c r="L32" s="2867"/>
      <c r="M32" s="2866"/>
      <c r="N32" s="2866"/>
      <c r="O32" s="2867"/>
      <c r="P32" s="2866"/>
      <c r="Q32" s="2866"/>
      <c r="R32" s="2868"/>
    </row>
    <row r="33" s="2384" customFormat="1" spans="2:18">
      <c r="B33" s="2866"/>
      <c r="C33" s="2866"/>
      <c r="D33" s="2866"/>
      <c r="H33" s="2866"/>
      <c r="I33" s="2867"/>
      <c r="J33" s="2866"/>
      <c r="K33" s="2866"/>
      <c r="L33" s="2867"/>
      <c r="M33" s="2866"/>
      <c r="N33" s="2866"/>
      <c r="O33" s="2867"/>
      <c r="P33" s="2866"/>
      <c r="Q33" s="2866"/>
      <c r="R33" s="2868"/>
    </row>
    <row r="34" s="2384" customFormat="1" spans="2:18">
      <c r="B34" s="2866"/>
      <c r="C34" s="2866"/>
      <c r="D34" s="2866"/>
      <c r="H34" s="2866"/>
      <c r="I34" s="2867"/>
      <c r="J34" s="2866"/>
      <c r="K34" s="2866"/>
      <c r="L34" s="2867"/>
      <c r="M34" s="2866"/>
      <c r="N34" s="2866"/>
      <c r="O34" s="2867"/>
      <c r="P34" s="2866"/>
      <c r="Q34" s="2866"/>
      <c r="R34" s="2868"/>
    </row>
    <row r="35" s="2384" customFormat="1" spans="2:18">
      <c r="B35" s="2866"/>
      <c r="C35" s="2866"/>
      <c r="D35" s="2866"/>
      <c r="H35" s="2866"/>
      <c r="I35" s="2867"/>
      <c r="J35" s="2866"/>
      <c r="K35" s="2866"/>
      <c r="L35" s="2867"/>
      <c r="M35" s="2866"/>
      <c r="N35" s="2866"/>
      <c r="O35" s="2867"/>
      <c r="P35" s="2866"/>
      <c r="Q35" s="2866"/>
      <c r="R35" s="2868"/>
    </row>
    <row r="36" s="2384" customFormat="1" spans="2:18">
      <c r="B36" s="2866"/>
      <c r="C36" s="2866"/>
      <c r="D36" s="2866"/>
      <c r="H36" s="2866"/>
      <c r="I36" s="2867"/>
      <c r="J36" s="2866"/>
      <c r="K36" s="2866"/>
      <c r="L36" s="2867"/>
      <c r="M36" s="2866"/>
      <c r="N36" s="2866"/>
      <c r="O36" s="2867"/>
      <c r="P36" s="2866"/>
      <c r="Q36" s="2866"/>
      <c r="R36" s="2868"/>
    </row>
    <row r="37" s="2384" customFormat="1" spans="2:18">
      <c r="B37" s="2866"/>
      <c r="C37" s="2866"/>
      <c r="D37" s="2866"/>
      <c r="H37" s="2866"/>
      <c r="I37" s="2867"/>
      <c r="J37" s="2866"/>
      <c r="K37" s="2866"/>
      <c r="L37" s="2867"/>
      <c r="M37" s="2866"/>
      <c r="N37" s="2866"/>
      <c r="O37" s="2867"/>
      <c r="P37" s="2866"/>
      <c r="Q37" s="2866"/>
      <c r="R37" s="2868"/>
    </row>
    <row r="38" s="2384" customFormat="1" spans="2:18">
      <c r="B38" s="2866"/>
      <c r="C38" s="2866"/>
      <c r="D38" s="2866"/>
      <c r="E38" s="2866"/>
      <c r="F38" s="2866"/>
      <c r="G38" s="2867"/>
      <c r="H38" s="2866"/>
      <c r="I38" s="2867"/>
      <c r="J38" s="2866"/>
      <c r="K38" s="2866"/>
      <c r="L38" s="2867"/>
      <c r="M38" s="2866"/>
      <c r="N38" s="2866"/>
      <c r="O38" s="2867"/>
      <c r="P38" s="2866"/>
      <c r="Q38" s="2866"/>
      <c r="R38" s="2868"/>
    </row>
    <row r="39" s="2384" customFormat="1" spans="2:18">
      <c r="B39" s="2866"/>
      <c r="C39" s="2866"/>
      <c r="D39" s="2866"/>
      <c r="E39" s="2866"/>
      <c r="F39" s="2866"/>
      <c r="G39" s="2867"/>
      <c r="H39" s="2866"/>
      <c r="I39" s="2867"/>
      <c r="J39" s="2866"/>
      <c r="K39" s="2866"/>
      <c r="L39" s="2867"/>
      <c r="M39" s="2866"/>
      <c r="N39" s="2866"/>
      <c r="O39" s="2867"/>
      <c r="P39" s="2866"/>
      <c r="Q39" s="2866"/>
      <c r="R39" s="2868"/>
    </row>
    <row r="40" s="2384" customFormat="1" spans="2:18">
      <c r="B40" s="2866"/>
      <c r="C40" s="2866"/>
      <c r="D40" s="2866"/>
      <c r="E40" s="2866"/>
      <c r="F40" s="2866"/>
      <c r="G40" s="2867"/>
      <c r="H40" s="2866"/>
      <c r="I40" s="2867"/>
      <c r="J40" s="2866"/>
      <c r="K40" s="2866"/>
      <c r="L40" s="2867"/>
      <c r="M40" s="2866"/>
      <c r="N40" s="2866"/>
      <c r="O40" s="2867"/>
      <c r="P40" s="2866"/>
      <c r="Q40" s="2866"/>
      <c r="R40" s="2868"/>
    </row>
    <row r="41" s="2384" customFormat="1" spans="2:18">
      <c r="B41" s="2866"/>
      <c r="C41" s="2866"/>
      <c r="D41" s="2866"/>
      <c r="E41" s="2866"/>
      <c r="F41" s="2866"/>
      <c r="G41" s="2867"/>
      <c r="H41" s="2866"/>
      <c r="I41" s="2867"/>
      <c r="J41" s="2866"/>
      <c r="K41" s="2866"/>
      <c r="L41" s="2867"/>
      <c r="M41" s="2866"/>
      <c r="N41" s="2866"/>
      <c r="O41" s="2867"/>
      <c r="P41" s="2866"/>
      <c r="Q41" s="2866"/>
      <c r="R41" s="2868"/>
    </row>
    <row r="42" s="2384" customFormat="1" spans="2:18">
      <c r="B42" s="2866"/>
      <c r="C42" s="2866"/>
      <c r="D42" s="2866"/>
      <c r="E42" s="2866"/>
      <c r="F42" s="2866"/>
      <c r="G42" s="2867"/>
      <c r="H42" s="2866"/>
      <c r="I42" s="2867"/>
      <c r="J42" s="2866"/>
      <c r="K42" s="2866"/>
      <c r="L42" s="2867"/>
      <c r="M42" s="2866"/>
      <c r="N42" s="2866"/>
      <c r="O42" s="2867"/>
      <c r="P42" s="2866"/>
      <c r="Q42" s="2866"/>
      <c r="R42" s="2868"/>
    </row>
    <row r="43" s="2384" customFormat="1" spans="2:18">
      <c r="B43" s="2866"/>
      <c r="C43" s="2866"/>
      <c r="D43" s="2866"/>
      <c r="E43" s="2866"/>
      <c r="F43" s="2866"/>
      <c r="G43" s="2867"/>
      <c r="H43" s="2866"/>
      <c r="I43" s="2867"/>
      <c r="J43" s="2866"/>
      <c r="K43" s="2866"/>
      <c r="L43" s="2867"/>
      <c r="M43" s="2866"/>
      <c r="N43" s="2866"/>
      <c r="O43" s="2867"/>
      <c r="P43" s="2866"/>
      <c r="Q43" s="2866"/>
      <c r="R43" s="2868"/>
    </row>
    <row r="44" s="2384" customFormat="1" spans="2:18">
      <c r="B44" s="2866"/>
      <c r="C44" s="2866"/>
      <c r="D44" s="2866"/>
      <c r="E44" s="2866"/>
      <c r="F44" s="2866"/>
      <c r="G44" s="2867"/>
      <c r="H44" s="2866"/>
      <c r="I44" s="2867"/>
      <c r="J44" s="2866"/>
      <c r="K44" s="2866"/>
      <c r="L44" s="2867"/>
      <c r="M44" s="2866"/>
      <c r="N44" s="2866"/>
      <c r="O44" s="2867"/>
      <c r="P44" s="2866"/>
      <c r="Q44" s="2866"/>
      <c r="R44" s="2868"/>
    </row>
    <row r="45" s="2384" customFormat="1" spans="2:18">
      <c r="B45" s="2866"/>
      <c r="C45" s="2866"/>
      <c r="D45" s="2866"/>
      <c r="E45" s="2866"/>
      <c r="F45" s="2866"/>
      <c r="G45" s="2867"/>
      <c r="H45" s="2866"/>
      <c r="I45" s="2867"/>
      <c r="J45" s="2866"/>
      <c r="K45" s="2866"/>
      <c r="L45" s="2867"/>
      <c r="M45" s="2866"/>
      <c r="N45" s="2866"/>
      <c r="O45" s="2867"/>
      <c r="P45" s="2866"/>
      <c r="Q45" s="2866"/>
      <c r="R45" s="2868"/>
    </row>
    <row r="46" s="2384" customFormat="1" spans="2:18">
      <c r="B46" s="2866"/>
      <c r="C46" s="2866"/>
      <c r="D46" s="2866"/>
      <c r="E46" s="2866"/>
      <c r="F46" s="2866"/>
      <c r="G46" s="2867"/>
      <c r="H46" s="2866"/>
      <c r="I46" s="2867"/>
      <c r="J46" s="2866"/>
      <c r="K46" s="2866"/>
      <c r="L46" s="2867"/>
      <c r="M46" s="2866"/>
      <c r="N46" s="2866"/>
      <c r="O46" s="2867"/>
      <c r="P46" s="2866"/>
      <c r="Q46" s="2866"/>
      <c r="R46" s="2868"/>
    </row>
    <row r="47" s="2384" customFormat="1" spans="2:18">
      <c r="B47" s="2866"/>
      <c r="C47" s="2866"/>
      <c r="D47" s="2866"/>
      <c r="E47" s="2866"/>
      <c r="F47" s="2866"/>
      <c r="G47" s="2867"/>
      <c r="H47" s="2866"/>
      <c r="I47" s="2867"/>
      <c r="J47" s="2866"/>
      <c r="K47" s="2866"/>
      <c r="L47" s="2867"/>
      <c r="M47" s="2866"/>
      <c r="N47" s="2866"/>
      <c r="O47" s="2867"/>
      <c r="P47" s="2866"/>
      <c r="Q47" s="2866"/>
      <c r="R47" s="2868"/>
    </row>
    <row r="48" s="2384" customFormat="1" spans="2:18">
      <c r="B48" s="2866"/>
      <c r="C48" s="2866"/>
      <c r="D48" s="2866"/>
      <c r="E48" s="2866"/>
      <c r="F48" s="2866"/>
      <c r="G48" s="2867"/>
      <c r="H48" s="2866"/>
      <c r="I48" s="2867"/>
      <c r="J48" s="2866"/>
      <c r="K48" s="2866"/>
      <c r="L48" s="2867"/>
      <c r="M48" s="2866"/>
      <c r="N48" s="2866"/>
      <c r="O48" s="2867"/>
      <c r="P48" s="2866"/>
      <c r="Q48" s="2866"/>
      <c r="R48" s="2868"/>
    </row>
    <row r="49" s="2384" customFormat="1" spans="2:18">
      <c r="B49" s="2866"/>
      <c r="C49" s="2866"/>
      <c r="D49" s="2866"/>
      <c r="E49" s="2866"/>
      <c r="F49" s="2866"/>
      <c r="G49" s="2867"/>
      <c r="H49" s="2866"/>
      <c r="I49" s="2867"/>
      <c r="J49" s="2866"/>
      <c r="K49" s="2866"/>
      <c r="L49" s="2867"/>
      <c r="M49" s="2866"/>
      <c r="N49" s="2866"/>
      <c r="O49" s="2867"/>
      <c r="P49" s="2866"/>
      <c r="Q49" s="2866"/>
      <c r="R49" s="2868"/>
    </row>
    <row r="50" s="2384" customFormat="1" spans="2:18">
      <c r="B50" s="2866"/>
      <c r="C50" s="2866"/>
      <c r="D50" s="2866"/>
      <c r="E50" s="2866"/>
      <c r="F50" s="2866"/>
      <c r="G50" s="2867"/>
      <c r="H50" s="2866"/>
      <c r="I50" s="2867"/>
      <c r="J50" s="2866"/>
      <c r="K50" s="2866"/>
      <c r="L50" s="2867"/>
      <c r="M50" s="2866"/>
      <c r="N50" s="2866"/>
      <c r="O50" s="2867"/>
      <c r="P50" s="2866"/>
      <c r="Q50" s="2866"/>
      <c r="R50" s="2868"/>
    </row>
    <row r="51" s="2384" customFormat="1" spans="2:18">
      <c r="B51" s="2866"/>
      <c r="C51" s="2866"/>
      <c r="D51" s="2866"/>
      <c r="E51" s="2866"/>
      <c r="F51" s="2866"/>
      <c r="G51" s="2867"/>
      <c r="H51" s="2866"/>
      <c r="I51" s="2867"/>
      <c r="J51" s="2866"/>
      <c r="K51" s="2866"/>
      <c r="L51" s="2867"/>
      <c r="M51" s="2866"/>
      <c r="N51" s="2866"/>
      <c r="O51" s="2867"/>
      <c r="P51" s="2866"/>
      <c r="Q51" s="2866"/>
      <c r="R51" s="2868"/>
    </row>
    <row r="52" s="2384" customFormat="1" spans="2:18">
      <c r="B52" s="2866"/>
      <c r="C52" s="2866"/>
      <c r="D52" s="2866"/>
      <c r="E52" s="2866"/>
      <c r="F52" s="2866"/>
      <c r="G52" s="2867"/>
      <c r="H52" s="2866"/>
      <c r="I52" s="2867"/>
      <c r="J52" s="2866"/>
      <c r="K52" s="2866"/>
      <c r="L52" s="2867"/>
      <c r="M52" s="2866"/>
      <c r="N52" s="2866"/>
      <c r="O52" s="2867"/>
      <c r="P52" s="2866"/>
      <c r="Q52" s="2866"/>
      <c r="R52" s="2868"/>
    </row>
    <row r="53" s="2384" customFormat="1" spans="2:18">
      <c r="B53" s="2866"/>
      <c r="C53" s="2866"/>
      <c r="D53" s="2866"/>
      <c r="E53" s="2866"/>
      <c r="F53" s="2866"/>
      <c r="G53" s="2867"/>
      <c r="H53" s="2866"/>
      <c r="I53" s="2867"/>
      <c r="J53" s="2866"/>
      <c r="K53" s="2866"/>
      <c r="L53" s="2867"/>
      <c r="M53" s="2866"/>
      <c r="N53" s="2866"/>
      <c r="O53" s="2867"/>
      <c r="P53" s="2866"/>
      <c r="Q53" s="2866"/>
      <c r="R53" s="2868"/>
    </row>
    <row r="54" s="2384" customFormat="1" spans="2:18">
      <c r="B54" s="2866"/>
      <c r="C54" s="2866"/>
      <c r="D54" s="2866"/>
      <c r="E54" s="2866"/>
      <c r="F54" s="2866"/>
      <c r="G54" s="2867"/>
      <c r="H54" s="2866"/>
      <c r="I54" s="2867"/>
      <c r="J54" s="2866"/>
      <c r="K54" s="2866"/>
      <c r="L54" s="2867"/>
      <c r="M54" s="2866"/>
      <c r="N54" s="2866"/>
      <c r="O54" s="2867"/>
      <c r="P54" s="2866"/>
      <c r="Q54" s="2866"/>
      <c r="R54" s="2868"/>
    </row>
    <row r="55" s="2384" customFormat="1" spans="2:18">
      <c r="B55" s="2866"/>
      <c r="C55" s="2866"/>
      <c r="D55" s="2866"/>
      <c r="E55" s="2866"/>
      <c r="F55" s="2866"/>
      <c r="G55" s="2867"/>
      <c r="H55" s="2866"/>
      <c r="I55" s="2867"/>
      <c r="J55" s="2866"/>
      <c r="K55" s="2866"/>
      <c r="L55" s="2867"/>
      <c r="M55" s="2866"/>
      <c r="N55" s="2866"/>
      <c r="O55" s="2867"/>
      <c r="P55" s="2866"/>
      <c r="Q55" s="2866"/>
      <c r="R55" s="2868"/>
    </row>
    <row r="56" s="2384" customFormat="1" spans="2:18">
      <c r="B56" s="2866"/>
      <c r="C56" s="2866"/>
      <c r="D56" s="2866"/>
      <c r="E56" s="2866"/>
      <c r="F56" s="2866"/>
      <c r="G56" s="2867"/>
      <c r="H56" s="2866"/>
      <c r="I56" s="2867"/>
      <c r="J56" s="2866"/>
      <c r="K56" s="2866"/>
      <c r="L56" s="2867"/>
      <c r="M56" s="2866"/>
      <c r="N56" s="2866"/>
      <c r="O56" s="2867"/>
      <c r="P56" s="2866"/>
      <c r="Q56" s="2866"/>
      <c r="R56" s="2868"/>
    </row>
    <row r="57" s="2384" customFormat="1" spans="2:18">
      <c r="B57" s="2866"/>
      <c r="C57" s="2866"/>
      <c r="D57" s="2866"/>
      <c r="E57" s="2866"/>
      <c r="F57" s="2866"/>
      <c r="G57" s="2867"/>
      <c r="H57" s="2866"/>
      <c r="I57" s="2867"/>
      <c r="J57" s="2866"/>
      <c r="K57" s="2866"/>
      <c r="L57" s="2867"/>
      <c r="M57" s="2866"/>
      <c r="N57" s="2866"/>
      <c r="O57" s="2867"/>
      <c r="P57" s="2866"/>
      <c r="Q57" s="2866"/>
      <c r="R57" s="2868"/>
    </row>
    <row r="58" s="2384" customFormat="1" spans="2:18">
      <c r="B58" s="2866"/>
      <c r="C58" s="2866"/>
      <c r="D58" s="2866"/>
      <c r="E58" s="2866"/>
      <c r="F58" s="2866"/>
      <c r="G58" s="2867"/>
      <c r="H58" s="2866"/>
      <c r="I58" s="2867"/>
      <c r="J58" s="2866"/>
      <c r="K58" s="2866"/>
      <c r="L58" s="2867"/>
      <c r="M58" s="2866"/>
      <c r="N58" s="2866"/>
      <c r="O58" s="2867"/>
      <c r="P58" s="2866"/>
      <c r="Q58" s="2866"/>
      <c r="R58" s="2868"/>
    </row>
    <row r="59" s="2384" customFormat="1" spans="2:18">
      <c r="B59" s="2866"/>
      <c r="C59" s="2866"/>
      <c r="D59" s="2866"/>
      <c r="E59" s="2866"/>
      <c r="F59" s="2866"/>
      <c r="G59" s="2867"/>
      <c r="H59" s="2866"/>
      <c r="I59" s="2867"/>
      <c r="J59" s="2866"/>
      <c r="K59" s="2866"/>
      <c r="L59" s="2867"/>
      <c r="M59" s="2866"/>
      <c r="N59" s="2866"/>
      <c r="O59" s="2867"/>
      <c r="P59" s="2866"/>
      <c r="Q59" s="2866"/>
      <c r="R59" s="2868"/>
    </row>
    <row r="60" s="2384" customFormat="1" spans="2:18">
      <c r="B60" s="2866"/>
      <c r="C60" s="2866"/>
      <c r="D60" s="2866"/>
      <c r="E60" s="2866"/>
      <c r="F60" s="2866"/>
      <c r="G60" s="2867"/>
      <c r="H60" s="2866"/>
      <c r="I60" s="2867"/>
      <c r="J60" s="2866"/>
      <c r="K60" s="2866"/>
      <c r="L60" s="2867"/>
      <c r="M60" s="2866"/>
      <c r="N60" s="2866"/>
      <c r="O60" s="2867"/>
      <c r="P60" s="2866"/>
      <c r="Q60" s="2866"/>
      <c r="R60" s="2868"/>
    </row>
    <row r="61" s="2384" customFormat="1" spans="2:18">
      <c r="B61" s="2866"/>
      <c r="C61" s="2866"/>
      <c r="D61" s="2866"/>
      <c r="E61" s="2866"/>
      <c r="F61" s="2866"/>
      <c r="G61" s="2867"/>
      <c r="H61" s="2866"/>
      <c r="I61" s="2867"/>
      <c r="J61" s="2866"/>
      <c r="K61" s="2866"/>
      <c r="L61" s="2867"/>
      <c r="M61" s="2866"/>
      <c r="N61" s="2866"/>
      <c r="O61" s="2867"/>
      <c r="P61" s="2866"/>
      <c r="Q61" s="2866"/>
      <c r="R61" s="2868"/>
    </row>
    <row r="62" s="2384" customFormat="1" spans="2:18">
      <c r="B62" s="2866"/>
      <c r="C62" s="2866"/>
      <c r="D62" s="2866"/>
      <c r="E62" s="2866"/>
      <c r="F62" s="2866"/>
      <c r="G62" s="2867"/>
      <c r="H62" s="2866"/>
      <c r="I62" s="2867"/>
      <c r="J62" s="2866"/>
      <c r="K62" s="2866"/>
      <c r="L62" s="2867"/>
      <c r="M62" s="2866"/>
      <c r="N62" s="2866"/>
      <c r="O62" s="2867"/>
      <c r="P62" s="2866"/>
      <c r="Q62" s="2866"/>
      <c r="R62" s="2868"/>
    </row>
    <row r="63" s="2384" customFormat="1" spans="2:18">
      <c r="B63" s="2866"/>
      <c r="C63" s="2866"/>
      <c r="D63" s="2866"/>
      <c r="E63" s="2866"/>
      <c r="F63" s="2866"/>
      <c r="G63" s="2867"/>
      <c r="H63" s="2866"/>
      <c r="I63" s="2867"/>
      <c r="J63" s="2866"/>
      <c r="K63" s="2866"/>
      <c r="L63" s="2867"/>
      <c r="M63" s="2866"/>
      <c r="N63" s="2866"/>
      <c r="O63" s="2867"/>
      <c r="P63" s="2866"/>
      <c r="Q63" s="2866"/>
      <c r="R63" s="2868"/>
    </row>
    <row r="64" s="2384" customFormat="1" spans="2:18">
      <c r="B64" s="2866"/>
      <c r="C64" s="2866"/>
      <c r="D64" s="2866"/>
      <c r="E64" s="2866"/>
      <c r="F64" s="2866"/>
      <c r="G64" s="2867"/>
      <c r="H64" s="2866"/>
      <c r="I64" s="2867"/>
      <c r="J64" s="2866"/>
      <c r="K64" s="2866"/>
      <c r="L64" s="2867"/>
      <c r="M64" s="2866"/>
      <c r="N64" s="2866"/>
      <c r="O64" s="2867"/>
      <c r="P64" s="2866"/>
      <c r="Q64" s="2866"/>
      <c r="R64" s="2868"/>
    </row>
    <row r="65" s="2384" customFormat="1" spans="2:18">
      <c r="B65" s="2866"/>
      <c r="C65" s="2866"/>
      <c r="D65" s="2866"/>
      <c r="E65" s="2866"/>
      <c r="F65" s="2866"/>
      <c r="G65" s="2867"/>
      <c r="H65" s="2866"/>
      <c r="I65" s="2867"/>
      <c r="J65" s="2866"/>
      <c r="K65" s="2866"/>
      <c r="L65" s="2867"/>
      <c r="M65" s="2866"/>
      <c r="N65" s="2866"/>
      <c r="O65" s="2867"/>
      <c r="P65" s="2866"/>
      <c r="Q65" s="2866"/>
      <c r="R65" s="2868"/>
    </row>
    <row r="66" s="2384" customFormat="1" spans="2:18">
      <c r="B66" s="2866"/>
      <c r="C66" s="2866"/>
      <c r="D66" s="2866"/>
      <c r="E66" s="2866"/>
      <c r="F66" s="2866"/>
      <c r="G66" s="2867"/>
      <c r="H66" s="2866"/>
      <c r="I66" s="2867"/>
      <c r="J66" s="2866"/>
      <c r="K66" s="2866"/>
      <c r="L66" s="2867"/>
      <c r="M66" s="2866"/>
      <c r="N66" s="2866"/>
      <c r="O66" s="2867"/>
      <c r="P66" s="2866"/>
      <c r="Q66" s="2866"/>
      <c r="R66" s="2868"/>
    </row>
    <row r="67" s="2384" customFormat="1" spans="2:18">
      <c r="B67" s="2866"/>
      <c r="C67" s="2866"/>
      <c r="D67" s="2866"/>
      <c r="E67" s="2866"/>
      <c r="F67" s="2866"/>
      <c r="G67" s="2867"/>
      <c r="H67" s="2866"/>
      <c r="I67" s="2867"/>
      <c r="J67" s="2866"/>
      <c r="K67" s="2866"/>
      <c r="L67" s="2867"/>
      <c r="M67" s="2866"/>
      <c r="N67" s="2866"/>
      <c r="O67" s="2867"/>
      <c r="P67" s="2866"/>
      <c r="Q67" s="2866"/>
      <c r="R67" s="2868"/>
    </row>
    <row r="68" s="2384" customFormat="1" spans="2:18">
      <c r="B68" s="2866"/>
      <c r="C68" s="2866"/>
      <c r="D68" s="2866"/>
      <c r="E68" s="2866"/>
      <c r="F68" s="2866"/>
      <c r="G68" s="2867"/>
      <c r="H68" s="2866"/>
      <c r="I68" s="2867"/>
      <c r="J68" s="2866"/>
      <c r="K68" s="2866"/>
      <c r="L68" s="2867"/>
      <c r="M68" s="2866"/>
      <c r="N68" s="2866"/>
      <c r="O68" s="2867"/>
      <c r="P68" s="2866"/>
      <c r="Q68" s="2866"/>
      <c r="R68" s="2868"/>
    </row>
    <row r="69" s="2384" customFormat="1" spans="2:18">
      <c r="B69" s="2866"/>
      <c r="C69" s="2866"/>
      <c r="D69" s="2866"/>
      <c r="E69" s="2866"/>
      <c r="F69" s="2866"/>
      <c r="G69" s="2867"/>
      <c r="H69" s="2866"/>
      <c r="I69" s="2867"/>
      <c r="J69" s="2866"/>
      <c r="K69" s="2866"/>
      <c r="L69" s="2867"/>
      <c r="M69" s="2866"/>
      <c r="N69" s="2866"/>
      <c r="O69" s="2867"/>
      <c r="P69" s="2866"/>
      <c r="Q69" s="2866"/>
      <c r="R69" s="2868"/>
    </row>
    <row r="70" s="2384" customFormat="1" spans="2:18">
      <c r="B70" s="2866"/>
      <c r="C70" s="2866"/>
      <c r="D70" s="2866"/>
      <c r="E70" s="2866"/>
      <c r="F70" s="2866"/>
      <c r="G70" s="2867"/>
      <c r="H70" s="2866"/>
      <c r="I70" s="2867"/>
      <c r="J70" s="2866"/>
      <c r="K70" s="2866"/>
      <c r="L70" s="2867"/>
      <c r="M70" s="2866"/>
      <c r="N70" s="2866"/>
      <c r="O70" s="2867"/>
      <c r="P70" s="2866"/>
      <c r="Q70" s="2866"/>
      <c r="R70" s="2868"/>
    </row>
    <row r="71" s="2384" customFormat="1" spans="2:18">
      <c r="B71" s="2866"/>
      <c r="C71" s="2866"/>
      <c r="D71" s="2866"/>
      <c r="E71" s="2866"/>
      <c r="F71" s="2866"/>
      <c r="G71" s="2867"/>
      <c r="H71" s="2866"/>
      <c r="I71" s="2867"/>
      <c r="J71" s="2866"/>
      <c r="K71" s="2866"/>
      <c r="L71" s="2867"/>
      <c r="M71" s="2866"/>
      <c r="N71" s="2866"/>
      <c r="O71" s="2867"/>
      <c r="P71" s="2866"/>
      <c r="Q71" s="2866"/>
      <c r="R71" s="2868"/>
    </row>
    <row r="72" s="2384" customFormat="1" spans="2:18">
      <c r="B72" s="2866"/>
      <c r="C72" s="2866"/>
      <c r="D72" s="2866"/>
      <c r="E72" s="2866"/>
      <c r="F72" s="2866"/>
      <c r="G72" s="2867"/>
      <c r="H72" s="2866"/>
      <c r="I72" s="2867"/>
      <c r="J72" s="2866"/>
      <c r="K72" s="2866"/>
      <c r="L72" s="2867"/>
      <c r="M72" s="2866"/>
      <c r="N72" s="2866"/>
      <c r="O72" s="2867"/>
      <c r="P72" s="2866"/>
      <c r="Q72" s="2866"/>
      <c r="R72" s="2868"/>
    </row>
    <row r="73" s="2384" customFormat="1" spans="2:18">
      <c r="B73" s="2866"/>
      <c r="C73" s="2866"/>
      <c r="D73" s="2866"/>
      <c r="E73" s="2866"/>
      <c r="F73" s="2866"/>
      <c r="G73" s="2867"/>
      <c r="H73" s="2866"/>
      <c r="I73" s="2867"/>
      <c r="J73" s="2866"/>
      <c r="K73" s="2866"/>
      <c r="L73" s="2867"/>
      <c r="M73" s="2866"/>
      <c r="N73" s="2866"/>
      <c r="O73" s="2867"/>
      <c r="P73" s="2866"/>
      <c r="Q73" s="2866"/>
      <c r="R73" s="2868"/>
    </row>
    <row r="74" s="2384" customFormat="1" spans="2:18">
      <c r="B74" s="2866"/>
      <c r="C74" s="2866"/>
      <c r="D74" s="2866"/>
      <c r="E74" s="2866"/>
      <c r="F74" s="2866"/>
      <c r="G74" s="2867"/>
      <c r="H74" s="2866"/>
      <c r="I74" s="2867"/>
      <c r="J74" s="2866"/>
      <c r="K74" s="2866"/>
      <c r="L74" s="2867"/>
      <c r="M74" s="2866"/>
      <c r="N74" s="2866"/>
      <c r="O74" s="2867"/>
      <c r="P74" s="2866"/>
      <c r="Q74" s="2866"/>
      <c r="R74" s="2868"/>
    </row>
    <row r="75" s="2384" customFormat="1" spans="2:18">
      <c r="B75" s="2866"/>
      <c r="C75" s="2866"/>
      <c r="D75" s="2866"/>
      <c r="E75" s="2866"/>
      <c r="F75" s="2866"/>
      <c r="G75" s="2867"/>
      <c r="H75" s="2866"/>
      <c r="I75" s="2867"/>
      <c r="J75" s="2866"/>
      <c r="K75" s="2866"/>
      <c r="L75" s="2867"/>
      <c r="M75" s="2866"/>
      <c r="N75" s="2866"/>
      <c r="O75" s="2867"/>
      <c r="P75" s="2866"/>
      <c r="Q75" s="2866"/>
      <c r="R75" s="2868"/>
    </row>
    <row r="76" s="2384" customFormat="1" spans="2:18">
      <c r="B76" s="2866"/>
      <c r="C76" s="2866"/>
      <c r="D76" s="2866"/>
      <c r="E76" s="2866"/>
      <c r="F76" s="2866"/>
      <c r="G76" s="2867"/>
      <c r="H76" s="2866"/>
      <c r="I76" s="2867"/>
      <c r="J76" s="2866"/>
      <c r="K76" s="2866"/>
      <c r="L76" s="2867"/>
      <c r="M76" s="2866"/>
      <c r="N76" s="2866"/>
      <c r="O76" s="2867"/>
      <c r="P76" s="2866"/>
      <c r="Q76" s="2866"/>
      <c r="R76" s="2868"/>
    </row>
    <row r="77" s="2384" customFormat="1" spans="2:18">
      <c r="B77" s="2866"/>
      <c r="C77" s="2866"/>
      <c r="D77" s="2866"/>
      <c r="E77" s="2866"/>
      <c r="F77" s="2866"/>
      <c r="G77" s="2867"/>
      <c r="H77" s="2866"/>
      <c r="I77" s="2867"/>
      <c r="J77" s="2866"/>
      <c r="K77" s="2866"/>
      <c r="L77" s="2867"/>
      <c r="M77" s="2866"/>
      <c r="N77" s="2866"/>
      <c r="O77" s="2867"/>
      <c r="P77" s="2866"/>
      <c r="Q77" s="2866"/>
      <c r="R77" s="2868"/>
    </row>
    <row r="78" s="2384" customFormat="1" spans="2:18">
      <c r="B78" s="2866"/>
      <c r="C78" s="2866"/>
      <c r="D78" s="2866"/>
      <c r="E78" s="2866"/>
      <c r="F78" s="2866"/>
      <c r="G78" s="2867"/>
      <c r="H78" s="2866"/>
      <c r="I78" s="2867"/>
      <c r="J78" s="2866"/>
      <c r="K78" s="2866"/>
      <c r="L78" s="2867"/>
      <c r="M78" s="2866"/>
      <c r="N78" s="2866"/>
      <c r="O78" s="2867"/>
      <c r="P78" s="2866"/>
      <c r="Q78" s="2866"/>
      <c r="R78" s="2868"/>
    </row>
    <row r="79" s="2384" customFormat="1" spans="2:18">
      <c r="B79" s="2866"/>
      <c r="C79" s="2866"/>
      <c r="D79" s="2866"/>
      <c r="E79" s="2866"/>
      <c r="F79" s="2866"/>
      <c r="G79" s="2867"/>
      <c r="H79" s="2866"/>
      <c r="I79" s="2867"/>
      <c r="J79" s="2866"/>
      <c r="K79" s="2866"/>
      <c r="L79" s="2867"/>
      <c r="M79" s="2866"/>
      <c r="N79" s="2866"/>
      <c r="O79" s="2867"/>
      <c r="P79" s="2866"/>
      <c r="Q79" s="2866"/>
      <c r="R79" s="2868"/>
    </row>
    <row r="80" s="2384" customFormat="1" spans="2:18">
      <c r="B80" s="2866"/>
      <c r="C80" s="2866"/>
      <c r="D80" s="2866"/>
      <c r="E80" s="2866"/>
      <c r="F80" s="2866"/>
      <c r="G80" s="2867"/>
      <c r="H80" s="2866"/>
      <c r="I80" s="2867"/>
      <c r="J80" s="2866"/>
      <c r="K80" s="2866"/>
      <c r="L80" s="2867"/>
      <c r="M80" s="2866"/>
      <c r="N80" s="2866"/>
      <c r="O80" s="2867"/>
      <c r="P80" s="2866"/>
      <c r="Q80" s="2866"/>
      <c r="R80" s="2868"/>
    </row>
    <row r="81" s="2384" customFormat="1" spans="2:18">
      <c r="B81" s="2866"/>
      <c r="C81" s="2866"/>
      <c r="D81" s="2866"/>
      <c r="E81" s="2866"/>
      <c r="F81" s="2866"/>
      <c r="G81" s="2867"/>
      <c r="H81" s="2866"/>
      <c r="I81" s="2867"/>
      <c r="J81" s="2866"/>
      <c r="K81" s="2866"/>
      <c r="L81" s="2867"/>
      <c r="M81" s="2866"/>
      <c r="N81" s="2866"/>
      <c r="O81" s="2867"/>
      <c r="P81" s="2866"/>
      <c r="Q81" s="2866"/>
      <c r="R81" s="2868"/>
    </row>
    <row r="82" s="2384" customFormat="1" spans="2:18">
      <c r="B82" s="2866"/>
      <c r="C82" s="2866"/>
      <c r="D82" s="2866"/>
      <c r="E82" s="2866"/>
      <c r="F82" s="2866"/>
      <c r="G82" s="2867"/>
      <c r="H82" s="2866"/>
      <c r="I82" s="2867"/>
      <c r="J82" s="2866"/>
      <c r="K82" s="2866"/>
      <c r="L82" s="2867"/>
      <c r="M82" s="2866"/>
      <c r="N82" s="2866"/>
      <c r="O82" s="2867"/>
      <c r="P82" s="2866"/>
      <c r="Q82" s="2866"/>
      <c r="R82" s="2868"/>
    </row>
    <row r="83" s="2384" customFormat="1" spans="2:18">
      <c r="B83" s="2866"/>
      <c r="C83" s="2866"/>
      <c r="D83" s="2866"/>
      <c r="E83" s="2866"/>
      <c r="F83" s="2866"/>
      <c r="G83" s="2867"/>
      <c r="H83" s="2866"/>
      <c r="I83" s="2867"/>
      <c r="J83" s="2866"/>
      <c r="K83" s="2866"/>
      <c r="L83" s="2867"/>
      <c r="M83" s="2866"/>
      <c r="N83" s="2866"/>
      <c r="O83" s="2867"/>
      <c r="P83" s="2866"/>
      <c r="Q83" s="2866"/>
      <c r="R83" s="2868"/>
    </row>
    <row r="84" s="2384" customFormat="1" spans="2:18">
      <c r="B84" s="2866"/>
      <c r="C84" s="2866"/>
      <c r="D84" s="2866"/>
      <c r="E84" s="2866"/>
      <c r="F84" s="2866"/>
      <c r="G84" s="2867"/>
      <c r="H84" s="2866"/>
      <c r="I84" s="2867"/>
      <c r="J84" s="2866"/>
      <c r="K84" s="2866"/>
      <c r="L84" s="2867"/>
      <c r="M84" s="2866"/>
      <c r="N84" s="2866"/>
      <c r="O84" s="2867"/>
      <c r="P84" s="2866"/>
      <c r="Q84" s="2866"/>
      <c r="R84" s="2868"/>
    </row>
    <row r="85" s="2384" customFormat="1" spans="2:18">
      <c r="B85" s="2866"/>
      <c r="C85" s="2866"/>
      <c r="D85" s="2866"/>
      <c r="E85" s="2866"/>
      <c r="F85" s="2866"/>
      <c r="G85" s="2867"/>
      <c r="H85" s="2866"/>
      <c r="I85" s="2867"/>
      <c r="J85" s="2866"/>
      <c r="K85" s="2866"/>
      <c r="L85" s="2867"/>
      <c r="M85" s="2866"/>
      <c r="N85" s="2866"/>
      <c r="O85" s="2867"/>
      <c r="P85" s="2866"/>
      <c r="Q85" s="2866"/>
      <c r="R85" s="2868"/>
    </row>
    <row r="86" s="2384" customFormat="1" spans="2:18">
      <c r="B86" s="2866"/>
      <c r="C86" s="2866"/>
      <c r="D86" s="2866"/>
      <c r="E86" s="2866"/>
      <c r="F86" s="2866"/>
      <c r="G86" s="2867"/>
      <c r="H86" s="2866"/>
      <c r="I86" s="2867"/>
      <c r="J86" s="2866"/>
      <c r="K86" s="2866"/>
      <c r="L86" s="2867"/>
      <c r="M86" s="2866"/>
      <c r="N86" s="2866"/>
      <c r="O86" s="2867"/>
      <c r="P86" s="2866"/>
      <c r="Q86" s="2866"/>
      <c r="R86" s="2868"/>
    </row>
    <row r="87" s="2384" customFormat="1" spans="2:18">
      <c r="B87" s="2866"/>
      <c r="C87" s="2866"/>
      <c r="D87" s="2866"/>
      <c r="E87" s="2866"/>
      <c r="F87" s="2866"/>
      <c r="G87" s="2867"/>
      <c r="H87" s="2866"/>
      <c r="I87" s="2867"/>
      <c r="J87" s="2866"/>
      <c r="K87" s="2866"/>
      <c r="L87" s="2867"/>
      <c r="M87" s="2866"/>
      <c r="N87" s="2866"/>
      <c r="O87" s="2867"/>
      <c r="P87" s="2866"/>
      <c r="Q87" s="2866"/>
      <c r="R87" s="2868"/>
    </row>
    <row r="88" s="2384" customFormat="1" spans="2:18">
      <c r="B88" s="2866"/>
      <c r="C88" s="2866"/>
      <c r="D88" s="2866"/>
      <c r="E88" s="2866"/>
      <c r="F88" s="2866"/>
      <c r="G88" s="2867"/>
      <c r="H88" s="2866"/>
      <c r="I88" s="2867"/>
      <c r="J88" s="2866"/>
      <c r="K88" s="2866"/>
      <c r="L88" s="2867"/>
      <c r="M88" s="2866"/>
      <c r="N88" s="2866"/>
      <c r="O88" s="2867"/>
      <c r="P88" s="2866"/>
      <c r="Q88" s="2866"/>
      <c r="R88" s="2868"/>
    </row>
    <row r="89" s="2384" customFormat="1" spans="2:18">
      <c r="B89" s="2866"/>
      <c r="C89" s="2866"/>
      <c r="D89" s="2866"/>
      <c r="E89" s="2866"/>
      <c r="F89" s="2866"/>
      <c r="G89" s="2867"/>
      <c r="H89" s="2866"/>
      <c r="I89" s="2867"/>
      <c r="J89" s="2866"/>
      <c r="K89" s="2866"/>
      <c r="L89" s="2867"/>
      <c r="M89" s="2866"/>
      <c r="N89" s="2866"/>
      <c r="O89" s="2867"/>
      <c r="P89" s="2866"/>
      <c r="Q89" s="2866"/>
      <c r="R89" s="2868"/>
    </row>
    <row r="90" s="2384" customFormat="1" spans="2:18">
      <c r="B90" s="2866"/>
      <c r="C90" s="2866"/>
      <c r="D90" s="2866"/>
      <c r="E90" s="2866"/>
      <c r="F90" s="2866"/>
      <c r="G90" s="2867"/>
      <c r="H90" s="2866"/>
      <c r="I90" s="2867"/>
      <c r="J90" s="2866"/>
      <c r="K90" s="2866"/>
      <c r="L90" s="2867"/>
      <c r="M90" s="2866"/>
      <c r="N90" s="2866"/>
      <c r="O90" s="2867"/>
      <c r="P90" s="2866"/>
      <c r="Q90" s="2866"/>
      <c r="R90" s="2868"/>
    </row>
    <row r="91" s="2384" customFormat="1" spans="2:18">
      <c r="B91" s="2866"/>
      <c r="C91" s="2866"/>
      <c r="D91" s="2866"/>
      <c r="E91" s="2866"/>
      <c r="F91" s="2866"/>
      <c r="G91" s="2867"/>
      <c r="H91" s="2866"/>
      <c r="I91" s="2867"/>
      <c r="J91" s="2866"/>
      <c r="K91" s="2866"/>
      <c r="L91" s="2867"/>
      <c r="M91" s="2866"/>
      <c r="N91" s="2866"/>
      <c r="O91" s="2867"/>
      <c r="P91" s="2866"/>
      <c r="Q91" s="2866"/>
      <c r="R91" s="2868"/>
    </row>
    <row r="92" s="2384" customFormat="1" spans="2:18">
      <c r="B92" s="2866"/>
      <c r="C92" s="2866"/>
      <c r="D92" s="2866"/>
      <c r="E92" s="2866"/>
      <c r="F92" s="2866"/>
      <c r="G92" s="2867"/>
      <c r="H92" s="2866"/>
      <c r="I92" s="2867"/>
      <c r="J92" s="2866"/>
      <c r="K92" s="2866"/>
      <c r="L92" s="2867"/>
      <c r="M92" s="2866"/>
      <c r="N92" s="2866"/>
      <c r="O92" s="2867"/>
      <c r="P92" s="2866"/>
      <c r="Q92" s="2866"/>
      <c r="R92" s="2868"/>
    </row>
    <row r="93" s="2384" customFormat="1" spans="2:18">
      <c r="B93" s="2866"/>
      <c r="C93" s="2866"/>
      <c r="D93" s="2866"/>
      <c r="E93" s="2866"/>
      <c r="F93" s="2866"/>
      <c r="G93" s="2867"/>
      <c r="H93" s="2866"/>
      <c r="I93" s="2867"/>
      <c r="J93" s="2866"/>
      <c r="K93" s="2866"/>
      <c r="L93" s="2867"/>
      <c r="M93" s="2866"/>
      <c r="N93" s="2866"/>
      <c r="O93" s="2867"/>
      <c r="P93" s="2866"/>
      <c r="Q93" s="2866"/>
      <c r="R93" s="2868"/>
    </row>
    <row r="94" s="2384" customFormat="1" spans="2:18">
      <c r="B94" s="2866"/>
      <c r="C94" s="2866"/>
      <c r="D94" s="2866"/>
      <c r="E94" s="2866"/>
      <c r="F94" s="2866"/>
      <c r="G94" s="2867"/>
      <c r="H94" s="2866"/>
      <c r="I94" s="2867"/>
      <c r="J94" s="2866"/>
      <c r="K94" s="2866"/>
      <c r="L94" s="2867"/>
      <c r="M94" s="2866"/>
      <c r="N94" s="2866"/>
      <c r="O94" s="2867"/>
      <c r="P94" s="2866"/>
      <c r="Q94" s="2866"/>
      <c r="R94" s="2868"/>
    </row>
    <row r="95" s="2384" customFormat="1" spans="2:18">
      <c r="B95" s="2866"/>
      <c r="C95" s="2866"/>
      <c r="D95" s="2866"/>
      <c r="E95" s="2866"/>
      <c r="F95" s="2866"/>
      <c r="G95" s="2867"/>
      <c r="H95" s="2866"/>
      <c r="I95" s="2867"/>
      <c r="J95" s="2866"/>
      <c r="K95" s="2866"/>
      <c r="L95" s="2867"/>
      <c r="M95" s="2866"/>
      <c r="N95" s="2866"/>
      <c r="O95" s="2867"/>
      <c r="P95" s="2866"/>
      <c r="Q95" s="2866"/>
      <c r="R95" s="2868"/>
    </row>
    <row r="96" s="2384" customFormat="1" spans="2:18">
      <c r="B96" s="2866"/>
      <c r="C96" s="2866"/>
      <c r="D96" s="2866"/>
      <c r="E96" s="2866"/>
      <c r="F96" s="2866"/>
      <c r="G96" s="2867"/>
      <c r="H96" s="2866"/>
      <c r="I96" s="2867"/>
      <c r="J96" s="2866"/>
      <c r="K96" s="2866"/>
      <c r="L96" s="2867"/>
      <c r="M96" s="2866"/>
      <c r="N96" s="2866"/>
      <c r="O96" s="2867"/>
      <c r="P96" s="2866"/>
      <c r="Q96" s="2866"/>
      <c r="R96" s="2868"/>
    </row>
    <row r="97" s="2384" customFormat="1" spans="2:18">
      <c r="B97" s="2866"/>
      <c r="C97" s="2866"/>
      <c r="D97" s="2866"/>
      <c r="E97" s="2866"/>
      <c r="F97" s="2866"/>
      <c r="G97" s="2867"/>
      <c r="H97" s="2866"/>
      <c r="I97" s="2867"/>
      <c r="J97" s="2866"/>
      <c r="K97" s="2866"/>
      <c r="L97" s="2867"/>
      <c r="M97" s="2866"/>
      <c r="N97" s="2866"/>
      <c r="O97" s="2867"/>
      <c r="P97" s="2866"/>
      <c r="Q97" s="2866"/>
      <c r="R97" s="2868"/>
    </row>
    <row r="98" s="2384" customFormat="1" spans="2:18">
      <c r="B98" s="2866"/>
      <c r="C98" s="2866"/>
      <c r="D98" s="2866"/>
      <c r="E98" s="2866"/>
      <c r="F98" s="2866"/>
      <c r="G98" s="2867"/>
      <c r="H98" s="2866"/>
      <c r="I98" s="2867"/>
      <c r="J98" s="2866"/>
      <c r="K98" s="2866"/>
      <c r="L98" s="2867"/>
      <c r="M98" s="2866"/>
      <c r="N98" s="2866"/>
      <c r="O98" s="2867"/>
      <c r="P98" s="2866"/>
      <c r="Q98" s="2866"/>
      <c r="R98" s="2868"/>
    </row>
    <row r="99" s="2384" customFormat="1" spans="2:18">
      <c r="B99" s="2866"/>
      <c r="C99" s="2866"/>
      <c r="D99" s="2866"/>
      <c r="E99" s="2866"/>
      <c r="F99" s="2866"/>
      <c r="G99" s="2867"/>
      <c r="H99" s="2866"/>
      <c r="I99" s="2867"/>
      <c r="J99" s="2866"/>
      <c r="K99" s="2866"/>
      <c r="L99" s="2867"/>
      <c r="M99" s="2866"/>
      <c r="N99" s="2866"/>
      <c r="O99" s="2867"/>
      <c r="P99" s="2866"/>
      <c r="Q99" s="2866"/>
      <c r="R99" s="2868"/>
    </row>
    <row r="100" s="2384" customFormat="1" spans="2:18">
      <c r="B100" s="2866"/>
      <c r="C100" s="2866"/>
      <c r="D100" s="2866"/>
      <c r="E100" s="2866"/>
      <c r="F100" s="2866"/>
      <c r="G100" s="2867"/>
      <c r="H100" s="2866"/>
      <c r="I100" s="2867"/>
      <c r="J100" s="2866"/>
      <c r="K100" s="2866"/>
      <c r="L100" s="2867"/>
      <c r="M100" s="2866"/>
      <c r="N100" s="2866"/>
      <c r="O100" s="2867"/>
      <c r="P100" s="2866"/>
      <c r="Q100" s="2866"/>
      <c r="R100" s="2868"/>
    </row>
    <row r="101" s="2384" customFormat="1" spans="2:18">
      <c r="B101" s="2866"/>
      <c r="C101" s="2866"/>
      <c r="D101" s="2866"/>
      <c r="E101" s="2866"/>
      <c r="F101" s="2866"/>
      <c r="G101" s="2867"/>
      <c r="H101" s="2866"/>
      <c r="I101" s="2867"/>
      <c r="J101" s="2866"/>
      <c r="K101" s="2866"/>
      <c r="L101" s="2867"/>
      <c r="M101" s="2866"/>
      <c r="N101" s="2866"/>
      <c r="O101" s="2867"/>
      <c r="P101" s="2866"/>
      <c r="Q101" s="2866"/>
      <c r="R101" s="2868"/>
    </row>
    <row r="102" s="2384" customFormat="1" spans="2:18">
      <c r="B102" s="2866"/>
      <c r="C102" s="2866"/>
      <c r="D102" s="2866"/>
      <c r="E102" s="2866"/>
      <c r="F102" s="2866"/>
      <c r="G102" s="2867"/>
      <c r="H102" s="2866"/>
      <c r="I102" s="2867"/>
      <c r="J102" s="2866"/>
      <c r="K102" s="2866"/>
      <c r="L102" s="2867"/>
      <c r="M102" s="2866"/>
      <c r="N102" s="2866"/>
      <c r="O102" s="2867"/>
      <c r="P102" s="2866"/>
      <c r="Q102" s="2866"/>
      <c r="R102" s="2868"/>
    </row>
    <row r="103" s="2384" customFormat="1" spans="2:18">
      <c r="B103" s="2866"/>
      <c r="C103" s="2866"/>
      <c r="D103" s="2866"/>
      <c r="E103" s="2866"/>
      <c r="F103" s="2866"/>
      <c r="G103" s="2867"/>
      <c r="H103" s="2866"/>
      <c r="I103" s="2867"/>
      <c r="J103" s="2866"/>
      <c r="K103" s="2866"/>
      <c r="L103" s="2867"/>
      <c r="M103" s="2866"/>
      <c r="N103" s="2866"/>
      <c r="O103" s="2867"/>
      <c r="P103" s="2866"/>
      <c r="Q103" s="2866"/>
      <c r="R103" s="2868"/>
    </row>
    <row r="104" s="2384" customFormat="1" spans="2:18">
      <c r="B104" s="2866"/>
      <c r="C104" s="2866"/>
      <c r="D104" s="2866"/>
      <c r="E104" s="2866"/>
      <c r="F104" s="2866"/>
      <c r="G104" s="2867"/>
      <c r="H104" s="2866"/>
      <c r="I104" s="2867"/>
      <c r="J104" s="2866"/>
      <c r="K104" s="2866"/>
      <c r="L104" s="2867"/>
      <c r="M104" s="2866"/>
      <c r="N104" s="2866"/>
      <c r="O104" s="2867"/>
      <c r="P104" s="2866"/>
      <c r="Q104" s="2866"/>
      <c r="R104" s="2868"/>
    </row>
    <row r="105" s="2384" customFormat="1" spans="2:18">
      <c r="B105" s="2866"/>
      <c r="C105" s="2866"/>
      <c r="D105" s="2866"/>
      <c r="E105" s="2866"/>
      <c r="F105" s="2866"/>
      <c r="G105" s="2867"/>
      <c r="H105" s="2866"/>
      <c r="I105" s="2867"/>
      <c r="J105" s="2866"/>
      <c r="K105" s="2866"/>
      <c r="L105" s="2867"/>
      <c r="M105" s="2866"/>
      <c r="N105" s="2866"/>
      <c r="O105" s="2867"/>
      <c r="P105" s="2866"/>
      <c r="Q105" s="2866"/>
      <c r="R105" s="2868"/>
    </row>
    <row r="106" s="2384" customFormat="1" spans="2:18">
      <c r="B106" s="2866"/>
      <c r="C106" s="2866"/>
      <c r="D106" s="2866"/>
      <c r="E106" s="2866"/>
      <c r="F106" s="2866"/>
      <c r="G106" s="2867"/>
      <c r="H106" s="2866"/>
      <c r="I106" s="2867"/>
      <c r="J106" s="2866"/>
      <c r="K106" s="2866"/>
      <c r="L106" s="2867"/>
      <c r="M106" s="2866"/>
      <c r="N106" s="2866"/>
      <c r="O106" s="2867"/>
      <c r="P106" s="2866"/>
      <c r="Q106" s="2866"/>
      <c r="R106" s="2868"/>
    </row>
    <row r="107" s="2384" customFormat="1" spans="2:18">
      <c r="B107" s="2866"/>
      <c r="C107" s="2866"/>
      <c r="D107" s="2866"/>
      <c r="E107" s="2866"/>
      <c r="F107" s="2866"/>
      <c r="G107" s="2867"/>
      <c r="H107" s="2866"/>
      <c r="I107" s="2867"/>
      <c r="J107" s="2866"/>
      <c r="K107" s="2866"/>
      <c r="L107" s="2867"/>
      <c r="M107" s="2866"/>
      <c r="N107" s="2866"/>
      <c r="O107" s="2867"/>
      <c r="P107" s="2866"/>
      <c r="Q107" s="2866"/>
      <c r="R107" s="2868"/>
    </row>
    <row r="108" s="2384" customFormat="1" spans="2:18">
      <c r="B108" s="2866"/>
      <c r="C108" s="2866"/>
      <c r="D108" s="2866"/>
      <c r="E108" s="2866"/>
      <c r="F108" s="2866"/>
      <c r="G108" s="2867"/>
      <c r="H108" s="2866"/>
      <c r="I108" s="2867"/>
      <c r="J108" s="2866"/>
      <c r="K108" s="2866"/>
      <c r="L108" s="2867"/>
      <c r="M108" s="2866"/>
      <c r="N108" s="2866"/>
      <c r="O108" s="2867"/>
      <c r="P108" s="2866"/>
      <c r="Q108" s="2866"/>
      <c r="R108" s="2868"/>
    </row>
    <row r="109" s="2384" customFormat="1" spans="2:18">
      <c r="B109" s="2866"/>
      <c r="C109" s="2866"/>
      <c r="D109" s="2866"/>
      <c r="E109" s="2866"/>
      <c r="F109" s="2866"/>
      <c r="G109" s="2867"/>
      <c r="H109" s="2866"/>
      <c r="I109" s="2867"/>
      <c r="J109" s="2866"/>
      <c r="K109" s="2866"/>
      <c r="L109" s="2867"/>
      <c r="M109" s="2866"/>
      <c r="N109" s="2866"/>
      <c r="O109" s="2867"/>
      <c r="P109" s="2866"/>
      <c r="Q109" s="2866"/>
      <c r="R109" s="2868"/>
    </row>
    <row r="110" s="2384" customFormat="1" spans="2:18">
      <c r="B110" s="2866"/>
      <c r="C110" s="2866"/>
      <c r="D110" s="2866"/>
      <c r="E110" s="2866"/>
      <c r="F110" s="2866"/>
      <c r="G110" s="2867"/>
      <c r="H110" s="2866"/>
      <c r="I110" s="2867"/>
      <c r="J110" s="2866"/>
      <c r="K110" s="2866"/>
      <c r="L110" s="2867"/>
      <c r="M110" s="2866"/>
      <c r="N110" s="2866"/>
      <c r="O110" s="2867"/>
      <c r="P110" s="2866"/>
      <c r="Q110" s="2866"/>
      <c r="R110" s="2868"/>
    </row>
    <row r="111" s="2384" customFormat="1" spans="2:18">
      <c r="B111" s="2866"/>
      <c r="C111" s="2866"/>
      <c r="D111" s="2866"/>
      <c r="E111" s="2866"/>
      <c r="F111" s="2866"/>
      <c r="G111" s="2867"/>
      <c r="H111" s="2866"/>
      <c r="I111" s="2867"/>
      <c r="J111" s="2866"/>
      <c r="K111" s="2866"/>
      <c r="L111" s="2867"/>
      <c r="M111" s="2866"/>
      <c r="N111" s="2866"/>
      <c r="O111" s="2867"/>
      <c r="P111" s="2866"/>
      <c r="Q111" s="2866"/>
      <c r="R111" s="2868"/>
    </row>
    <row r="112" s="2384" customFormat="1" spans="2:18">
      <c r="B112" s="2866"/>
      <c r="C112" s="2866"/>
      <c r="D112" s="2866"/>
      <c r="E112" s="2866"/>
      <c r="F112" s="2866"/>
      <c r="G112" s="2867"/>
      <c r="H112" s="2866"/>
      <c r="I112" s="2867"/>
      <c r="J112" s="2866"/>
      <c r="K112" s="2866"/>
      <c r="L112" s="2867"/>
      <c r="M112" s="2866"/>
      <c r="N112" s="2866"/>
      <c r="O112" s="2867"/>
      <c r="P112" s="2866"/>
      <c r="Q112" s="2866"/>
      <c r="R112" s="2868"/>
    </row>
    <row r="113" s="2384" customFormat="1" spans="2:18">
      <c r="B113" s="2866"/>
      <c r="C113" s="2866"/>
      <c r="D113" s="2866"/>
      <c r="E113" s="2866"/>
      <c r="F113" s="2866"/>
      <c r="G113" s="2867"/>
      <c r="H113" s="2866"/>
      <c r="I113" s="2867"/>
      <c r="J113" s="2866"/>
      <c r="K113" s="2866"/>
      <c r="L113" s="2867"/>
      <c r="M113" s="2866"/>
      <c r="N113" s="2866"/>
      <c r="O113" s="2867"/>
      <c r="P113" s="2866"/>
      <c r="Q113" s="2866"/>
      <c r="R113" s="2868"/>
    </row>
    <row r="114" s="2384" customFormat="1" spans="2:18">
      <c r="B114" s="2866"/>
      <c r="C114" s="2866"/>
      <c r="D114" s="2866"/>
      <c r="E114" s="2866"/>
      <c r="F114" s="2866"/>
      <c r="G114" s="2867"/>
      <c r="H114" s="2866"/>
      <c r="I114" s="2867"/>
      <c r="J114" s="2866"/>
      <c r="K114" s="2866"/>
      <c r="L114" s="2867"/>
      <c r="M114" s="2866"/>
      <c r="N114" s="2866"/>
      <c r="O114" s="2867"/>
      <c r="P114" s="2866"/>
      <c r="Q114" s="2866"/>
      <c r="R114" s="2868"/>
    </row>
    <row r="115" s="2384" customFormat="1" spans="2:18">
      <c r="B115" s="2866"/>
      <c r="C115" s="2866"/>
      <c r="D115" s="2866"/>
      <c r="E115" s="2866"/>
      <c r="F115" s="2866"/>
      <c r="G115" s="2867"/>
      <c r="H115" s="2866"/>
      <c r="I115" s="2867"/>
      <c r="J115" s="2866"/>
      <c r="K115" s="2866"/>
      <c r="L115" s="2867"/>
      <c r="M115" s="2866"/>
      <c r="N115" s="2866"/>
      <c r="O115" s="2867"/>
      <c r="P115" s="2866"/>
      <c r="Q115" s="2866"/>
      <c r="R115" s="2868"/>
    </row>
    <row r="116" s="2384" customFormat="1" spans="2:18">
      <c r="B116" s="2866"/>
      <c r="C116" s="2866"/>
      <c r="D116" s="2866"/>
      <c r="E116" s="2866"/>
      <c r="F116" s="2866"/>
      <c r="G116" s="2867"/>
      <c r="H116" s="2866"/>
      <c r="I116" s="2867"/>
      <c r="J116" s="2866"/>
      <c r="K116" s="2866"/>
      <c r="L116" s="2867"/>
      <c r="M116" s="2866"/>
      <c r="N116" s="2866"/>
      <c r="O116" s="2867"/>
      <c r="P116" s="2866"/>
      <c r="Q116" s="2866"/>
      <c r="R116" s="2868"/>
    </row>
    <row r="117" s="2384" customFormat="1" spans="2:18">
      <c r="B117" s="2866"/>
      <c r="C117" s="2866"/>
      <c r="D117" s="2866"/>
      <c r="E117" s="2866"/>
      <c r="F117" s="2866"/>
      <c r="G117" s="2867"/>
      <c r="H117" s="2866"/>
      <c r="I117" s="2867"/>
      <c r="J117" s="2866"/>
      <c r="K117" s="2866"/>
      <c r="L117" s="2867"/>
      <c r="M117" s="2866"/>
      <c r="N117" s="2866"/>
      <c r="O117" s="2867"/>
      <c r="P117" s="2866"/>
      <c r="Q117" s="2866"/>
      <c r="R117" s="2868"/>
    </row>
    <row r="118" s="2384" customFormat="1" spans="2:18">
      <c r="B118" s="2866"/>
      <c r="C118" s="2866"/>
      <c r="D118" s="2866"/>
      <c r="E118" s="2866"/>
      <c r="F118" s="2866"/>
      <c r="G118" s="2867"/>
      <c r="H118" s="2866"/>
      <c r="I118" s="2867"/>
      <c r="J118" s="2866"/>
      <c r="K118" s="2866"/>
      <c r="L118" s="2867"/>
      <c r="M118" s="2866"/>
      <c r="N118" s="2866"/>
      <c r="O118" s="2867"/>
      <c r="P118" s="2866"/>
      <c r="Q118" s="2866"/>
      <c r="R118" s="2868"/>
    </row>
    <row r="119" s="2384" customFormat="1" spans="2:18">
      <c r="B119" s="2866"/>
      <c r="C119" s="2866"/>
      <c r="D119" s="2866"/>
      <c r="E119" s="2866"/>
      <c r="F119" s="2866"/>
      <c r="G119" s="2867"/>
      <c r="H119" s="2866"/>
      <c r="I119" s="2867"/>
      <c r="J119" s="2866"/>
      <c r="K119" s="2866"/>
      <c r="L119" s="2867"/>
      <c r="M119" s="2866"/>
      <c r="N119" s="2866"/>
      <c r="O119" s="2867"/>
      <c r="P119" s="2866"/>
      <c r="Q119" s="2866"/>
      <c r="R119" s="2868"/>
    </row>
    <row r="120" s="2384" customFormat="1" spans="2:18">
      <c r="B120" s="2866"/>
      <c r="C120" s="2866"/>
      <c r="D120" s="2866"/>
      <c r="E120" s="2866"/>
      <c r="F120" s="2866"/>
      <c r="G120" s="2867"/>
      <c r="H120" s="2866"/>
      <c r="I120" s="2867"/>
      <c r="J120" s="2866"/>
      <c r="K120" s="2866"/>
      <c r="L120" s="2867"/>
      <c r="M120" s="2866"/>
      <c r="N120" s="2866"/>
      <c r="O120" s="2867"/>
      <c r="P120" s="2866"/>
      <c r="Q120" s="2866"/>
      <c r="R120" s="2868"/>
    </row>
    <row r="121" s="2384" customFormat="1" spans="2:18">
      <c r="B121" s="2866"/>
      <c r="C121" s="2866"/>
      <c r="D121" s="2866"/>
      <c r="E121" s="2866"/>
      <c r="F121" s="2866"/>
      <c r="G121" s="2867"/>
      <c r="H121" s="2866"/>
      <c r="I121" s="2867"/>
      <c r="J121" s="2866"/>
      <c r="K121" s="2866"/>
      <c r="L121" s="2867"/>
      <c r="M121" s="2866"/>
      <c r="N121" s="2866"/>
      <c r="O121" s="2867"/>
      <c r="P121" s="2866"/>
      <c r="Q121" s="2866"/>
      <c r="R121" s="2868"/>
    </row>
    <row r="122" s="2384" customFormat="1" spans="2:18">
      <c r="B122" s="2866"/>
      <c r="C122" s="2866"/>
      <c r="D122" s="2866"/>
      <c r="E122" s="2866"/>
      <c r="F122" s="2866"/>
      <c r="G122" s="2867"/>
      <c r="H122" s="2866"/>
      <c r="I122" s="2867"/>
      <c r="J122" s="2866"/>
      <c r="K122" s="2866"/>
      <c r="L122" s="2867"/>
      <c r="M122" s="2866"/>
      <c r="N122" s="2866"/>
      <c r="O122" s="2867"/>
      <c r="P122" s="2866"/>
      <c r="Q122" s="2866"/>
      <c r="R122" s="2868"/>
    </row>
    <row r="123" s="2384" customFormat="1" spans="2:18">
      <c r="B123" s="2866"/>
      <c r="C123" s="2866"/>
      <c r="D123" s="2866"/>
      <c r="E123" s="2866"/>
      <c r="F123" s="2866"/>
      <c r="G123" s="2867"/>
      <c r="H123" s="2866"/>
      <c r="I123" s="2867"/>
      <c r="J123" s="2866"/>
      <c r="K123" s="2866"/>
      <c r="L123" s="2867"/>
      <c r="M123" s="2866"/>
      <c r="N123" s="2866"/>
      <c r="O123" s="2867"/>
      <c r="P123" s="2866"/>
      <c r="Q123" s="2866"/>
      <c r="R123" s="2868"/>
    </row>
    <row r="124" s="2384" customFormat="1" spans="2:18">
      <c r="B124" s="2866"/>
      <c r="C124" s="2866"/>
      <c r="D124" s="2866"/>
      <c r="E124" s="2866"/>
      <c r="F124" s="2866"/>
      <c r="G124" s="2867"/>
      <c r="H124" s="2866"/>
      <c r="I124" s="2867"/>
      <c r="J124" s="2866"/>
      <c r="K124" s="2866"/>
      <c r="L124" s="2867"/>
      <c r="M124" s="2866"/>
      <c r="N124" s="2866"/>
      <c r="O124" s="2867"/>
      <c r="P124" s="2866"/>
      <c r="Q124" s="2866"/>
      <c r="R124" s="2868"/>
    </row>
    <row r="125" s="2384" customFormat="1" spans="2:18">
      <c r="B125" s="2866"/>
      <c r="C125" s="2866"/>
      <c r="D125" s="2866"/>
      <c r="E125" s="2866"/>
      <c r="F125" s="2866"/>
      <c r="G125" s="2867"/>
      <c r="H125" s="2866"/>
      <c r="I125" s="2867"/>
      <c r="J125" s="2866"/>
      <c r="K125" s="2866"/>
      <c r="L125" s="2867"/>
      <c r="M125" s="2866"/>
      <c r="N125" s="2866"/>
      <c r="O125" s="2867"/>
      <c r="P125" s="2866"/>
      <c r="Q125" s="2866"/>
      <c r="R125" s="2868"/>
    </row>
    <row r="126" s="2384" customFormat="1" spans="2:18">
      <c r="B126" s="2866"/>
      <c r="C126" s="2866"/>
      <c r="D126" s="2866"/>
      <c r="E126" s="2866"/>
      <c r="F126" s="2866"/>
      <c r="G126" s="2867"/>
      <c r="H126" s="2866"/>
      <c r="I126" s="2867"/>
      <c r="J126" s="2866"/>
      <c r="K126" s="2866"/>
      <c r="L126" s="2867"/>
      <c r="M126" s="2866"/>
      <c r="N126" s="2866"/>
      <c r="O126" s="2867"/>
      <c r="P126" s="2866"/>
      <c r="Q126" s="2866"/>
      <c r="R126" s="2868"/>
    </row>
    <row r="127" s="2384" customFormat="1" spans="2:18">
      <c r="B127" s="2866"/>
      <c r="C127" s="2866"/>
      <c r="D127" s="2866"/>
      <c r="E127" s="2866"/>
      <c r="F127" s="2866"/>
      <c r="G127" s="2867"/>
      <c r="H127" s="2866"/>
      <c r="I127" s="2867"/>
      <c r="J127" s="2866"/>
      <c r="K127" s="2866"/>
      <c r="L127" s="2867"/>
      <c r="M127" s="2866"/>
      <c r="N127" s="2866"/>
      <c r="O127" s="2867"/>
      <c r="P127" s="2866"/>
      <c r="Q127" s="2866"/>
      <c r="R127" s="2868"/>
    </row>
    <row r="128" s="2384" customFormat="1" spans="2:18">
      <c r="B128" s="2866"/>
      <c r="C128" s="2866"/>
      <c r="D128" s="2866"/>
      <c r="E128" s="2866"/>
      <c r="F128" s="2866"/>
      <c r="G128" s="2867"/>
      <c r="H128" s="2866"/>
      <c r="I128" s="2867"/>
      <c r="J128" s="2866"/>
      <c r="K128" s="2866"/>
      <c r="L128" s="2867"/>
      <c r="M128" s="2866"/>
      <c r="N128" s="2866"/>
      <c r="O128" s="2867"/>
      <c r="P128" s="2866"/>
      <c r="Q128" s="2866"/>
      <c r="R128" s="2868"/>
    </row>
    <row r="129" s="2384" customFormat="1" spans="2:18">
      <c r="B129" s="2866"/>
      <c r="C129" s="2866"/>
      <c r="D129" s="2866"/>
      <c r="E129" s="2866"/>
      <c r="F129" s="2866"/>
      <c r="G129" s="2867"/>
      <c r="H129" s="2866"/>
      <c r="I129" s="2867"/>
      <c r="J129" s="2866"/>
      <c r="K129" s="2866"/>
      <c r="L129" s="2867"/>
      <c r="M129" s="2866"/>
      <c r="N129" s="2866"/>
      <c r="O129" s="2867"/>
      <c r="P129" s="2866"/>
      <c r="Q129" s="2866"/>
      <c r="R129" s="2868"/>
    </row>
    <row r="130" s="2384" customFormat="1" spans="2:18">
      <c r="B130" s="2866"/>
      <c r="C130" s="2866"/>
      <c r="D130" s="2866"/>
      <c r="E130" s="2866"/>
      <c r="F130" s="2866"/>
      <c r="G130" s="2867"/>
      <c r="H130" s="2866"/>
      <c r="I130" s="2867"/>
      <c r="J130" s="2866"/>
      <c r="K130" s="2866"/>
      <c r="L130" s="2867"/>
      <c r="M130" s="2866"/>
      <c r="N130" s="2866"/>
      <c r="O130" s="2867"/>
      <c r="P130" s="2866"/>
      <c r="Q130" s="2866"/>
      <c r="R130" s="2868"/>
    </row>
    <row r="131" s="2384" customFormat="1" spans="2:18">
      <c r="B131" s="2866"/>
      <c r="C131" s="2866"/>
      <c r="D131" s="2866"/>
      <c r="E131" s="2866"/>
      <c r="F131" s="2866"/>
      <c r="G131" s="2867"/>
      <c r="H131" s="2866"/>
      <c r="I131" s="2867"/>
      <c r="J131" s="2866"/>
      <c r="K131" s="2866"/>
      <c r="L131" s="2867"/>
      <c r="M131" s="2866"/>
      <c r="N131" s="2866"/>
      <c r="O131" s="2867"/>
      <c r="P131" s="2866"/>
      <c r="Q131" s="2866"/>
      <c r="R131" s="2868"/>
    </row>
    <row r="132" s="2384" customFormat="1" spans="2:18">
      <c r="B132" s="2866"/>
      <c r="C132" s="2866"/>
      <c r="D132" s="2866"/>
      <c r="E132" s="2866"/>
      <c r="F132" s="2866"/>
      <c r="G132" s="2867"/>
      <c r="H132" s="2866"/>
      <c r="I132" s="2867"/>
      <c r="J132" s="2866"/>
      <c r="K132" s="2866"/>
      <c r="L132" s="2867"/>
      <c r="M132" s="2866"/>
      <c r="N132" s="2866"/>
      <c r="O132" s="2867"/>
      <c r="P132" s="2866"/>
      <c r="Q132" s="2866"/>
      <c r="R132" s="2868"/>
    </row>
    <row r="133" s="2384" customFormat="1" spans="2:18">
      <c r="B133" s="2866"/>
      <c r="C133" s="2866"/>
      <c r="D133" s="2866"/>
      <c r="E133" s="2866"/>
      <c r="F133" s="2866"/>
      <c r="G133" s="2867"/>
      <c r="H133" s="2866"/>
      <c r="I133" s="2867"/>
      <c r="J133" s="2866"/>
      <c r="K133" s="2866"/>
      <c r="L133" s="2867"/>
      <c r="M133" s="2866"/>
      <c r="N133" s="2866"/>
      <c r="O133" s="2867"/>
      <c r="P133" s="2866"/>
      <c r="Q133" s="2866"/>
      <c r="R133" s="2868"/>
    </row>
    <row r="134" s="2384" customFormat="1" spans="2:18">
      <c r="B134" s="2866"/>
      <c r="C134" s="2866"/>
      <c r="D134" s="2866"/>
      <c r="E134" s="2866"/>
      <c r="F134" s="2866"/>
      <c r="G134" s="2867"/>
      <c r="H134" s="2866"/>
      <c r="I134" s="2867"/>
      <c r="J134" s="2866"/>
      <c r="K134" s="2866"/>
      <c r="L134" s="2867"/>
      <c r="M134" s="2866"/>
      <c r="N134" s="2866"/>
      <c r="O134" s="2867"/>
      <c r="P134" s="2866"/>
      <c r="Q134" s="2866"/>
      <c r="R134" s="2868"/>
    </row>
    <row r="135" s="2384" customFormat="1" spans="2:18">
      <c r="B135" s="2866"/>
      <c r="C135" s="2866"/>
      <c r="D135" s="2866"/>
      <c r="E135" s="2866"/>
      <c r="F135" s="2866"/>
      <c r="G135" s="2867"/>
      <c r="H135" s="2866"/>
      <c r="I135" s="2867"/>
      <c r="J135" s="2866"/>
      <c r="K135" s="2866"/>
      <c r="L135" s="2867"/>
      <c r="M135" s="2866"/>
      <c r="N135" s="2866"/>
      <c r="O135" s="2867"/>
      <c r="P135" s="2866"/>
      <c r="Q135" s="2866"/>
      <c r="R135" s="2868"/>
    </row>
    <row r="136" s="2384" customFormat="1" spans="2:18">
      <c r="B136" s="2866"/>
      <c r="C136" s="2866"/>
      <c r="D136" s="2866"/>
      <c r="E136" s="2866"/>
      <c r="F136" s="2866"/>
      <c r="G136" s="2867"/>
      <c r="H136" s="2866"/>
      <c r="I136" s="2867"/>
      <c r="J136" s="2866"/>
      <c r="K136" s="2866"/>
      <c r="L136" s="2867"/>
      <c r="M136" s="2866"/>
      <c r="N136" s="2866"/>
      <c r="O136" s="2867"/>
      <c r="P136" s="2866"/>
      <c r="Q136" s="2866"/>
      <c r="R136" s="2868"/>
    </row>
    <row r="137" s="2384" customFormat="1" spans="2:18">
      <c r="B137" s="2866"/>
      <c r="C137" s="2866"/>
      <c r="D137" s="2866"/>
      <c r="E137" s="2866"/>
      <c r="F137" s="2866"/>
      <c r="G137" s="2867"/>
      <c r="H137" s="2866"/>
      <c r="I137" s="2867"/>
      <c r="J137" s="2866"/>
      <c r="K137" s="2866"/>
      <c r="L137" s="2867"/>
      <c r="M137" s="2866"/>
      <c r="N137" s="2866"/>
      <c r="O137" s="2867"/>
      <c r="P137" s="2866"/>
      <c r="Q137" s="2866"/>
      <c r="R137" s="2868"/>
    </row>
    <row r="138" s="2384" customFormat="1" spans="2:18">
      <c r="B138" s="2866"/>
      <c r="C138" s="2866"/>
      <c r="D138" s="2866"/>
      <c r="E138" s="2866"/>
      <c r="F138" s="2866"/>
      <c r="G138" s="2867"/>
      <c r="H138" s="2866"/>
      <c r="I138" s="2867"/>
      <c r="J138" s="2866"/>
      <c r="K138" s="2866"/>
      <c r="L138" s="2867"/>
      <c r="M138" s="2866"/>
      <c r="N138" s="2866"/>
      <c r="O138" s="2867"/>
      <c r="P138" s="2866"/>
      <c r="Q138" s="2866"/>
      <c r="R138" s="2868"/>
    </row>
    <row r="139" s="2384" customFormat="1" spans="2:18">
      <c r="B139" s="2866"/>
      <c r="C139" s="2866"/>
      <c r="D139" s="2866"/>
      <c r="E139" s="2866"/>
      <c r="F139" s="2866"/>
      <c r="G139" s="2867"/>
      <c r="H139" s="2866"/>
      <c r="I139" s="2867"/>
      <c r="J139" s="2866"/>
      <c r="K139" s="2866"/>
      <c r="L139" s="2867"/>
      <c r="M139" s="2866"/>
      <c r="N139" s="2866"/>
      <c r="O139" s="2867"/>
      <c r="P139" s="2866"/>
      <c r="Q139" s="2866"/>
      <c r="R139" s="2868"/>
    </row>
    <row r="140" s="2384" customFormat="1" spans="2:18">
      <c r="B140" s="2866"/>
      <c r="C140" s="2866"/>
      <c r="D140" s="2866"/>
      <c r="E140" s="2866"/>
      <c r="F140" s="2866"/>
      <c r="G140" s="2867"/>
      <c r="H140" s="2866"/>
      <c r="I140" s="2867"/>
      <c r="J140" s="2866"/>
      <c r="K140" s="2866"/>
      <c r="L140" s="2867"/>
      <c r="M140" s="2866"/>
      <c r="N140" s="2866"/>
      <c r="O140" s="2867"/>
      <c r="P140" s="2866"/>
      <c r="Q140" s="2866"/>
      <c r="R140" s="2868"/>
    </row>
    <row r="141" s="2384" customFormat="1" spans="2:18">
      <c r="B141" s="2866"/>
      <c r="C141" s="2866"/>
      <c r="D141" s="2866"/>
      <c r="E141" s="2866"/>
      <c r="F141" s="2866"/>
      <c r="G141" s="2867"/>
      <c r="H141" s="2866"/>
      <c r="I141" s="2867"/>
      <c r="J141" s="2866"/>
      <c r="K141" s="2866"/>
      <c r="L141" s="2867"/>
      <c r="M141" s="2866"/>
      <c r="N141" s="2866"/>
      <c r="O141" s="2867"/>
      <c r="P141" s="2866"/>
      <c r="Q141" s="2866"/>
      <c r="R141" s="2868"/>
    </row>
    <row r="142" s="2384" customFormat="1" spans="2:18">
      <c r="B142" s="2866"/>
      <c r="C142" s="2866"/>
      <c r="D142" s="2866"/>
      <c r="E142" s="2866"/>
      <c r="F142" s="2866"/>
      <c r="G142" s="2867"/>
      <c r="H142" s="2866"/>
      <c r="I142" s="2867"/>
      <c r="J142" s="2866"/>
      <c r="K142" s="2866"/>
      <c r="L142" s="2867"/>
      <c r="M142" s="2866"/>
      <c r="N142" s="2866"/>
      <c r="O142" s="2867"/>
      <c r="P142" s="2866"/>
      <c r="Q142" s="2866"/>
      <c r="R142" s="2868"/>
    </row>
    <row r="143" s="2384" customFormat="1" spans="2:18">
      <c r="B143" s="2866"/>
      <c r="C143" s="2866"/>
      <c r="D143" s="2866"/>
      <c r="E143" s="2866"/>
      <c r="F143" s="2866"/>
      <c r="G143" s="2867"/>
      <c r="H143" s="2866"/>
      <c r="I143" s="2867"/>
      <c r="J143" s="2866"/>
      <c r="K143" s="2866"/>
      <c r="L143" s="2867"/>
      <c r="M143" s="2866"/>
      <c r="N143" s="2866"/>
      <c r="O143" s="2867"/>
      <c r="P143" s="2866"/>
      <c r="Q143" s="2866"/>
      <c r="R143" s="2868"/>
    </row>
    <row r="144" s="2384" customFormat="1" spans="2:18">
      <c r="B144" s="2866"/>
      <c r="C144" s="2866"/>
      <c r="D144" s="2866"/>
      <c r="E144" s="2866"/>
      <c r="F144" s="2866"/>
      <c r="G144" s="2867"/>
      <c r="H144" s="2866"/>
      <c r="I144" s="2867"/>
      <c r="J144" s="2866"/>
      <c r="K144" s="2866"/>
      <c r="L144" s="2867"/>
      <c r="M144" s="2866"/>
      <c r="N144" s="2866"/>
      <c r="O144" s="2867"/>
      <c r="P144" s="2866"/>
      <c r="Q144" s="2866"/>
      <c r="R144" s="2868"/>
    </row>
    <row r="145" s="2384" customFormat="1" spans="2:18">
      <c r="B145" s="2866"/>
      <c r="C145" s="2866"/>
      <c r="D145" s="2866"/>
      <c r="E145" s="2866"/>
      <c r="F145" s="2866"/>
      <c r="G145" s="2867"/>
      <c r="H145" s="2866"/>
      <c r="I145" s="2867"/>
      <c r="J145" s="2866"/>
      <c r="K145" s="2866"/>
      <c r="L145" s="2867"/>
      <c r="M145" s="2866"/>
      <c r="N145" s="2866"/>
      <c r="O145" s="2867"/>
      <c r="P145" s="2866"/>
      <c r="Q145" s="2866"/>
      <c r="R145" s="2868"/>
    </row>
    <row r="146" s="2384" customFormat="1" spans="2:18">
      <c r="B146" s="2866"/>
      <c r="C146" s="2866"/>
      <c r="D146" s="2866"/>
      <c r="E146" s="2866"/>
      <c r="F146" s="2866"/>
      <c r="G146" s="2867"/>
      <c r="H146" s="2866"/>
      <c r="I146" s="2867"/>
      <c r="J146" s="2866"/>
      <c r="K146" s="2866"/>
      <c r="L146" s="2867"/>
      <c r="M146" s="2866"/>
      <c r="N146" s="2866"/>
      <c r="O146" s="2867"/>
      <c r="P146" s="2866"/>
      <c r="Q146" s="2866"/>
      <c r="R146" s="2868"/>
    </row>
    <row r="147" s="2384" customFormat="1" spans="2:18">
      <c r="B147" s="2866"/>
      <c r="C147" s="2866"/>
      <c r="D147" s="2866"/>
      <c r="E147" s="2866"/>
      <c r="F147" s="2866"/>
      <c r="G147" s="2867"/>
      <c r="H147" s="2866"/>
      <c r="I147" s="2867"/>
      <c r="J147" s="2866"/>
      <c r="K147" s="2866"/>
      <c r="L147" s="2867"/>
      <c r="M147" s="2866"/>
      <c r="N147" s="2866"/>
      <c r="O147" s="2867"/>
      <c r="P147" s="2866"/>
      <c r="Q147" s="2866"/>
      <c r="R147" s="2868"/>
    </row>
    <row r="148" s="2384" customFormat="1" spans="2:18">
      <c r="B148" s="2866"/>
      <c r="C148" s="2866"/>
      <c r="D148" s="2866"/>
      <c r="E148" s="2866"/>
      <c r="F148" s="2866"/>
      <c r="G148" s="2867"/>
      <c r="H148" s="2866"/>
      <c r="I148" s="2867"/>
      <c r="J148" s="2866"/>
      <c r="K148" s="2866"/>
      <c r="L148" s="2867"/>
      <c r="M148" s="2866"/>
      <c r="N148" s="2866"/>
      <c r="O148" s="2867"/>
      <c r="P148" s="2866"/>
      <c r="Q148" s="2866"/>
      <c r="R148" s="2868"/>
    </row>
    <row r="149" s="2384" customFormat="1" spans="2:18">
      <c r="B149" s="2866"/>
      <c r="C149" s="2866"/>
      <c r="D149" s="2866"/>
      <c r="E149" s="2866"/>
      <c r="F149" s="2866"/>
      <c r="G149" s="2867"/>
      <c r="H149" s="2866"/>
      <c r="I149" s="2867"/>
      <c r="J149" s="2866"/>
      <c r="K149" s="2866"/>
      <c r="L149" s="2867"/>
      <c r="M149" s="2866"/>
      <c r="N149" s="2866"/>
      <c r="O149" s="2867"/>
      <c r="P149" s="2866"/>
      <c r="Q149" s="2866"/>
      <c r="R149" s="2868"/>
    </row>
    <row r="150" s="2384" customFormat="1" spans="2:18">
      <c r="B150" s="2866"/>
      <c r="C150" s="2866"/>
      <c r="D150" s="2866"/>
      <c r="E150" s="2866"/>
      <c r="F150" s="2866"/>
      <c r="G150" s="2867"/>
      <c r="H150" s="2866"/>
      <c r="I150" s="2867"/>
      <c r="J150" s="2866"/>
      <c r="K150" s="2866"/>
      <c r="L150" s="2867"/>
      <c r="M150" s="2866"/>
      <c r="N150" s="2866"/>
      <c r="O150" s="2867"/>
      <c r="P150" s="2866"/>
      <c r="Q150" s="2866"/>
      <c r="R150" s="2868"/>
    </row>
    <row r="151" s="2384" customFormat="1" spans="2:18">
      <c r="B151" s="2866"/>
      <c r="C151" s="2866"/>
      <c r="D151" s="2866"/>
      <c r="E151" s="2866"/>
      <c r="F151" s="2866"/>
      <c r="G151" s="2867"/>
      <c r="H151" s="2866"/>
      <c r="I151" s="2867"/>
      <c r="J151" s="2866"/>
      <c r="K151" s="2866"/>
      <c r="L151" s="2867"/>
      <c r="M151" s="2866"/>
      <c r="N151" s="2866"/>
      <c r="O151" s="2867"/>
      <c r="P151" s="2866"/>
      <c r="Q151" s="2866"/>
      <c r="R151" s="2868"/>
    </row>
    <row r="152" s="2384" customFormat="1" spans="2:18">
      <c r="B152" s="2866"/>
      <c r="C152" s="2866"/>
      <c r="D152" s="2866"/>
      <c r="E152" s="2866"/>
      <c r="F152" s="2866"/>
      <c r="G152" s="2867"/>
      <c r="H152" s="2866"/>
      <c r="I152" s="2867"/>
      <c r="J152" s="2866"/>
      <c r="K152" s="2866"/>
      <c r="L152" s="2867"/>
      <c r="M152" s="2866"/>
      <c r="N152" s="2866"/>
      <c r="O152" s="2867"/>
      <c r="P152" s="2866"/>
      <c r="Q152" s="2866"/>
      <c r="R152" s="2868"/>
    </row>
    <row r="153" s="2384" customFormat="1" spans="2:18">
      <c r="B153" s="2866"/>
      <c r="C153" s="2866"/>
      <c r="D153" s="2866"/>
      <c r="E153" s="2866"/>
      <c r="F153" s="2866"/>
      <c r="G153" s="2867"/>
      <c r="H153" s="2866"/>
      <c r="I153" s="2867"/>
      <c r="J153" s="2866"/>
      <c r="K153" s="2866"/>
      <c r="L153" s="2867"/>
      <c r="M153" s="2866"/>
      <c r="N153" s="2866"/>
      <c r="O153" s="2867"/>
      <c r="P153" s="2866"/>
      <c r="Q153" s="2866"/>
      <c r="R153" s="2868"/>
    </row>
    <row r="154" s="2384" customFormat="1" spans="2:18">
      <c r="B154" s="2866"/>
      <c r="C154" s="2866"/>
      <c r="D154" s="2866"/>
      <c r="E154" s="2866"/>
      <c r="F154" s="2866"/>
      <c r="G154" s="2867"/>
      <c r="H154" s="2866"/>
      <c r="I154" s="2867"/>
      <c r="J154" s="2866"/>
      <c r="K154" s="2866"/>
      <c r="L154" s="2867"/>
      <c r="M154" s="2866"/>
      <c r="N154" s="2866"/>
      <c r="O154" s="2867"/>
      <c r="P154" s="2866"/>
      <c r="Q154" s="2866"/>
      <c r="R154" s="2868"/>
    </row>
    <row r="155" s="2384" customFormat="1" spans="2:18">
      <c r="B155" s="2866"/>
      <c r="C155" s="2866"/>
      <c r="D155" s="2866"/>
      <c r="E155" s="2866"/>
      <c r="F155" s="2866"/>
      <c r="G155" s="2867"/>
      <c r="H155" s="2866"/>
      <c r="I155" s="2867"/>
      <c r="J155" s="2866"/>
      <c r="K155" s="2866"/>
      <c r="L155" s="2867"/>
      <c r="M155" s="2866"/>
      <c r="N155" s="2866"/>
      <c r="O155" s="2867"/>
      <c r="P155" s="2866"/>
      <c r="Q155" s="2866"/>
      <c r="R155" s="2868"/>
    </row>
    <row r="156" s="2384" customFormat="1" spans="2:18">
      <c r="B156" s="2866"/>
      <c r="C156" s="2866"/>
      <c r="D156" s="2866"/>
      <c r="E156" s="2866"/>
      <c r="F156" s="2866"/>
      <c r="G156" s="2867"/>
      <c r="H156" s="2866"/>
      <c r="I156" s="2867"/>
      <c r="J156" s="2866"/>
      <c r="K156" s="2866"/>
      <c r="L156" s="2867"/>
      <c r="M156" s="2866"/>
      <c r="N156" s="2866"/>
      <c r="O156" s="2867"/>
      <c r="P156" s="2866"/>
      <c r="Q156" s="2866"/>
      <c r="R156" s="2868"/>
    </row>
    <row r="157" s="2384" customFormat="1" spans="2:18">
      <c r="B157" s="2866"/>
      <c r="C157" s="2866"/>
      <c r="D157" s="2866"/>
      <c r="E157" s="2866"/>
      <c r="F157" s="2866"/>
      <c r="G157" s="2867"/>
      <c r="H157" s="2866"/>
      <c r="I157" s="2867"/>
      <c r="J157" s="2866"/>
      <c r="K157" s="2866"/>
      <c r="L157" s="2867"/>
      <c r="M157" s="2866"/>
      <c r="N157" s="2866"/>
      <c r="O157" s="2867"/>
      <c r="P157" s="2866"/>
      <c r="Q157" s="2866"/>
      <c r="R157" s="2868"/>
    </row>
    <row r="158" s="2384" customFormat="1" spans="2:18">
      <c r="B158" s="2866"/>
      <c r="C158" s="2866"/>
      <c r="D158" s="2866"/>
      <c r="E158" s="2866"/>
      <c r="F158" s="2866"/>
      <c r="G158" s="2867"/>
      <c r="H158" s="2866"/>
      <c r="I158" s="2867"/>
      <c r="J158" s="2866"/>
      <c r="K158" s="2866"/>
      <c r="L158" s="2867"/>
      <c r="M158" s="2866"/>
      <c r="N158" s="2866"/>
      <c r="O158" s="2867"/>
      <c r="P158" s="2866"/>
      <c r="Q158" s="2866"/>
      <c r="R158" s="2868"/>
    </row>
    <row r="159" s="2384" customFormat="1" spans="2:18">
      <c r="B159" s="2866"/>
      <c r="C159" s="2866"/>
      <c r="D159" s="2866"/>
      <c r="E159" s="2866"/>
      <c r="F159" s="2866"/>
      <c r="G159" s="2867"/>
      <c r="H159" s="2866"/>
      <c r="I159" s="2867"/>
      <c r="J159" s="2866"/>
      <c r="K159" s="2866"/>
      <c r="L159" s="2867"/>
      <c r="M159" s="2866"/>
      <c r="N159" s="2866"/>
      <c r="O159" s="2867"/>
      <c r="P159" s="2866"/>
      <c r="Q159" s="2866"/>
      <c r="R159" s="2868"/>
    </row>
    <row r="160" s="2384" customFormat="1" spans="2:18">
      <c r="B160" s="2866"/>
      <c r="C160" s="2866"/>
      <c r="D160" s="2866"/>
      <c r="E160" s="2866"/>
      <c r="F160" s="2866"/>
      <c r="G160" s="2867"/>
      <c r="H160" s="2866"/>
      <c r="I160" s="2867"/>
      <c r="J160" s="2866"/>
      <c r="K160" s="2866"/>
      <c r="L160" s="2867"/>
      <c r="M160" s="2866"/>
      <c r="N160" s="2866"/>
      <c r="O160" s="2867"/>
      <c r="P160" s="2866"/>
      <c r="Q160" s="2866"/>
      <c r="R160" s="2868"/>
    </row>
    <row r="161" s="2384" customFormat="1" spans="2:18">
      <c r="B161" s="2866"/>
      <c r="C161" s="2866"/>
      <c r="D161" s="2866"/>
      <c r="E161" s="2866"/>
      <c r="F161" s="2866"/>
      <c r="G161" s="2867"/>
      <c r="H161" s="2866"/>
      <c r="I161" s="2867"/>
      <c r="J161" s="2866"/>
      <c r="K161" s="2866"/>
      <c r="L161" s="2867"/>
      <c r="M161" s="2866"/>
      <c r="N161" s="2866"/>
      <c r="O161" s="2867"/>
      <c r="P161" s="2866"/>
      <c r="Q161" s="2866"/>
      <c r="R161" s="2868"/>
    </row>
    <row r="162" s="2384" customFormat="1" spans="2:18">
      <c r="B162" s="2866"/>
      <c r="C162" s="2866"/>
      <c r="D162" s="2866"/>
      <c r="E162" s="2866"/>
      <c r="F162" s="2866"/>
      <c r="G162" s="2867"/>
      <c r="H162" s="2866"/>
      <c r="I162" s="2867"/>
      <c r="J162" s="2866"/>
      <c r="K162" s="2866"/>
      <c r="L162" s="2867"/>
      <c r="M162" s="2866"/>
      <c r="N162" s="2866"/>
      <c r="O162" s="2867"/>
      <c r="P162" s="2866"/>
      <c r="Q162" s="2866"/>
      <c r="R162" s="2868"/>
    </row>
    <row r="163" s="2384" customFormat="1" spans="2:18">
      <c r="B163" s="2866"/>
      <c r="C163" s="2866"/>
      <c r="D163" s="2866"/>
      <c r="E163" s="2866"/>
      <c r="F163" s="2866"/>
      <c r="G163" s="2867"/>
      <c r="H163" s="2866"/>
      <c r="I163" s="2867"/>
      <c r="J163" s="2866"/>
      <c r="K163" s="2866"/>
      <c r="L163" s="2867"/>
      <c r="M163" s="2866"/>
      <c r="N163" s="2866"/>
      <c r="O163" s="2867"/>
      <c r="P163" s="2866"/>
      <c r="Q163" s="2866"/>
      <c r="R163" s="2868"/>
    </row>
    <row r="164" s="2384" customFormat="1" spans="2:18">
      <c r="B164" s="2866"/>
      <c r="C164" s="2866"/>
      <c r="D164" s="2866"/>
      <c r="E164" s="2866"/>
      <c r="F164" s="2866"/>
      <c r="G164" s="2867"/>
      <c r="H164" s="2866"/>
      <c r="I164" s="2867"/>
      <c r="J164" s="2866"/>
      <c r="K164" s="2866"/>
      <c r="L164" s="2867"/>
      <c r="M164" s="2866"/>
      <c r="N164" s="2866"/>
      <c r="O164" s="2867"/>
      <c r="P164" s="2866"/>
      <c r="Q164" s="2866"/>
      <c r="R164" s="2868"/>
    </row>
    <row r="165" s="2384" customFormat="1" spans="2:18">
      <c r="B165" s="2866"/>
      <c r="C165" s="2866"/>
      <c r="D165" s="2866"/>
      <c r="E165" s="2866"/>
      <c r="F165" s="2866"/>
      <c r="G165" s="2867"/>
      <c r="H165" s="2866"/>
      <c r="I165" s="2867"/>
      <c r="J165" s="2866"/>
      <c r="K165" s="2866"/>
      <c r="L165" s="2867"/>
      <c r="M165" s="2866"/>
      <c r="N165" s="2866"/>
      <c r="O165" s="2867"/>
      <c r="P165" s="2866"/>
      <c r="Q165" s="2866"/>
      <c r="R165" s="2868"/>
    </row>
    <row r="166" s="2384" customFormat="1" spans="2:18">
      <c r="B166" s="2866"/>
      <c r="C166" s="2866"/>
      <c r="D166" s="2866"/>
      <c r="E166" s="2866"/>
      <c r="F166" s="2866"/>
      <c r="G166" s="2867"/>
      <c r="H166" s="2866"/>
      <c r="I166" s="2867"/>
      <c r="J166" s="2866"/>
      <c r="K166" s="2866"/>
      <c r="L166" s="2867"/>
      <c r="M166" s="2866"/>
      <c r="N166" s="2866"/>
      <c r="O166" s="2867"/>
      <c r="P166" s="2866"/>
      <c r="Q166" s="2866"/>
      <c r="R166" s="2868"/>
    </row>
    <row r="167" s="2384" customFormat="1" spans="2:18">
      <c r="B167" s="2866"/>
      <c r="C167" s="2866"/>
      <c r="D167" s="2866"/>
      <c r="E167" s="2866"/>
      <c r="F167" s="2866"/>
      <c r="G167" s="2867"/>
      <c r="H167" s="2866"/>
      <c r="I167" s="2867"/>
      <c r="J167" s="2866"/>
      <c r="K167" s="2866"/>
      <c r="L167" s="2867"/>
      <c r="M167" s="2866"/>
      <c r="N167" s="2866"/>
      <c r="O167" s="2867"/>
      <c r="P167" s="2866"/>
      <c r="Q167" s="2866"/>
      <c r="R167" s="2868"/>
    </row>
    <row r="168" s="2384" customFormat="1" spans="2:18">
      <c r="B168" s="2866"/>
      <c r="C168" s="2866"/>
      <c r="D168" s="2866"/>
      <c r="E168" s="2866"/>
      <c r="F168" s="2866"/>
      <c r="G168" s="2867"/>
      <c r="H168" s="2866"/>
      <c r="I168" s="2867"/>
      <c r="J168" s="2866"/>
      <c r="K168" s="2866"/>
      <c r="L168" s="2867"/>
      <c r="M168" s="2866"/>
      <c r="N168" s="2866"/>
      <c r="O168" s="2867"/>
      <c r="P168" s="2866"/>
      <c r="Q168" s="2866"/>
      <c r="R168" s="2868"/>
    </row>
    <row r="169" s="2384" customFormat="1" spans="2:18">
      <c r="B169" s="2866"/>
      <c r="C169" s="2866"/>
      <c r="D169" s="2866"/>
      <c r="E169" s="2866"/>
      <c r="F169" s="2866"/>
      <c r="G169" s="2867"/>
      <c r="H169" s="2866"/>
      <c r="I169" s="2867"/>
      <c r="J169" s="2866"/>
      <c r="K169" s="2866"/>
      <c r="L169" s="2867"/>
      <c r="M169" s="2866"/>
      <c r="N169" s="2866"/>
      <c r="O169" s="2867"/>
      <c r="P169" s="2866"/>
      <c r="Q169" s="2866"/>
      <c r="R169" s="2868"/>
    </row>
    <row r="170" s="2384" customFormat="1" spans="2:18">
      <c r="B170" s="2866"/>
      <c r="C170" s="2866"/>
      <c r="D170" s="2866"/>
      <c r="E170" s="2866"/>
      <c r="F170" s="2866"/>
      <c r="G170" s="2867"/>
      <c r="H170" s="2866"/>
      <c r="I170" s="2867"/>
      <c r="J170" s="2866"/>
      <c r="K170" s="2866"/>
      <c r="L170" s="2867"/>
      <c r="M170" s="2866"/>
      <c r="N170" s="2866"/>
      <c r="O170" s="2867"/>
      <c r="P170" s="2866"/>
      <c r="Q170" s="2866"/>
      <c r="R170" s="2868"/>
    </row>
    <row r="171" s="2384" customFormat="1" spans="2:18">
      <c r="B171" s="2866"/>
      <c r="C171" s="2866"/>
      <c r="D171" s="2866"/>
      <c r="E171" s="2866"/>
      <c r="F171" s="2866"/>
      <c r="G171" s="2867"/>
      <c r="H171" s="2866"/>
      <c r="I171" s="2867"/>
      <c r="J171" s="2866"/>
      <c r="K171" s="2866"/>
      <c r="L171" s="2867"/>
      <c r="M171" s="2866"/>
      <c r="N171" s="2866"/>
      <c r="O171" s="2867"/>
      <c r="P171" s="2866"/>
      <c r="Q171" s="2866"/>
      <c r="R171" s="2868"/>
    </row>
    <row r="172" s="2384" customFormat="1" spans="2:18">
      <c r="B172" s="2866"/>
      <c r="C172" s="2866"/>
      <c r="D172" s="2866"/>
      <c r="E172" s="2866"/>
      <c r="F172" s="2866"/>
      <c r="G172" s="2867"/>
      <c r="H172" s="2866"/>
      <c r="I172" s="2867"/>
      <c r="J172" s="2866"/>
      <c r="K172" s="2866"/>
      <c r="L172" s="2867"/>
      <c r="M172" s="2866"/>
      <c r="N172" s="2866"/>
      <c r="O172" s="2867"/>
      <c r="P172" s="2866"/>
      <c r="Q172" s="2866"/>
      <c r="R172" s="2868"/>
    </row>
    <row r="173" s="2384" customFormat="1" spans="2:18">
      <c r="B173" s="2866"/>
      <c r="C173" s="2866"/>
      <c r="D173" s="2866"/>
      <c r="E173" s="2866"/>
      <c r="F173" s="2866"/>
      <c r="G173" s="2867"/>
      <c r="H173" s="2866"/>
      <c r="I173" s="2867"/>
      <c r="J173" s="2866"/>
      <c r="K173" s="2866"/>
      <c r="L173" s="2867"/>
      <c r="M173" s="2866"/>
      <c r="N173" s="2866"/>
      <c r="O173" s="2867"/>
      <c r="P173" s="2866"/>
      <c r="Q173" s="2866"/>
      <c r="R173" s="2868"/>
    </row>
    <row r="174" s="2384" customFormat="1" spans="2:18">
      <c r="B174" s="2866"/>
      <c r="C174" s="2866"/>
      <c r="D174" s="2866"/>
      <c r="E174" s="2866"/>
      <c r="F174" s="2866"/>
      <c r="G174" s="2867"/>
      <c r="H174" s="2866"/>
      <c r="I174" s="2867"/>
      <c r="J174" s="2866"/>
      <c r="K174" s="2866"/>
      <c r="L174" s="2867"/>
      <c r="M174" s="2866"/>
      <c r="N174" s="2866"/>
      <c r="O174" s="2867"/>
      <c r="P174" s="2866"/>
      <c r="Q174" s="2866"/>
      <c r="R174" s="2868"/>
    </row>
    <row r="175" s="2384" customFormat="1" spans="2:18">
      <c r="B175" s="2866"/>
      <c r="C175" s="2866"/>
      <c r="D175" s="2866"/>
      <c r="E175" s="2866"/>
      <c r="F175" s="2866"/>
      <c r="G175" s="2867"/>
      <c r="H175" s="2866"/>
      <c r="I175" s="2867"/>
      <c r="J175" s="2866"/>
      <c r="K175" s="2866"/>
      <c r="L175" s="2867"/>
      <c r="M175" s="2866"/>
      <c r="N175" s="2866"/>
      <c r="O175" s="2867"/>
      <c r="P175" s="2866"/>
      <c r="Q175" s="2866"/>
      <c r="R175" s="2868"/>
    </row>
    <row r="176" s="2384" customFormat="1" spans="2:18">
      <c r="B176" s="2866"/>
      <c r="C176" s="2866"/>
      <c r="D176" s="2866"/>
      <c r="E176" s="2866"/>
      <c r="F176" s="2866"/>
      <c r="G176" s="2867"/>
      <c r="H176" s="2866"/>
      <c r="I176" s="2867"/>
      <c r="J176" s="2866"/>
      <c r="K176" s="2866"/>
      <c r="L176" s="2867"/>
      <c r="M176" s="2866"/>
      <c r="N176" s="2866"/>
      <c r="O176" s="2867"/>
      <c r="P176" s="2866"/>
      <c r="Q176" s="2866"/>
      <c r="R176" s="2868"/>
    </row>
    <row r="177" s="2384" customFormat="1" spans="2:18">
      <c r="B177" s="2866"/>
      <c r="C177" s="2866"/>
      <c r="D177" s="2866"/>
      <c r="E177" s="2866"/>
      <c r="F177" s="2866"/>
      <c r="G177" s="2867"/>
      <c r="H177" s="2866"/>
      <c r="I177" s="2867"/>
      <c r="J177" s="2866"/>
      <c r="K177" s="2866"/>
      <c r="L177" s="2867"/>
      <c r="M177" s="2866"/>
      <c r="N177" s="2866"/>
      <c r="O177" s="2867"/>
      <c r="P177" s="2866"/>
      <c r="Q177" s="2866"/>
      <c r="R177" s="2868"/>
    </row>
    <row r="178" s="2384" customFormat="1" spans="2:18">
      <c r="B178" s="2866"/>
      <c r="C178" s="2866"/>
      <c r="D178" s="2866"/>
      <c r="E178" s="2866"/>
      <c r="F178" s="2866"/>
      <c r="G178" s="2867"/>
      <c r="H178" s="2866"/>
      <c r="I178" s="2867"/>
      <c r="J178" s="2866"/>
      <c r="K178" s="2866"/>
      <c r="L178" s="2867"/>
      <c r="M178" s="2866"/>
      <c r="N178" s="2866"/>
      <c r="O178" s="2867"/>
      <c r="P178" s="2866"/>
      <c r="Q178" s="2866"/>
      <c r="R178" s="2868"/>
    </row>
    <row r="179" s="2384" customFormat="1" spans="2:18">
      <c r="B179" s="2866"/>
      <c r="C179" s="2866"/>
      <c r="D179" s="2866"/>
      <c r="E179" s="2866"/>
      <c r="F179" s="2866"/>
      <c r="G179" s="2867"/>
      <c r="H179" s="2866"/>
      <c r="I179" s="2867"/>
      <c r="J179" s="2866"/>
      <c r="K179" s="2866"/>
      <c r="L179" s="2867"/>
      <c r="M179" s="2866"/>
      <c r="N179" s="2866"/>
      <c r="O179" s="2867"/>
      <c r="P179" s="2866"/>
      <c r="Q179" s="2866"/>
      <c r="R179" s="2868"/>
    </row>
    <row r="180" s="2384" customFormat="1" spans="2:18">
      <c r="B180" s="2866"/>
      <c r="C180" s="2866"/>
      <c r="D180" s="2866"/>
      <c r="E180" s="2866"/>
      <c r="F180" s="2866"/>
      <c r="G180" s="2867"/>
      <c r="H180" s="2866"/>
      <c r="I180" s="2867"/>
      <c r="J180" s="2866"/>
      <c r="K180" s="2866"/>
      <c r="L180" s="2867"/>
      <c r="M180" s="2866"/>
      <c r="N180" s="2866"/>
      <c r="O180" s="2867"/>
      <c r="P180" s="2866"/>
      <c r="Q180" s="2866"/>
      <c r="R180" s="2868"/>
    </row>
    <row r="181" s="2384" customFormat="1" spans="2:18">
      <c r="B181" s="2866"/>
      <c r="C181" s="2866"/>
      <c r="D181" s="2866"/>
      <c r="E181" s="2866"/>
      <c r="F181" s="2866"/>
      <c r="G181" s="2867"/>
      <c r="H181" s="2866"/>
      <c r="I181" s="2867"/>
      <c r="J181" s="2866"/>
      <c r="K181" s="2866"/>
      <c r="L181" s="2867"/>
      <c r="M181" s="2866"/>
      <c r="N181" s="2866"/>
      <c r="O181" s="2867"/>
      <c r="P181" s="2866"/>
      <c r="Q181" s="2866"/>
      <c r="R181" s="2868"/>
    </row>
    <row r="182" s="2384" customFormat="1" spans="2:18">
      <c r="B182" s="2866"/>
      <c r="C182" s="2866"/>
      <c r="D182" s="2866"/>
      <c r="E182" s="2866"/>
      <c r="F182" s="2866"/>
      <c r="G182" s="2867"/>
      <c r="H182" s="2866"/>
      <c r="I182" s="2867"/>
      <c r="J182" s="2866"/>
      <c r="K182" s="2866"/>
      <c r="L182" s="2867"/>
      <c r="M182" s="2866"/>
      <c r="N182" s="2866"/>
      <c r="O182" s="2867"/>
      <c r="P182" s="2866"/>
      <c r="Q182" s="2866"/>
      <c r="R182" s="2868"/>
    </row>
    <row r="183" s="2384" customFormat="1" spans="2:18">
      <c r="B183" s="2866"/>
      <c r="C183" s="2866"/>
      <c r="D183" s="2866"/>
      <c r="E183" s="2866"/>
      <c r="F183" s="2866"/>
      <c r="G183" s="2867"/>
      <c r="H183" s="2866"/>
      <c r="I183" s="2867"/>
      <c r="J183" s="2866"/>
      <c r="K183" s="2866"/>
      <c r="L183" s="2867"/>
      <c r="M183" s="2866"/>
      <c r="N183" s="2866"/>
      <c r="O183" s="2867"/>
      <c r="P183" s="2866"/>
      <c r="Q183" s="2866"/>
      <c r="R183" s="2868"/>
    </row>
    <row r="184" s="2384" customFormat="1" spans="2:18">
      <c r="B184" s="2866"/>
      <c r="C184" s="2866"/>
      <c r="D184" s="2866"/>
      <c r="E184" s="2866"/>
      <c r="F184" s="2866"/>
      <c r="G184" s="2867"/>
      <c r="H184" s="2866"/>
      <c r="I184" s="2867"/>
      <c r="J184" s="2866"/>
      <c r="K184" s="2866"/>
      <c r="L184" s="2867"/>
      <c r="M184" s="2866"/>
      <c r="N184" s="2866"/>
      <c r="O184" s="2867"/>
      <c r="P184" s="2866"/>
      <c r="Q184" s="2866"/>
      <c r="R184" s="2868"/>
    </row>
    <row r="185" s="2384" customFormat="1" spans="2:18">
      <c r="B185" s="2866"/>
      <c r="C185" s="2866"/>
      <c r="D185" s="2866"/>
      <c r="E185" s="2866"/>
      <c r="F185" s="2866"/>
      <c r="G185" s="2867"/>
      <c r="H185" s="2866"/>
      <c r="I185" s="2867"/>
      <c r="J185" s="2866"/>
      <c r="K185" s="2866"/>
      <c r="L185" s="2867"/>
      <c r="M185" s="2866"/>
      <c r="N185" s="2866"/>
      <c r="O185" s="2867"/>
      <c r="P185" s="2866"/>
      <c r="Q185" s="2866"/>
      <c r="R185" s="2868"/>
    </row>
    <row r="186" spans="1:7">
      <c r="A186" s="2384"/>
      <c r="B186" s="2866"/>
      <c r="C186" s="2866"/>
      <c r="E186" s="2866"/>
      <c r="F186" s="2866"/>
      <c r="G186" s="2867"/>
    </row>
    <row r="187" spans="1:7">
      <c r="A187" s="2384"/>
      <c r="B187" s="2866"/>
      <c r="C187" s="2866"/>
      <c r="E187" s="2866"/>
      <c r="F187" s="2866"/>
      <c r="G187" s="286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5" sqref="D15"/>
    </sheetView>
  </sheetViews>
  <sheetFormatPr defaultColWidth="9" defaultRowHeight="14"/>
  <cols>
    <col min="1" max="1" width="25" style="2844" customWidth="1"/>
    <col min="2" max="9" width="15.7545454545455" style="2844" customWidth="1"/>
    <col min="10" max="16384" width="9" style="2844"/>
  </cols>
  <sheetData>
    <row r="1" ht="16.5" spans="1:11">
      <c r="A1" s="2845" t="s">
        <v>743</v>
      </c>
      <c r="B1" s="2845">
        <f>SUM(B14:B23)</f>
        <v>3013</v>
      </c>
      <c r="C1" s="2846"/>
      <c r="D1" s="2846"/>
      <c r="E1" s="2846"/>
      <c r="F1" s="2846"/>
      <c r="G1" s="2847"/>
      <c r="H1" s="2848"/>
      <c r="I1" s="2848"/>
      <c r="J1" s="2848"/>
      <c r="K1" s="2848"/>
    </row>
    <row r="2" ht="16.5" spans="1:11">
      <c r="A2" s="2845" t="s">
        <v>744</v>
      </c>
      <c r="B2" s="2845">
        <f>SUM(C14:C23)</f>
        <v>0</v>
      </c>
      <c r="C2" s="2846"/>
      <c r="D2" s="2846"/>
      <c r="E2" s="2846"/>
      <c r="F2" s="2846"/>
      <c r="G2" s="2847"/>
      <c r="H2" s="2848"/>
      <c r="I2" s="2848"/>
      <c r="J2" s="2848"/>
      <c r="K2" s="2848"/>
    </row>
    <row r="3" ht="16.5" spans="1:11">
      <c r="A3" s="2845" t="s">
        <v>745</v>
      </c>
      <c r="B3" s="2849">
        <f>项目基本情况!D3</f>
        <v>45538</v>
      </c>
      <c r="C3" s="2846"/>
      <c r="D3" s="2846"/>
      <c r="E3" s="2846"/>
      <c r="F3" s="2846"/>
      <c r="G3" s="2847"/>
      <c r="H3" s="2848"/>
      <c r="I3" s="2848"/>
      <c r="J3" s="2848"/>
      <c r="K3" s="2848"/>
    </row>
    <row r="4" ht="33" spans="1:11">
      <c r="A4" s="2845" t="s">
        <v>746</v>
      </c>
      <c r="B4" s="2845" t="s">
        <v>747</v>
      </c>
      <c r="C4" s="2845" t="s">
        <v>748</v>
      </c>
      <c r="D4" s="2845" t="s">
        <v>749</v>
      </c>
      <c r="E4" s="2846"/>
      <c r="F4" s="2847"/>
      <c r="G4" s="2847"/>
      <c r="H4" s="2848"/>
      <c r="I4" s="2848"/>
      <c r="J4" s="2848"/>
      <c r="K4" s="2848"/>
    </row>
    <row r="5" ht="16.5" spans="1:11">
      <c r="A5" s="2845" t="s">
        <v>750</v>
      </c>
      <c r="B5" s="2845">
        <f ca="1">SUM(D14:D23)</f>
        <v>7020</v>
      </c>
      <c r="C5" s="2845">
        <f ca="1">IF(B5=D14,结果表!H102,ROUND(B5*10000/$B$1,0))</f>
        <v>23299</v>
      </c>
      <c r="D5" s="2845" t="e">
        <f ca="1">ROUND(B5*10000/$B$2,0)</f>
        <v>#DIV/0!</v>
      </c>
      <c r="E5" s="2846"/>
      <c r="F5" s="2847"/>
      <c r="G5" s="2847"/>
      <c r="H5" s="2848"/>
      <c r="I5" s="2848"/>
      <c r="J5" s="2848"/>
      <c r="K5" s="2848"/>
    </row>
    <row r="6" ht="16.5" spans="1:11">
      <c r="A6" s="2845" t="s">
        <v>751</v>
      </c>
      <c r="B6" s="2845">
        <f>SUM(G14:G23)</f>
        <v>0</v>
      </c>
      <c r="C6" s="2845">
        <f ca="1">IF(B6=G14,结果表!H108,ROUND(B6*10000/$B$1,0))</f>
        <v>23299</v>
      </c>
      <c r="D6" s="2845" t="e">
        <f>ROUND(B6*10000/$B$2,0)</f>
        <v>#DIV/0!</v>
      </c>
      <c r="E6" s="2846"/>
      <c r="F6" s="2847"/>
      <c r="G6" s="2847"/>
      <c r="H6" s="2848"/>
      <c r="I6" s="2848"/>
      <c r="J6" s="2848"/>
      <c r="K6" s="2848"/>
    </row>
    <row r="7" ht="16.5" spans="1:11">
      <c r="A7" s="2845" t="s">
        <v>752</v>
      </c>
      <c r="B7" s="2845">
        <f>SUM(H14:H23)</f>
        <v>0</v>
      </c>
      <c r="C7" s="2845" t="str">
        <f ca="1">IF(B7=H14,结果表!H110,ROUND(B7*10000/$B$1,0))</f>
        <v>——</v>
      </c>
      <c r="D7" s="2845" t="e">
        <f>ROUND(B7*10000/$B$2,0)</f>
        <v>#DIV/0!</v>
      </c>
      <c r="E7" s="2846"/>
      <c r="F7" s="2847"/>
      <c r="G7" s="2847"/>
      <c r="H7" s="2848"/>
      <c r="I7" s="2848"/>
      <c r="J7" s="2848"/>
      <c r="K7" s="2848"/>
    </row>
    <row r="8" ht="16.5" spans="1:11">
      <c r="A8" s="2845" t="s">
        <v>336</v>
      </c>
      <c r="B8" s="2845">
        <f>SUM(I14:I23)</f>
        <v>0</v>
      </c>
      <c r="C8" s="2845" t="str">
        <f ca="1">IF(B8=I14,结果表!H112,ROUND(B8*10000/$B$1,0))</f>
        <v>——</v>
      </c>
      <c r="D8" s="2845" t="e">
        <f>ROUND(B8*10000/$B$2,0)</f>
        <v>#DIV/0!</v>
      </c>
      <c r="E8" s="2846"/>
      <c r="F8" s="2847"/>
      <c r="G8" s="2847"/>
      <c r="H8" s="2848"/>
      <c r="I8" s="2848"/>
      <c r="J8" s="2848"/>
      <c r="K8" s="2848"/>
    </row>
    <row r="9" ht="16.5" spans="1:11">
      <c r="A9" s="2845" t="s">
        <v>753</v>
      </c>
      <c r="B9" s="2850"/>
      <c r="C9" s="2846"/>
      <c r="D9" s="2846"/>
      <c r="E9" s="2846"/>
      <c r="F9" s="2847"/>
      <c r="G9" s="2847"/>
      <c r="H9" s="2848"/>
      <c r="I9" s="2848"/>
      <c r="J9" s="2848"/>
      <c r="K9" s="2848"/>
    </row>
    <row r="10" ht="16.5" spans="1:11">
      <c r="A10" s="2845" t="s">
        <v>754</v>
      </c>
      <c r="B10" s="2845">
        <f>IF(E10="",0,ROUND(B1*(E10*365/G10)/10000,0))</f>
        <v>0</v>
      </c>
      <c r="C10" s="2845" t="s">
        <v>755</v>
      </c>
      <c r="D10" s="2845" t="s">
        <v>754</v>
      </c>
      <c r="E10" s="2851"/>
      <c r="F10" s="2852" t="s">
        <v>756</v>
      </c>
      <c r="G10" s="2853"/>
      <c r="H10" s="2848"/>
      <c r="I10" s="2848"/>
      <c r="J10" s="2848"/>
      <c r="K10" s="2848"/>
    </row>
    <row r="11" ht="16.5" spans="1:11">
      <c r="A11" s="2845" t="s">
        <v>757</v>
      </c>
      <c r="B11" s="2850"/>
      <c r="C11" s="2846"/>
      <c r="D11" s="2846"/>
      <c r="E11" s="2846"/>
      <c r="F11" s="2847"/>
      <c r="G11" s="2847"/>
      <c r="H11" s="2848"/>
      <c r="I11" s="2848"/>
      <c r="J11" s="2848"/>
      <c r="K11" s="2848"/>
    </row>
    <row r="12" ht="16.5" spans="1:11">
      <c r="A12" s="2846"/>
      <c r="B12" s="2846"/>
      <c r="C12" s="2846"/>
      <c r="D12" s="2846"/>
      <c r="E12" s="2846"/>
      <c r="F12" s="2847"/>
      <c r="G12" s="2847"/>
      <c r="H12" s="2848"/>
      <c r="I12" s="2848"/>
      <c r="J12" s="2848"/>
      <c r="K12" s="2848"/>
    </row>
    <row r="13" ht="33" spans="1:11">
      <c r="A13" s="2854" t="s">
        <v>758</v>
      </c>
      <c r="B13" s="2855" t="s">
        <v>743</v>
      </c>
      <c r="C13" s="2855" t="s">
        <v>744</v>
      </c>
      <c r="D13" s="2855" t="s">
        <v>759</v>
      </c>
      <c r="E13" s="2845" t="s">
        <v>748</v>
      </c>
      <c r="F13" s="2845" t="s">
        <v>749</v>
      </c>
      <c r="G13" s="2855" t="s">
        <v>760</v>
      </c>
      <c r="H13" s="2855" t="s">
        <v>761</v>
      </c>
      <c r="I13" s="2855" t="s">
        <v>762</v>
      </c>
      <c r="J13" s="2847"/>
      <c r="K13" s="2848"/>
    </row>
    <row r="14" ht="16.5" spans="1:11">
      <c r="A14" s="2856" t="s">
        <v>763</v>
      </c>
      <c r="B14" s="2857">
        <f>'数据-汇总表'!E3</f>
        <v>3013</v>
      </c>
      <c r="C14" s="2857">
        <f>'数据-汇总表'!D3</f>
        <v>0</v>
      </c>
      <c r="D14" s="2857">
        <f ca="1">结果表!G19</f>
        <v>7020</v>
      </c>
      <c r="E14" s="2857">
        <f ca="1">ROUND(D14*10000/B14,0)</f>
        <v>23299</v>
      </c>
      <c r="F14" s="2857" t="e">
        <f ca="1">ROUND(D14*10000/C14,0)</f>
        <v>#DIV/0!</v>
      </c>
      <c r="G14" s="2857"/>
      <c r="H14" s="2857"/>
      <c r="I14" s="2857"/>
      <c r="J14" s="2847"/>
      <c r="K14" s="2848"/>
    </row>
    <row r="15" ht="16.5" spans="1:11">
      <c r="A15" s="2856" t="s">
        <v>764</v>
      </c>
      <c r="B15" s="2858"/>
      <c r="C15" s="2858"/>
      <c r="D15" s="2858"/>
      <c r="E15" s="2857" t="e">
        <f t="shared" ref="E15:E23" si="0">ROUND(D15*10000/B15,0)</f>
        <v>#DIV/0!</v>
      </c>
      <c r="F15" s="2857" t="e">
        <f t="shared" ref="F15:F23" si="1">ROUND(D15*10000/C15,0)</f>
        <v>#DIV/0!</v>
      </c>
      <c r="G15" s="2859"/>
      <c r="H15" s="2859"/>
      <c r="I15" s="2858"/>
      <c r="J15" s="2847"/>
      <c r="K15" s="2848"/>
    </row>
    <row r="16" ht="16.5" spans="1:11">
      <c r="A16" s="2856" t="s">
        <v>765</v>
      </c>
      <c r="B16" s="2858"/>
      <c r="C16" s="2858"/>
      <c r="D16" s="2858"/>
      <c r="E16" s="2857" t="e">
        <f t="shared" si="0"/>
        <v>#DIV/0!</v>
      </c>
      <c r="F16" s="2857" t="e">
        <f t="shared" si="1"/>
        <v>#DIV/0!</v>
      </c>
      <c r="G16" s="2859"/>
      <c r="H16" s="2859"/>
      <c r="I16" s="2858"/>
      <c r="J16" s="2848"/>
      <c r="K16" s="2848"/>
    </row>
    <row r="17" ht="16.5" spans="1:11">
      <c r="A17" s="2856" t="s">
        <v>766</v>
      </c>
      <c r="B17" s="2858"/>
      <c r="C17" s="2858"/>
      <c r="D17" s="2858"/>
      <c r="E17" s="2857" t="e">
        <f t="shared" si="0"/>
        <v>#DIV/0!</v>
      </c>
      <c r="F17" s="2857" t="e">
        <f t="shared" si="1"/>
        <v>#DIV/0!</v>
      </c>
      <c r="G17" s="2859"/>
      <c r="H17" s="2859"/>
      <c r="I17" s="2858"/>
      <c r="J17" s="2848"/>
      <c r="K17" s="2848"/>
    </row>
    <row r="18" ht="16.5" spans="1:11">
      <c r="A18" s="2856" t="s">
        <v>767</v>
      </c>
      <c r="B18" s="2858"/>
      <c r="C18" s="2858"/>
      <c r="D18" s="2858"/>
      <c r="E18" s="2857" t="e">
        <f t="shared" si="0"/>
        <v>#DIV/0!</v>
      </c>
      <c r="F18" s="2857" t="e">
        <f t="shared" si="1"/>
        <v>#DIV/0!</v>
      </c>
      <c r="G18" s="2858"/>
      <c r="H18" s="2858"/>
      <c r="I18" s="2858"/>
      <c r="J18" s="2848"/>
      <c r="K18" s="2848"/>
    </row>
    <row r="19" ht="16.5" spans="1:11">
      <c r="A19" s="2856" t="s">
        <v>768</v>
      </c>
      <c r="B19" s="2858"/>
      <c r="C19" s="2858"/>
      <c r="D19" s="2858"/>
      <c r="E19" s="2857" t="e">
        <f t="shared" si="0"/>
        <v>#DIV/0!</v>
      </c>
      <c r="F19" s="2857" t="e">
        <f t="shared" si="1"/>
        <v>#DIV/0!</v>
      </c>
      <c r="G19" s="2858"/>
      <c r="H19" s="2858"/>
      <c r="I19" s="2858"/>
      <c r="J19" s="2848"/>
      <c r="K19" s="2848"/>
    </row>
    <row r="20" ht="16.5" spans="1:11">
      <c r="A20" s="2856" t="s">
        <v>769</v>
      </c>
      <c r="B20" s="2858"/>
      <c r="C20" s="2858"/>
      <c r="D20" s="2858"/>
      <c r="E20" s="2857" t="e">
        <f t="shared" si="0"/>
        <v>#DIV/0!</v>
      </c>
      <c r="F20" s="2857" t="e">
        <f t="shared" si="1"/>
        <v>#DIV/0!</v>
      </c>
      <c r="G20" s="2858"/>
      <c r="H20" s="2858"/>
      <c r="I20" s="2858"/>
      <c r="J20" s="2848"/>
      <c r="K20" s="2848"/>
    </row>
    <row r="21" ht="16.5" spans="1:11">
      <c r="A21" s="2856" t="s">
        <v>770</v>
      </c>
      <c r="B21" s="2858"/>
      <c r="C21" s="2858"/>
      <c r="D21" s="2858"/>
      <c r="E21" s="2857" t="e">
        <f t="shared" si="0"/>
        <v>#DIV/0!</v>
      </c>
      <c r="F21" s="2857" t="e">
        <f t="shared" si="1"/>
        <v>#DIV/0!</v>
      </c>
      <c r="G21" s="2858"/>
      <c r="H21" s="2858"/>
      <c r="I21" s="2858"/>
      <c r="J21" s="2848"/>
      <c r="K21" s="2848"/>
    </row>
    <row r="22" ht="16.5" spans="1:11">
      <c r="A22" s="2856" t="s">
        <v>771</v>
      </c>
      <c r="B22" s="2858"/>
      <c r="C22" s="2858"/>
      <c r="D22" s="2858"/>
      <c r="E22" s="2857" t="e">
        <f t="shared" si="0"/>
        <v>#DIV/0!</v>
      </c>
      <c r="F22" s="2857" t="e">
        <f t="shared" si="1"/>
        <v>#DIV/0!</v>
      </c>
      <c r="G22" s="2858"/>
      <c r="H22" s="2858"/>
      <c r="I22" s="2858"/>
      <c r="J22" s="2848"/>
      <c r="K22" s="2848"/>
    </row>
    <row r="23" ht="16.5" spans="1:11">
      <c r="A23" s="2856" t="s">
        <v>772</v>
      </c>
      <c r="B23" s="2858"/>
      <c r="C23" s="2858"/>
      <c r="D23" s="2858"/>
      <c r="E23" s="2850" t="e">
        <f t="shared" si="0"/>
        <v>#DIV/0!</v>
      </c>
      <c r="F23" s="2850" t="e">
        <f t="shared" si="1"/>
        <v>#DIV/0!</v>
      </c>
      <c r="G23" s="2858"/>
      <c r="H23" s="2858"/>
      <c r="I23" s="2858"/>
      <c r="J23" s="2848"/>
      <c r="K23" s="2848"/>
    </row>
    <row r="24" spans="1:11">
      <c r="A24" s="2848"/>
      <c r="B24" s="2848"/>
      <c r="C24" s="2848"/>
      <c r="D24" s="2848"/>
      <c r="E24" s="2848"/>
      <c r="F24" s="2848"/>
      <c r="G24" s="2848"/>
      <c r="H24" s="2848"/>
      <c r="I24" s="2848"/>
      <c r="J24" s="2848"/>
      <c r="K24" s="2848"/>
    </row>
    <row r="25" spans="1:11">
      <c r="A25" s="2848"/>
      <c r="B25" s="2848"/>
      <c r="C25" s="2848"/>
      <c r="D25" s="2848"/>
      <c r="E25" s="2848"/>
      <c r="F25" s="2848"/>
      <c r="G25" s="2848"/>
      <c r="H25" s="2848"/>
      <c r="I25" s="2848"/>
      <c r="J25" s="2848"/>
      <c r="K25" s="2848"/>
    </row>
    <row r="26" spans="1:11">
      <c r="A26" s="2848"/>
      <c r="B26" s="2848"/>
      <c r="C26" s="2848"/>
      <c r="D26" s="2848"/>
      <c r="E26" s="2848"/>
      <c r="F26" s="2848"/>
      <c r="G26" s="2848"/>
      <c r="H26" s="2848"/>
      <c r="I26" s="2848"/>
      <c r="J26" s="2848"/>
      <c r="K26" s="2848"/>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85" zoomScalePageLayoutView="80" zoomScaleNormal="100" workbookViewId="0">
      <selection activeCell="K24" sqref="K24"/>
    </sheetView>
  </sheetViews>
  <sheetFormatPr defaultColWidth="12.6272727272727" defaultRowHeight="21.75" customHeight="1"/>
  <cols>
    <col min="1" max="2" width="12.6272727272727" style="2495"/>
    <col min="3" max="4" width="12.6272727272727" style="2495" customWidth="1"/>
    <col min="5" max="9" width="12.6272727272727" style="2495"/>
    <col min="10" max="11" width="12.6272727272727" style="1373" customWidth="1"/>
    <col min="12" max="12" width="12.6272727272727" style="1373"/>
    <col min="13" max="13" width="14.1272727272727" style="1373" customWidth="1"/>
    <col min="14" max="15" width="12.6272727272727" style="1373"/>
    <col min="16" max="16" width="12.8727272727273" style="1373"/>
    <col min="17" max="26" width="12.6272727272727" style="1373"/>
    <col min="27" max="35" width="12.6272727272727" style="2494"/>
    <col min="36" max="16384" width="12.6272727272727" style="2495"/>
  </cols>
  <sheetData>
    <row r="1" customHeight="1" spans="1:9">
      <c r="A1" s="2496" t="s">
        <v>773</v>
      </c>
      <c r="B1" s="2497"/>
      <c r="C1" s="2498"/>
      <c r="D1" s="2497"/>
      <c r="E1" s="2497"/>
      <c r="F1" s="2499" t="s">
        <v>774</v>
      </c>
      <c r="G1" s="2500"/>
      <c r="H1" s="2501" t="str">
        <f>IF(G1="现房","——","估价对象范围")</f>
        <v>估价对象范围</v>
      </c>
      <c r="I1" s="2660"/>
    </row>
    <row r="2" customHeight="1" spans="1:9">
      <c r="A2" s="2502" t="str">
        <f>项目基本情况!S2</f>
        <v>房地产</v>
      </c>
      <c r="B2" s="2503"/>
      <c r="C2" s="2503"/>
      <c r="D2" s="2503"/>
      <c r="E2" s="2503"/>
      <c r="F2" s="2503"/>
      <c r="G2" s="2503"/>
      <c r="H2" s="2503"/>
      <c r="I2" s="2661"/>
    </row>
    <row r="3" ht="14" spans="1:9">
      <c r="A3" s="2504" t="s">
        <v>775</v>
      </c>
      <c r="B3" s="2172"/>
      <c r="C3" s="2172"/>
      <c r="D3" s="2172"/>
      <c r="E3" s="2172"/>
      <c r="F3" s="2172"/>
      <c r="G3" s="2172"/>
      <c r="H3" s="2172"/>
      <c r="I3" s="2172"/>
    </row>
    <row r="4" ht="14" spans="1:12">
      <c r="A4" s="2505" t="s">
        <v>776</v>
      </c>
      <c r="B4" s="2506" t="s">
        <v>777</v>
      </c>
      <c r="C4" s="2507" t="s">
        <v>778</v>
      </c>
      <c r="D4" s="2507" t="s">
        <v>651</v>
      </c>
      <c r="E4" s="2508" t="s">
        <v>779</v>
      </c>
      <c r="F4" s="2509"/>
      <c r="G4" s="2509"/>
      <c r="H4" s="2509"/>
      <c r="I4" s="2662"/>
      <c r="K4" s="1374" t="str">
        <f>IF(ISNUMBER(FIND("比较法",结果表!C4)),"比较法",IF(ISNUMBER(FIND("成本法",结果表!C4)),"成本法",IF(ISNUMBER(FIND("假设开发法",结果表!C4)),"假设开发法",IF(ISNUMBER(FIND("收益法",结果表!C4)),"收益法","基准地价系数修正法"))))</f>
        <v>比较法</v>
      </c>
      <c r="L4" s="1374" t="str">
        <f>IF(ISNUMBER(FIND("比较法",结果表!D4)),"比较法",IF(ISNUMBER(FIND("成本法",结果表!D4)),"成本法",IF(ISNUMBER(FIND("假设开发法",结果表!D4)),"假设开发法",IF(ISNUMBER(FIND("收益法",结果表!D4)),"收益法","基准地价系数修正法"))))</f>
        <v>收益法</v>
      </c>
    </row>
    <row r="5" ht="14" spans="1:9">
      <c r="A5" s="2510" t="s">
        <v>780</v>
      </c>
      <c r="B5" s="830">
        <v>25</v>
      </c>
      <c r="C5" s="2511"/>
      <c r="D5" s="2512"/>
      <c r="E5" s="2161" t="s">
        <v>781</v>
      </c>
      <c r="F5" s="2513"/>
      <c r="G5" s="2513"/>
      <c r="H5" s="2513"/>
      <c r="I5" s="2377"/>
    </row>
    <row r="6" ht="14" spans="1:9">
      <c r="A6" s="2510"/>
      <c r="B6" s="830"/>
      <c r="C6" s="2514"/>
      <c r="D6" s="2512"/>
      <c r="E6" s="2161" t="s">
        <v>782</v>
      </c>
      <c r="F6" s="2513"/>
      <c r="G6" s="2513"/>
      <c r="H6" s="2513"/>
      <c r="I6" s="2377"/>
    </row>
    <row r="7" ht="14" spans="1:9">
      <c r="A7" s="2510"/>
      <c r="B7" s="830"/>
      <c r="C7" s="2515"/>
      <c r="D7" s="2512"/>
      <c r="E7" s="2161" t="s">
        <v>783</v>
      </c>
      <c r="F7" s="2513"/>
      <c r="G7" s="2513"/>
      <c r="H7" s="2513"/>
      <c r="I7" s="2377"/>
    </row>
    <row r="8" ht="14" spans="1:9">
      <c r="A8" s="2510" t="s">
        <v>784</v>
      </c>
      <c r="B8" s="830">
        <v>15</v>
      </c>
      <c r="C8" s="2511"/>
      <c r="D8" s="2512"/>
      <c r="E8" s="2161" t="s">
        <v>785</v>
      </c>
      <c r="F8" s="2513"/>
      <c r="G8" s="2513"/>
      <c r="H8" s="2513"/>
      <c r="I8" s="2377"/>
    </row>
    <row r="9" ht="14" spans="1:9">
      <c r="A9" s="2510"/>
      <c r="B9" s="830"/>
      <c r="C9" s="2515"/>
      <c r="D9" s="2512"/>
      <c r="E9" s="2161" t="s">
        <v>786</v>
      </c>
      <c r="F9" s="2513"/>
      <c r="G9" s="2513"/>
      <c r="H9" s="2513"/>
      <c r="I9" s="2377"/>
    </row>
    <row r="10" ht="14" spans="1:9">
      <c r="A10" s="2510" t="s">
        <v>787</v>
      </c>
      <c r="B10" s="830">
        <v>15</v>
      </c>
      <c r="C10" s="2511"/>
      <c r="D10" s="2512"/>
      <c r="E10" s="2161" t="s">
        <v>788</v>
      </c>
      <c r="F10" s="2513"/>
      <c r="G10" s="2513"/>
      <c r="H10" s="2513"/>
      <c r="I10" s="2377"/>
    </row>
    <row r="11" ht="14" spans="1:9">
      <c r="A11" s="2510"/>
      <c r="B11" s="830"/>
      <c r="C11" s="2515"/>
      <c r="D11" s="2512"/>
      <c r="E11" s="2161" t="s">
        <v>789</v>
      </c>
      <c r="F11" s="2513"/>
      <c r="G11" s="2513"/>
      <c r="H11" s="2513"/>
      <c r="I11" s="2377"/>
    </row>
    <row r="12" ht="14" spans="1:9">
      <c r="A12" s="2510" t="s">
        <v>790</v>
      </c>
      <c r="B12" s="830">
        <v>15</v>
      </c>
      <c r="C12" s="2511"/>
      <c r="D12" s="2512"/>
      <c r="E12" s="2161" t="s">
        <v>791</v>
      </c>
      <c r="F12" s="2513"/>
      <c r="G12" s="2513"/>
      <c r="H12" s="2513"/>
      <c r="I12" s="2377"/>
    </row>
    <row r="13" ht="14" spans="1:9">
      <c r="A13" s="2510"/>
      <c r="B13" s="830"/>
      <c r="C13" s="2515"/>
      <c r="D13" s="2512"/>
      <c r="E13" s="2161" t="s">
        <v>792</v>
      </c>
      <c r="F13" s="2513"/>
      <c r="G13" s="2513"/>
      <c r="H13" s="2513"/>
      <c r="I13" s="2377"/>
    </row>
    <row r="14" ht="14" spans="1:9">
      <c r="A14" s="2510" t="s">
        <v>793</v>
      </c>
      <c r="B14" s="830">
        <v>30</v>
      </c>
      <c r="C14" s="2511">
        <v>7</v>
      </c>
      <c r="D14" s="2512">
        <v>3</v>
      </c>
      <c r="E14" s="2161" t="s">
        <v>794</v>
      </c>
      <c r="F14" s="2513"/>
      <c r="G14" s="2513"/>
      <c r="H14" s="2513"/>
      <c r="I14" s="2377"/>
    </row>
    <row r="15" ht="14" spans="1:9">
      <c r="A15" s="2510"/>
      <c r="B15" s="830"/>
      <c r="C15" s="2514"/>
      <c r="D15" s="2512"/>
      <c r="E15" s="2161" t="s">
        <v>795</v>
      </c>
      <c r="F15" s="2513"/>
      <c r="G15" s="2513"/>
      <c r="H15" s="2513"/>
      <c r="I15" s="2377"/>
    </row>
    <row r="16" ht="14" spans="1:9">
      <c r="A16" s="2510"/>
      <c r="B16" s="830"/>
      <c r="C16" s="2515"/>
      <c r="D16" s="2512"/>
      <c r="E16" s="2161" t="s">
        <v>796</v>
      </c>
      <c r="F16" s="2513"/>
      <c r="G16" s="2513"/>
      <c r="H16" s="2513"/>
      <c r="I16" s="2377"/>
    </row>
    <row r="17" ht="14" spans="1:13">
      <c r="A17" s="2516" t="s">
        <v>797</v>
      </c>
      <c r="B17" s="2517"/>
      <c r="C17" s="2518">
        <f>SUM(C5:C16)</f>
        <v>7</v>
      </c>
      <c r="D17" s="2518">
        <f>SUM(D5:D16)</f>
        <v>3</v>
      </c>
      <c r="E17" s="1417"/>
      <c r="F17" s="1417"/>
      <c r="G17" s="1417"/>
      <c r="H17" s="1417"/>
      <c r="I17" s="1417"/>
      <c r="K17" s="2119"/>
      <c r="L17" s="2119" t="s">
        <v>798</v>
      </c>
      <c r="M17" s="2119" t="s">
        <v>799</v>
      </c>
    </row>
    <row r="18" ht="31.9" customHeight="1" spans="1:13">
      <c r="A18" s="2519" t="s">
        <v>800</v>
      </c>
      <c r="B18" s="2520"/>
      <c r="C18" s="2521">
        <f>ROUND(C17/SUM(C17:D17),2)</f>
        <v>0.7</v>
      </c>
      <c r="D18" s="2521">
        <f>1-C18</f>
        <v>0.3</v>
      </c>
      <c r="E18" s="2522" t="s">
        <v>801</v>
      </c>
      <c r="F18" s="2523"/>
      <c r="G18" s="2523"/>
      <c r="H18" s="2523"/>
      <c r="I18" s="2523"/>
      <c r="K18" s="2119" t="s">
        <v>456</v>
      </c>
      <c r="L18" s="2119">
        <f>IF(C1="",'数据-汇总表'!E3,SUMIF(项目类型,C1,'数据-汇总表'!E17:E26)+SUMIF(项目类型,C1,'数据-汇总表'!I17:I26))</f>
        <v>3013</v>
      </c>
      <c r="M18" s="2119">
        <f>IF(C1="",'数据-汇总表'!E3,SUMIF(项目类型,C1,'数据-汇总表'!E17:E26))</f>
        <v>3013</v>
      </c>
    </row>
    <row r="19" ht="14" spans="1:13">
      <c r="A19" s="2524" t="s">
        <v>802</v>
      </c>
      <c r="B19" s="2525" t="s">
        <v>803</v>
      </c>
      <c r="C19" s="2526">
        <f ca="1">SUMIF(INDIRECT("'"&amp;C4&amp;"'"&amp;"!A:A"),结果表!B19,INDIRECT("'"&amp;C4&amp;"'"&amp;"!B:B"))</f>
        <v>7633.4355</v>
      </c>
      <c r="D19" s="1842">
        <f ca="1">SUMIF(INDIRECT("'"&amp;D4&amp;"'"&amp;"!A:A"),结果表!B19,INDIRECT("'"&amp;D4&amp;"'"&amp;"!B:B"))</f>
        <v>5589</v>
      </c>
      <c r="E19" s="2524" t="s">
        <v>804</v>
      </c>
      <c r="F19" s="2525" t="s">
        <v>803</v>
      </c>
      <c r="G19" s="2527">
        <f ca="1">ROUND(C19*$C$18+D19*$D$18,0)</f>
        <v>7020</v>
      </c>
      <c r="H19" s="2528" t="s">
        <v>805</v>
      </c>
      <c r="I19" s="1417"/>
      <c r="K19" s="2119" t="s">
        <v>460</v>
      </c>
      <c r="L19" s="2119">
        <f>IF(C1="",'数据-汇总表'!D3,SUMIF(项目类型,C1,'数据-汇总表'!D17:D26)+SUMIF(项目类型,C1,'数据-汇总表'!H17:H27))</f>
        <v>0</v>
      </c>
      <c r="M19" s="2119">
        <f>IF(C1="",'数据-汇总表'!D3,SUMIF(项目类型,C1,'数据-汇总表'!D17:D26))</f>
        <v>0</v>
      </c>
    </row>
    <row r="20" ht="14" spans="1:9">
      <c r="A20" s="2529"/>
      <c r="B20" s="2530" t="s">
        <v>806</v>
      </c>
      <c r="C20" s="2027">
        <f ca="1">SUMIF(INDIRECT("'"&amp;C4&amp;"'"&amp;"!A:A"),结果表!B20,INDIRECT("'"&amp;C4&amp;"'"&amp;"!B:B"))</f>
        <v>25335</v>
      </c>
      <c r="D20" s="2030">
        <f ca="1">SUMIF(INDIRECT("'"&amp;D4&amp;"'"&amp;"!A:A"),结果表!B20,INDIRECT("'"&amp;D4&amp;"'"&amp;"!B:B"))</f>
        <v>18550</v>
      </c>
      <c r="E20" s="2529"/>
      <c r="F20" s="2530" t="s">
        <v>806</v>
      </c>
      <c r="G20" s="2531">
        <f ca="1">ROUND(C20*$C$18+D20*$D$18,0)</f>
        <v>23300</v>
      </c>
      <c r="H20" s="2277" t="s">
        <v>807</v>
      </c>
      <c r="I20" s="1417"/>
    </row>
    <row r="21" ht="15" customHeight="1" spans="1:9">
      <c r="A21" s="2459"/>
      <c r="B21" s="2532" t="s">
        <v>808</v>
      </c>
      <c r="C21" s="2533" t="e">
        <f ca="1">ROUND(C19*10000/L19,0)</f>
        <v>#DIV/0!</v>
      </c>
      <c r="D21" s="2534" t="e">
        <f ca="1">ROUND(D19*10000/L19,0)</f>
        <v>#DIV/0!</v>
      </c>
      <c r="E21" s="2459"/>
      <c r="F21" s="2532" t="s">
        <v>808</v>
      </c>
      <c r="G21" s="2535" t="e">
        <f ca="1">ROUND(G19*10000/L19,0)</f>
        <v>#DIV/0!</v>
      </c>
      <c r="H21" s="2536" t="s">
        <v>807</v>
      </c>
      <c r="I21" s="1417"/>
    </row>
    <row r="22" ht="14.75" spans="1:12">
      <c r="A22" s="2537" t="s">
        <v>809</v>
      </c>
      <c r="B22" s="2538"/>
      <c r="C22" s="2539"/>
      <c r="D22" s="2540">
        <f ca="1">IF(C19&lt;D19,D19/C19-1,C19/D19-1)</f>
        <v>0.365796296296296</v>
      </c>
      <c r="E22" s="1417"/>
      <c r="F22" s="1417"/>
      <c r="G22" s="1417"/>
      <c r="H22" s="1417"/>
      <c r="I22" s="1417"/>
      <c r="L22" s="1373">
        <f>2.3*L18</f>
        <v>6929.9</v>
      </c>
    </row>
    <row r="23" ht="14.75" spans="1:12">
      <c r="A23" s="2497"/>
      <c r="B23" s="2497"/>
      <c r="C23" s="2497"/>
      <c r="D23" s="2497"/>
      <c r="E23" s="1417"/>
      <c r="F23" s="1417"/>
      <c r="G23" s="1417"/>
      <c r="H23" s="1417"/>
      <c r="I23" s="1417"/>
      <c r="L23" s="1373">
        <f>2.4*L18</f>
        <v>7231.2</v>
      </c>
    </row>
    <row r="24" ht="14" spans="1:9">
      <c r="A24" s="2541" t="s">
        <v>810</v>
      </c>
      <c r="B24" s="2525" t="s">
        <v>803</v>
      </c>
      <c r="C24" s="2527">
        <f>IF(B30=0,0,D30)</f>
        <v>0</v>
      </c>
      <c r="D24" s="2542"/>
      <c r="E24" s="1417"/>
      <c r="F24" s="1417"/>
      <c r="G24" s="1417"/>
      <c r="H24" s="1417"/>
      <c r="I24" s="1417"/>
    </row>
    <row r="25" ht="14" spans="1:9">
      <c r="A25" s="2543"/>
      <c r="B25" s="2530" t="s">
        <v>806</v>
      </c>
      <c r="C25" s="2544">
        <f>IF(B30=0,0,C30)</f>
        <v>0</v>
      </c>
      <c r="D25" s="2545"/>
      <c r="E25" s="1417"/>
      <c r="F25" s="1417"/>
      <c r="G25" s="1417"/>
      <c r="H25" s="1417"/>
      <c r="I25" s="1417"/>
    </row>
    <row r="26" ht="13.5" customHeight="1" spans="1:9">
      <c r="A26" s="2546" t="s">
        <v>811</v>
      </c>
      <c r="B26" s="2547" t="s">
        <v>812</v>
      </c>
      <c r="C26" s="2547" t="s">
        <v>813</v>
      </c>
      <c r="D26" s="2548" t="s">
        <v>814</v>
      </c>
      <c r="E26" s="1417"/>
      <c r="F26" s="1417"/>
      <c r="G26" s="1417"/>
      <c r="H26" s="1417"/>
      <c r="I26" s="1417"/>
    </row>
    <row r="27" ht="14" spans="1:9">
      <c r="A27" s="2546"/>
      <c r="B27" s="2547">
        <v>0</v>
      </c>
      <c r="C27" s="2547">
        <v>0</v>
      </c>
      <c r="D27" s="2548">
        <f>ROUND(C27*B27/10000,0)</f>
        <v>0</v>
      </c>
      <c r="E27" s="1417"/>
      <c r="F27" s="1417"/>
      <c r="G27" s="1417"/>
      <c r="H27" s="1417"/>
      <c r="I27" s="1417"/>
    </row>
    <row r="28" ht="14" spans="1:9">
      <c r="A28" s="2546"/>
      <c r="B28" s="2547"/>
      <c r="C28" s="2547"/>
      <c r="D28" s="2548"/>
      <c r="E28" s="1417"/>
      <c r="F28" s="1417"/>
      <c r="G28" s="1417"/>
      <c r="H28" s="1417"/>
      <c r="I28" s="1417"/>
    </row>
    <row r="29" ht="14" spans="1:9">
      <c r="A29" s="2546"/>
      <c r="B29" s="2547"/>
      <c r="C29" s="2547"/>
      <c r="D29" s="2548"/>
      <c r="E29" s="1417"/>
      <c r="F29" s="1417"/>
      <c r="G29" s="1417"/>
      <c r="H29" s="1417"/>
      <c r="I29" s="1417"/>
    </row>
    <row r="30" ht="14.75" spans="1:9">
      <c r="A30" s="2547" t="s">
        <v>815</v>
      </c>
      <c r="B30" s="2547"/>
      <c r="C30" s="2547"/>
      <c r="D30" s="2547"/>
      <c r="E30" s="2549" t="s">
        <v>816</v>
      </c>
      <c r="F30" s="1417"/>
      <c r="G30" s="1417"/>
      <c r="H30" s="1417"/>
      <c r="I30" s="1417"/>
    </row>
    <row r="31" s="2491" customFormat="1" ht="26.45" customHeight="1" spans="1:36">
      <c r="A31" s="2550"/>
      <c r="B31" s="2551"/>
      <c r="C31" s="2551"/>
      <c r="D31" s="2551"/>
      <c r="E31" s="2551"/>
      <c r="F31" s="2551"/>
      <c r="G31" s="2551"/>
      <c r="H31" s="2551"/>
      <c r="I31" s="2663" t="s">
        <v>817</v>
      </c>
      <c r="J31" s="2664"/>
      <c r="K31" s="2665"/>
      <c r="L31" s="2665"/>
      <c r="M31" s="2665"/>
      <c r="N31" s="2665"/>
      <c r="O31" s="2665"/>
      <c r="P31" s="2665"/>
      <c r="Q31" s="2665"/>
      <c r="R31" s="2665"/>
      <c r="S31" s="2665"/>
      <c r="T31" s="2665"/>
      <c r="U31" s="2665"/>
      <c r="V31" s="2665"/>
      <c r="W31" s="2665"/>
      <c r="X31" s="2665"/>
      <c r="Y31" s="2665"/>
      <c r="Z31" s="2665"/>
      <c r="AA31" s="2665"/>
      <c r="AB31" s="2699"/>
      <c r="AC31" s="2699"/>
      <c r="AD31" s="2699"/>
      <c r="AE31" s="2699"/>
      <c r="AF31" s="2699"/>
      <c r="AG31" s="2699"/>
      <c r="AH31" s="2699"/>
      <c r="AI31" s="2699"/>
      <c r="AJ31" s="2699"/>
    </row>
    <row r="32" ht="15.5" spans="1:9">
      <c r="A32" s="2552" t="s">
        <v>818</v>
      </c>
      <c r="B32" s="2553"/>
      <c r="C32" s="2554">
        <f ca="1">IF(D32="总价",G19-C24,G20-C25)</f>
        <v>7020</v>
      </c>
      <c r="D32" s="2555" t="s">
        <v>819</v>
      </c>
      <c r="E32" s="1417"/>
      <c r="F32" s="1417"/>
      <c r="G32" s="1417"/>
      <c r="H32" s="1417"/>
      <c r="I32" s="1417"/>
    </row>
    <row r="33" ht="14" spans="1:9">
      <c r="A33" s="2400" t="s">
        <v>820</v>
      </c>
      <c r="B33" s="2556"/>
      <c r="C33" s="2557" t="s">
        <v>821</v>
      </c>
      <c r="D33" s="2558" t="s">
        <v>651</v>
      </c>
      <c r="E33" s="2559" t="s">
        <v>822</v>
      </c>
      <c r="F33" s="2560" t="str">
        <f>IF(D32="楼面单价","取值（单价）","取值（总价）")</f>
        <v>取值（总价）</v>
      </c>
      <c r="G33" s="1417"/>
      <c r="H33" s="1417"/>
      <c r="I33" s="1417"/>
    </row>
    <row r="34" ht="14" spans="1:9">
      <c r="A34" s="2561"/>
      <c r="B34" s="2562" t="s">
        <v>823</v>
      </c>
      <c r="C34" s="2563">
        <f ca="1">IF(C33="自定义",F34,C32-C35)</f>
        <v>5153</v>
      </c>
      <c r="D34" s="2564">
        <f ca="1">IF(C33="自定义",ROUND(C34/C32,3),IF(C33="收益比率",SUMIF(INDIRECT("'"&amp;D33&amp;"'"&amp;"!b:b"),"土地收益比率",INDIRECT("'"&amp;D33&amp;"'"&amp;"!c:c")),SUMIF(INDIRECT("'"&amp;D33&amp;"'"&amp;"!b:b"),"土地成本比率",INDIRECT("'"&amp;D33&amp;"'"&amp;"!c:c"))))</f>
        <v>0.734</v>
      </c>
      <c r="E34" s="2565" t="s">
        <v>824</v>
      </c>
      <c r="F34" s="2566"/>
      <c r="G34" s="1417"/>
      <c r="H34" s="1417"/>
      <c r="I34" s="1417"/>
    </row>
    <row r="35" ht="14.75" spans="1:9">
      <c r="A35" s="2567"/>
      <c r="B35" s="2568" t="s">
        <v>825</v>
      </c>
      <c r="C35" s="2569">
        <f ca="1">IF(C33="自定义",F35,ROUND(C32*D35,0))</f>
        <v>1867</v>
      </c>
      <c r="D35" s="2570">
        <f ca="1">IF(C33="自定义",ROUND(C35/C32,3),IF(C33="收益比率",SUMIF(INDIRECT("'"&amp;D33&amp;"'"&amp;"!b:b"),"建筑物收益比率",INDIRECT("'"&amp;D33&amp;"'"&amp;"!c:c")),SUMIF(INDIRECT("'"&amp;D33&amp;"'"&amp;"!b:b"),"建筑物成本比率",INDIRECT("'"&amp;D33&amp;"'"&amp;"!c:c"))))</f>
        <v>0.266</v>
      </c>
      <c r="E35" s="2571" t="s">
        <v>826</v>
      </c>
      <c r="F35" s="2572"/>
      <c r="G35" s="1417"/>
      <c r="H35" s="1417"/>
      <c r="I35" s="1417"/>
    </row>
    <row r="36" ht="14.75" spans="1:9">
      <c r="A36" s="2573" t="s">
        <v>827</v>
      </c>
      <c r="B36" s="2574" t="s">
        <v>828</v>
      </c>
      <c r="C36" s="2575"/>
      <c r="D36" s="2576"/>
      <c r="E36" s="2577"/>
      <c r="F36" s="2578"/>
      <c r="G36" s="1417"/>
      <c r="H36" s="1417"/>
      <c r="I36" s="1417"/>
    </row>
    <row r="37" ht="14.75" spans="1:9">
      <c r="A37" s="2579"/>
      <c r="B37" s="2580" t="s">
        <v>829</v>
      </c>
      <c r="C37" s="2581"/>
      <c r="D37" s="2582"/>
      <c r="E37" s="2582"/>
      <c r="F37" s="2578"/>
      <c r="G37" s="1417"/>
      <c r="H37" s="1417"/>
      <c r="I37" s="1417"/>
    </row>
    <row r="38" ht="14.75" spans="1:9">
      <c r="A38" s="2583"/>
      <c r="B38" s="2584" t="s">
        <v>830</v>
      </c>
      <c r="C38" s="2585"/>
      <c r="D38" s="2586" t="s">
        <v>831</v>
      </c>
      <c r="E38" s="2582"/>
      <c r="F38" s="2578"/>
      <c r="G38" s="1417"/>
      <c r="H38" s="1417"/>
      <c r="I38" s="1417"/>
    </row>
    <row r="39" ht="14" spans="1:9">
      <c r="A39" s="2529" t="s">
        <v>832</v>
      </c>
      <c r="B39" s="2587" t="s">
        <v>812</v>
      </c>
      <c r="C39" s="2588" t="s">
        <v>813</v>
      </c>
      <c r="D39" s="2588" t="s">
        <v>833</v>
      </c>
      <c r="E39" s="2589" t="s">
        <v>814</v>
      </c>
      <c r="F39" s="2578"/>
      <c r="G39" s="1417"/>
      <c r="H39" s="1417"/>
      <c r="I39" s="1417"/>
    </row>
    <row r="40" ht="14" spans="1:9">
      <c r="A40" s="2590" t="s">
        <v>834</v>
      </c>
      <c r="B40" s="2591"/>
      <c r="C40" s="1437"/>
      <c r="D40" s="1437"/>
      <c r="E40" s="2592"/>
      <c r="F40" s="2578"/>
      <c r="G40" s="1417"/>
      <c r="H40" s="1417"/>
      <c r="I40" s="1417"/>
    </row>
    <row r="41" ht="14" spans="1:9">
      <c r="A41" s="2590" t="s">
        <v>835</v>
      </c>
      <c r="B41" s="2591"/>
      <c r="C41" s="1437"/>
      <c r="D41" s="1437"/>
      <c r="E41" s="2592"/>
      <c r="F41" s="2578"/>
      <c r="G41" s="1417"/>
      <c r="H41" s="1417"/>
      <c r="I41" s="1417"/>
    </row>
    <row r="42" ht="14.75" spans="1:9">
      <c r="A42" s="2593"/>
      <c r="B42" s="2594"/>
      <c r="C42" s="2595"/>
      <c r="D42" s="2595"/>
      <c r="E42" s="2572"/>
      <c r="F42" s="2578"/>
      <c r="G42" s="1417"/>
      <c r="H42" s="1417"/>
      <c r="I42" s="1417"/>
    </row>
    <row r="43" ht="14" spans="1:9">
      <c r="A43" s="2596"/>
      <c r="B43" s="2596"/>
      <c r="C43" s="2596"/>
      <c r="D43" s="2596"/>
      <c r="E43" s="2596"/>
      <c r="F43" s="2597"/>
      <c r="G43" s="2597"/>
      <c r="H43" s="2597"/>
      <c r="I43" s="2666"/>
    </row>
    <row r="44" ht="18" spans="1:15">
      <c r="A44" s="2598" t="s">
        <v>836</v>
      </c>
      <c r="B44" s="2599"/>
      <c r="C44" s="2599"/>
      <c r="D44" s="2600"/>
      <c r="E44" s="2600"/>
      <c r="F44" s="2601"/>
      <c r="G44" s="2601"/>
      <c r="H44" s="2601"/>
      <c r="I44" s="2601"/>
      <c r="J44" s="2667" t="s">
        <v>837</v>
      </c>
      <c r="K44" s="2668"/>
      <c r="L44" s="2668"/>
      <c r="M44" s="2668"/>
      <c r="N44" s="2668"/>
      <c r="O44" s="2668"/>
    </row>
    <row r="45" ht="14.25" customHeight="1" spans="1:15">
      <c r="A45" s="2602" t="s">
        <v>838</v>
      </c>
      <c r="B45" s="2603"/>
      <c r="C45" s="2604"/>
      <c r="D45" s="2118">
        <f ca="1">ROUND(H101*F45,0)</f>
        <v>7020</v>
      </c>
      <c r="E45" s="2605" t="s">
        <v>839</v>
      </c>
      <c r="F45" s="2606">
        <v>1</v>
      </c>
      <c r="G45" s="2607" t="s">
        <v>840</v>
      </c>
      <c r="H45" s="1417"/>
      <c r="I45" s="1417"/>
      <c r="J45" s="2669" t="s">
        <v>841</v>
      </c>
      <c r="K45" s="2669"/>
      <c r="L45" s="2669"/>
      <c r="M45" s="2669"/>
      <c r="N45" s="2669"/>
      <c r="O45" s="2669"/>
    </row>
    <row r="46" ht="14.25" customHeight="1" spans="1:15">
      <c r="A46" s="2608" t="s">
        <v>842</v>
      </c>
      <c r="B46" s="2609"/>
      <c r="C46" s="2609"/>
      <c r="D46" s="2609"/>
      <c r="E46" s="2609"/>
      <c r="F46" s="2609"/>
      <c r="G46" s="2610"/>
      <c r="H46" s="2611"/>
      <c r="I46" s="1418"/>
      <c r="J46" s="1034">
        <v>1</v>
      </c>
      <c r="K46" s="2670" t="s">
        <v>843</v>
      </c>
      <c r="L46" s="2670"/>
      <c r="M46" s="2671"/>
      <c r="N46" s="2671"/>
      <c r="O46" s="2671"/>
    </row>
    <row r="47" ht="12" customHeight="1" spans="1:15">
      <c r="A47" s="2612" t="s">
        <v>844</v>
      </c>
      <c r="B47" s="2613"/>
      <c r="C47" s="2614"/>
      <c r="D47" s="2171" t="s">
        <v>845</v>
      </c>
      <c r="E47" s="2119" t="s">
        <v>846</v>
      </c>
      <c r="F47" s="2615" t="s">
        <v>847</v>
      </c>
      <c r="G47" s="2616" t="s">
        <v>848</v>
      </c>
      <c r="H47" s="2617"/>
      <c r="I47" s="1418"/>
      <c r="J47" s="1034">
        <v>2</v>
      </c>
      <c r="K47" s="2670" t="s">
        <v>849</v>
      </c>
      <c r="L47" s="2670"/>
      <c r="M47" s="2672">
        <f>'数据-取费表'!B2</f>
        <v>45538</v>
      </c>
      <c r="N47" s="2672"/>
      <c r="O47" s="2672"/>
    </row>
    <row r="48" ht="39" spans="1:15">
      <c r="A48" s="2618" t="s">
        <v>850</v>
      </c>
      <c r="B48" s="2175"/>
      <c r="C48" s="2175"/>
      <c r="D48" s="2275">
        <f ca="1">IF(H48="情况1",0,IF(H48="情况2",D52,IF(H48="情况3",D53,IF(H48="情况4",D54))))</f>
        <v>374</v>
      </c>
      <c r="E48" s="2175" t="str">
        <f>IF(H48="情况4","(销售额-原购置价)×税（费）率","销售额×税（费）率")</f>
        <v>(销售额-原购置价)×税（费）率</v>
      </c>
      <c r="F48" s="2619">
        <f>IF(H48="情况1","免征",'数据-取费表'!B41)</f>
        <v>0.056</v>
      </c>
      <c r="G48" s="2620" t="s">
        <v>851</v>
      </c>
      <c r="H48" s="2621" t="s">
        <v>852</v>
      </c>
      <c r="I48" s="2611"/>
      <c r="J48" s="1034">
        <v>3</v>
      </c>
      <c r="K48" s="2670" t="s">
        <v>853</v>
      </c>
      <c r="L48" s="2670"/>
      <c r="M48" s="2673">
        <f ca="1">H101</f>
        <v>7020</v>
      </c>
      <c r="N48" s="2673"/>
      <c r="O48" s="2673"/>
    </row>
    <row r="49" ht="25.5" customHeight="1" spans="1:15">
      <c r="A49" s="2618" t="s">
        <v>854</v>
      </c>
      <c r="B49" s="2153" t="s">
        <v>855</v>
      </c>
      <c r="C49" s="2153"/>
      <c r="D49" s="2622">
        <v>0</v>
      </c>
      <c r="E49" s="2181" t="s">
        <v>856</v>
      </c>
      <c r="F49" s="2623" t="s">
        <v>124</v>
      </c>
      <c r="G49" s="2624"/>
      <c r="H49" s="2625" t="s">
        <v>857</v>
      </c>
      <c r="I49" s="2674"/>
      <c r="J49" s="1034">
        <v>4</v>
      </c>
      <c r="K49" s="2670" t="str">
        <f>IF(项目基本情况!E8="房地产抵押价值","房地产抵押价值","抵押担保权已注销时的房地产抵押价值")</f>
        <v>房地产抵押价值</v>
      </c>
      <c r="L49" s="2670"/>
      <c r="M49" s="2673">
        <f ca="1">IF(项目基本情况!E8="房地产抵押价值",H107,H109)</f>
        <v>7020</v>
      </c>
      <c r="N49" s="2673"/>
      <c r="O49" s="2673"/>
    </row>
    <row r="50" ht="25.5" customHeight="1" spans="1:15">
      <c r="A50" s="2626"/>
      <c r="B50" s="2153" t="s">
        <v>858</v>
      </c>
      <c r="C50" s="2153"/>
      <c r="D50" s="2627"/>
      <c r="E50" s="2196"/>
      <c r="F50" s="2623"/>
      <c r="G50" s="2628"/>
      <c r="H50" s="2629" t="s">
        <v>859</v>
      </c>
      <c r="I50" s="2674"/>
      <c r="J50" s="2669" t="s">
        <v>860</v>
      </c>
      <c r="K50" s="2669"/>
      <c r="L50" s="2669"/>
      <c r="M50" s="2669"/>
      <c r="N50" s="2669"/>
      <c r="O50" s="2669"/>
    </row>
    <row r="51" ht="20.45" customHeight="1" spans="1:15">
      <c r="A51" s="2630"/>
      <c r="B51" s="2153" t="s">
        <v>861</v>
      </c>
      <c r="C51" s="2153"/>
      <c r="D51" s="2171"/>
      <c r="E51" s="2185"/>
      <c r="F51" s="2623"/>
      <c r="G51" s="2631"/>
      <c r="H51" s="2629" t="s">
        <v>862</v>
      </c>
      <c r="I51" s="2674"/>
      <c r="J51" s="2670" t="s">
        <v>863</v>
      </c>
      <c r="K51" s="2670" t="s">
        <v>864</v>
      </c>
      <c r="L51" s="2670"/>
      <c r="M51" s="2670" t="s">
        <v>865</v>
      </c>
      <c r="N51" s="2670" t="s">
        <v>866</v>
      </c>
      <c r="O51" s="2670" t="s">
        <v>867</v>
      </c>
    </row>
    <row r="52" ht="24" customHeight="1" spans="1:15">
      <c r="A52" s="2632" t="s">
        <v>868</v>
      </c>
      <c r="B52" s="2153" t="s">
        <v>869</v>
      </c>
      <c r="C52" s="2153"/>
      <c r="D52" s="2171">
        <f ca="1">ROUND(D45*'数据-取费表'!B41/(1+'数据-取费表'!C42),0)</f>
        <v>374</v>
      </c>
      <c r="E52" s="2175" t="s">
        <v>870</v>
      </c>
      <c r="F52" s="2633">
        <f>'数据-取费表'!B41</f>
        <v>0.056</v>
      </c>
      <c r="G52" s="2634"/>
      <c r="H52" s="2290"/>
      <c r="I52" s="2675"/>
      <c r="J52" s="1034">
        <v>1</v>
      </c>
      <c r="K52" s="1034" t="s">
        <v>871</v>
      </c>
      <c r="L52" s="1034"/>
      <c r="M52" s="2676">
        <f ca="1">D48</f>
        <v>374</v>
      </c>
      <c r="N52" s="1034" t="str">
        <f>E48</f>
        <v>(销售额-原购置价)×税（费）率</v>
      </c>
      <c r="O52" s="2677">
        <f>F48</f>
        <v>0.056</v>
      </c>
    </row>
    <row r="53" ht="12" customHeight="1" spans="1:15">
      <c r="A53" s="2632" t="s">
        <v>872</v>
      </c>
      <c r="B53" s="2152" t="s">
        <v>873</v>
      </c>
      <c r="C53" s="2635"/>
      <c r="D53" s="2171">
        <f ca="1">ROUND(D45*'数据-取费表'!B41/(1+'数据-取费表'!C42),0)</f>
        <v>374</v>
      </c>
      <c r="E53" s="2175" t="s">
        <v>870</v>
      </c>
      <c r="F53" s="2633">
        <f>'数据-取费表'!B41</f>
        <v>0.056</v>
      </c>
      <c r="G53" s="2634"/>
      <c r="H53" s="2290"/>
      <c r="I53" s="2675"/>
      <c r="J53" s="1034">
        <v>2</v>
      </c>
      <c r="K53" s="1034" t="s">
        <v>874</v>
      </c>
      <c r="L53" s="1034"/>
      <c r="M53" s="2676">
        <f ca="1" t="shared" ref="M53:O54" si="0">D55</f>
        <v>4</v>
      </c>
      <c r="N53" s="1034" t="str">
        <f t="shared" si="0"/>
        <v>销售额×税（费）率</v>
      </c>
      <c r="O53" s="2677">
        <f t="shared" si="0"/>
        <v>0.0005</v>
      </c>
    </row>
    <row r="54" ht="12" customHeight="1" spans="1:15">
      <c r="A54" s="2632" t="s">
        <v>875</v>
      </c>
      <c r="B54" s="2152" t="s">
        <v>876</v>
      </c>
      <c r="C54" s="2635"/>
      <c r="D54" s="2171">
        <f ca="1">C68</f>
        <v>374</v>
      </c>
      <c r="E54" s="2185" t="s">
        <v>877</v>
      </c>
      <c r="F54" s="2633">
        <f>'数据-取费表'!B41</f>
        <v>0.056</v>
      </c>
      <c r="G54" s="2634"/>
      <c r="H54" s="2636"/>
      <c r="I54" s="2675"/>
      <c r="J54" s="1034">
        <v>3</v>
      </c>
      <c r="K54" s="1034" t="s">
        <v>878</v>
      </c>
      <c r="L54" s="1034"/>
      <c r="M54" s="2676">
        <f ca="1" t="shared" si="0"/>
        <v>2204</v>
      </c>
      <c r="N54" s="1034" t="str">
        <f t="shared" si="0"/>
        <v>增值额×税（费）率</v>
      </c>
      <c r="O54" s="2678" t="str">
        <f t="shared" si="0"/>
        <v>——</v>
      </c>
    </row>
    <row r="55" ht="24" customHeight="1" spans="1:16">
      <c r="A55" s="2632" t="s">
        <v>879</v>
      </c>
      <c r="B55" s="2175"/>
      <c r="C55" s="2175"/>
      <c r="D55" s="2275">
        <f ca="1">IF(H55="个人住宅",0,ROUND(D45*I55,0))</f>
        <v>4</v>
      </c>
      <c r="E55" s="2175" t="s">
        <v>880</v>
      </c>
      <c r="F55" s="2633">
        <f>IF(H55="正常",I55,"免征")</f>
        <v>0.0005</v>
      </c>
      <c r="G55" s="2634"/>
      <c r="H55" s="2621" t="s">
        <v>881</v>
      </c>
      <c r="I55" s="2679">
        <f>'数据-取费表'!B49</f>
        <v>0.0005</v>
      </c>
      <c r="J55" s="1034" t="str">
        <f>IF(H59="非个人房产","",4)</f>
        <v/>
      </c>
      <c r="K55" s="1034" t="str">
        <f>IF(H59="非个人房产","——","个人所得税")</f>
        <v>——</v>
      </c>
      <c r="L55" s="1034"/>
      <c r="M55" s="2680" t="str">
        <f ca="1">D59</f>
        <v>——</v>
      </c>
      <c r="N55" s="1015" t="str">
        <f>E59</f>
        <v>——</v>
      </c>
      <c r="O55" s="2681" t="str">
        <f>F59</f>
        <v>——</v>
      </c>
      <c r="P55" s="1373">
        <f ca="1">M49/1.05*0.05</f>
        <v>334.285714285714</v>
      </c>
    </row>
    <row r="56" ht="26" spans="1:15">
      <c r="A56" s="2632" t="s">
        <v>882</v>
      </c>
      <c r="B56" s="2175"/>
      <c r="C56" s="2175"/>
      <c r="D56" s="2275">
        <f ca="1">IF(H56="个人住宅",D57,D58)</f>
        <v>2204</v>
      </c>
      <c r="E56" s="2175" t="s">
        <v>883</v>
      </c>
      <c r="F56" s="2633" t="str">
        <f>IF(H56="正常",F58,"免征")</f>
        <v>——</v>
      </c>
      <c r="G56" s="2637" t="s">
        <v>884</v>
      </c>
      <c r="H56" s="2638" t="s">
        <v>881</v>
      </c>
      <c r="I56" s="2649"/>
      <c r="J56" s="1034" t="str">
        <f>IF(项目基本情况!K6="上海银行",IF(J55="",4,J55+1),"")</f>
        <v/>
      </c>
      <c r="K56" s="2275" t="str">
        <f>IF(项目基本情况!K6="上海银行","其他处置费用","")</f>
        <v/>
      </c>
      <c r="L56" s="2427"/>
      <c r="M56" s="2676" t="str">
        <f ca="1">IF(项目基本情况!K6="上海银行",M69,"")</f>
        <v/>
      </c>
      <c r="N56" s="2275" t="str">
        <f>IF(项目基本情况!K6="上海银行","包含处置中涉及的律师、诉讼、拍卖、评估等费用","")</f>
        <v/>
      </c>
      <c r="O56" s="2125"/>
    </row>
    <row r="57" ht="14" spans="1:16">
      <c r="A57" s="2632" t="s">
        <v>854</v>
      </c>
      <c r="B57" s="2152" t="s">
        <v>885</v>
      </c>
      <c r="C57" s="2635"/>
      <c r="D57" s="2622">
        <v>0</v>
      </c>
      <c r="E57" s="2181" t="s">
        <v>856</v>
      </c>
      <c r="F57" s="2119"/>
      <c r="G57" s="2634"/>
      <c r="H57" s="2639"/>
      <c r="I57" s="2649"/>
      <c r="J57" s="1034">
        <f>IF(AND(J55="",J56=""),4,IF(项目基本情况!K6="上海银行",结果表!J56+1,结果表!J55+1))</f>
        <v>4</v>
      </c>
      <c r="K57" s="1034" t="s">
        <v>886</v>
      </c>
      <c r="L57" s="2682" t="s">
        <v>887</v>
      </c>
      <c r="M57" s="2683"/>
      <c r="N57" s="2684">
        <f ca="1">SUMIF(M52:M56,"&lt;9e307")</f>
        <v>2582</v>
      </c>
      <c r="O57" s="2685"/>
      <c r="P57" s="2686">
        <f ca="1">M52+M53+P55</f>
        <v>712.285714285714</v>
      </c>
    </row>
    <row r="58" ht="26" spans="1:16">
      <c r="A58" s="2632" t="s">
        <v>868</v>
      </c>
      <c r="B58" s="2152" t="s">
        <v>888</v>
      </c>
      <c r="C58" s="2153"/>
      <c r="D58" s="2275">
        <f ca="1">IF(H58="转让取得",C81,C97)</f>
        <v>2204</v>
      </c>
      <c r="E58" s="2175" t="s">
        <v>883</v>
      </c>
      <c r="F58" s="2119" t="s">
        <v>124</v>
      </c>
      <c r="G58" s="2634"/>
      <c r="H58" s="2638" t="s">
        <v>889</v>
      </c>
      <c r="I58" s="2649"/>
      <c r="J58" s="1034"/>
      <c r="K58" s="1034"/>
      <c r="L58" s="2682" t="s">
        <v>890</v>
      </c>
      <c r="M58" s="2687"/>
      <c r="N58" s="2688" t="str">
        <f ca="1">NUMBERSTRING(INT(N57*10000),2)&amp;"元整"</f>
        <v>贰仟伍佰捌拾贰万元整</v>
      </c>
      <c r="O58" s="2689"/>
      <c r="P58" s="1373">
        <f ca="1">M49-P57</f>
        <v>6307.71428571429</v>
      </c>
    </row>
    <row r="59" ht="26.75" spans="1:15">
      <c r="A59" s="2640" t="s">
        <v>891</v>
      </c>
      <c r="B59" s="2641"/>
      <c r="C59" s="2641"/>
      <c r="D59" s="2642" t="str">
        <f ca="1">IF(H59="非个人房产","——",IF(H59="个人住宅（满五唯一有凭证）",0,IF(H59="个人其他（无凭证）",ROUND(D45*F59,0),ROUND(C67*F59,0))))</f>
        <v>——</v>
      </c>
      <c r="E59" s="2643" t="str">
        <f>IF(H59="非个人房产","——",IF(H59="个人其他（无凭证）","销售额×税（费）率",IF(H59="个人住宅（满五唯一有凭证）","免征","差额计税")))</f>
        <v>——</v>
      </c>
      <c r="F59" s="2644" t="str">
        <f>IF(OR(H59="非个人房产",H59="个人住宅（满五唯一有凭证）"),"——",IF(H59="个人其他（有凭证）",20%,1%))</f>
        <v>——</v>
      </c>
      <c r="G59" s="2645" t="s">
        <v>884</v>
      </c>
      <c r="H59" s="2646" t="s">
        <v>892</v>
      </c>
      <c r="I59" s="2690" t="s">
        <v>893</v>
      </c>
      <c r="J59" s="1015">
        <f>J57+1</f>
        <v>5</v>
      </c>
      <c r="K59" s="1034" t="s">
        <v>894</v>
      </c>
      <c r="L59" s="1034" t="s">
        <v>887</v>
      </c>
      <c r="M59" s="2691"/>
      <c r="N59" s="2692">
        <f ca="1">M49-N57</f>
        <v>4438</v>
      </c>
      <c r="O59" s="2693"/>
    </row>
    <row r="60" ht="12" customHeight="1" spans="1:15">
      <c r="A60" s="2647"/>
      <c r="B60" s="2497"/>
      <c r="C60" s="2497"/>
      <c r="D60" s="2497"/>
      <c r="E60" s="2648"/>
      <c r="F60" s="2649"/>
      <c r="G60" s="2649"/>
      <c r="H60" s="2650"/>
      <c r="I60" s="1417"/>
      <c r="J60" s="1020"/>
      <c r="K60" s="1034"/>
      <c r="L60" s="2682" t="s">
        <v>890</v>
      </c>
      <c r="M60" s="2687"/>
      <c r="N60" s="2688" t="str">
        <f ca="1">NUMBERSTRING(INT(N59*10000),2)&amp;"元整"</f>
        <v>肆仟肆佰叁拾捌万元整</v>
      </c>
      <c r="O60" s="2689"/>
    </row>
    <row r="61" ht="14.75" spans="1:15">
      <c r="A61" s="2651" t="s">
        <v>895</v>
      </c>
      <c r="B61" s="2651"/>
      <c r="C61" s="2651"/>
      <c r="D61" s="2651"/>
      <c r="E61" s="2651"/>
      <c r="F61" s="2649"/>
      <c r="G61" s="2649"/>
      <c r="H61" s="2650"/>
      <c r="I61" s="1417"/>
      <c r="J61" s="1034">
        <f>J59+1</f>
        <v>6</v>
      </c>
      <c r="K61" s="1034" t="s">
        <v>896</v>
      </c>
      <c r="L61" s="1034"/>
      <c r="M61" s="2694"/>
      <c r="N61" s="2695">
        <f ca="1">ROUND(N59*10000/'数据-汇总表'!E3,0)</f>
        <v>14730</v>
      </c>
      <c r="O61" s="2696"/>
    </row>
    <row r="62" ht="14" spans="1:9">
      <c r="A62" s="2652" t="s">
        <v>897</v>
      </c>
      <c r="B62" s="985"/>
      <c r="C62" s="985"/>
      <c r="D62" s="985" t="s">
        <v>898</v>
      </c>
      <c r="E62" s="2653" t="s">
        <v>848</v>
      </c>
      <c r="F62" s="2649"/>
      <c r="G62" s="2649"/>
      <c r="H62" s="2650"/>
      <c r="I62" s="1417"/>
    </row>
    <row r="63" ht="14" spans="1:35">
      <c r="A63" s="2654" t="s">
        <v>899</v>
      </c>
      <c r="B63" s="1045" t="s">
        <v>900</v>
      </c>
      <c r="C63" s="2655">
        <f ca="1">ROUND((C64+C65)/(1+'数据-取费表'!C42),0)</f>
        <v>6686</v>
      </c>
      <c r="D63" s="1045"/>
      <c r="E63" s="2656"/>
      <c r="F63" s="2649"/>
      <c r="G63" s="2649"/>
      <c r="H63" s="2650"/>
      <c r="I63" s="1417"/>
      <c r="J63" s="2697" t="s">
        <v>901</v>
      </c>
      <c r="K63" s="2697" t="s">
        <v>902</v>
      </c>
      <c r="L63" s="2697">
        <f ca="1">IF(M49&gt;10000,M49*0.5%,IF(AND(M49&gt;1000,M49&lt;=10000),M49*1%,IF(AND(M49&gt;100,M49&lt;=1000),M49*3%,IF(AND(M49&gt;10,M49&lt;=100),M49*5%,M49*8%))))</f>
        <v>70.2</v>
      </c>
      <c r="M63" s="2119">
        <f ca="1">ROUND(L63,1)</f>
        <v>70.2</v>
      </c>
      <c r="N63" s="2698"/>
      <c r="Z63" s="2494"/>
      <c r="AI63" s="2495"/>
    </row>
    <row r="64" ht="14.25" customHeight="1" spans="1:35">
      <c r="A64" s="2657" t="s">
        <v>903</v>
      </c>
      <c r="B64" s="968" t="s">
        <v>904</v>
      </c>
      <c r="C64" s="2658">
        <f ca="1">D45</f>
        <v>7020</v>
      </c>
      <c r="D64" s="968" t="s">
        <v>124</v>
      </c>
      <c r="E64" s="2659"/>
      <c r="F64" s="2649"/>
      <c r="G64" s="2649"/>
      <c r="H64" s="2650"/>
      <c r="I64" s="1417"/>
      <c r="J64" s="2697"/>
      <c r="K64" s="2697" t="s">
        <v>905</v>
      </c>
      <c r="L64" s="2697">
        <f ca="1">IF(M49&gt;2000,M49*0.5%,IF(AND(M49&gt;1000,M49&lt;=2000),M49*0.6%,IF(AND(M49&gt;500,M49&lt;=1000),M49*0.7%,IF(AND(M49&gt;200,M49&lt;=500),M49*0.8%,IF(AND(M49&gt;100,M49&lt;=200),M49*0.9%,IF(AND(M49&gt;50,M49&lt;=100),M49*1%,IF(AND(M49&gt;20,M49&lt;=50),M49*1.5%,IF(AND(M49&gt;10,M49&lt;=20),M49*2%,IF(AND(M49&gt;1,M49&lt;=10),M49*2.5%)))))))))</f>
        <v>35.1</v>
      </c>
      <c r="M64" s="2119">
        <f ca="1" t="shared" ref="M64:M65" si="1">ROUND(L64,1)</f>
        <v>35.1</v>
      </c>
      <c r="N64" s="2290" t="s">
        <v>906</v>
      </c>
      <c r="Z64" s="2494"/>
      <c r="AI64" s="2495"/>
    </row>
    <row r="65" ht="14.25" customHeight="1" spans="1:35">
      <c r="A65" s="2657" t="s">
        <v>907</v>
      </c>
      <c r="B65" s="968" t="s">
        <v>908</v>
      </c>
      <c r="C65" s="2700"/>
      <c r="D65" s="968"/>
      <c r="E65" s="2659"/>
      <c r="F65" s="2649"/>
      <c r="G65" s="2649"/>
      <c r="H65" s="2650"/>
      <c r="I65" s="1417"/>
      <c r="J65" s="2697"/>
      <c r="K65" s="2697" t="s">
        <v>909</v>
      </c>
      <c r="L65" s="2697">
        <f ca="1">IF(M49&gt;1000,M49*0.1%,IF(AND(M49&gt;500,M49&lt;=1000),M49*0.5%,IF(AND(M49&gt;50,M49&lt;=500),M49*1%,IF(AND(M49&gt;1,M49&lt;=50),M49*1.5%))))</f>
        <v>7.02</v>
      </c>
      <c r="M65" s="2119">
        <f ca="1" t="shared" si="1"/>
        <v>7</v>
      </c>
      <c r="N65" s="2290" t="s">
        <v>906</v>
      </c>
      <c r="Z65" s="2494"/>
      <c r="AI65" s="2495"/>
    </row>
    <row r="66" ht="14.25" customHeight="1" spans="1:35">
      <c r="A66" s="2654" t="s">
        <v>910</v>
      </c>
      <c r="B66" s="2701" t="s">
        <v>911</v>
      </c>
      <c r="C66" s="2702"/>
      <c r="D66" s="2701" t="s">
        <v>124</v>
      </c>
      <c r="E66" s="2703" t="s">
        <v>912</v>
      </c>
      <c r="F66" s="2649"/>
      <c r="G66" s="2649"/>
      <c r="H66" s="2650"/>
      <c r="I66" s="1417"/>
      <c r="J66" s="2697"/>
      <c r="K66" s="2697" t="s">
        <v>913</v>
      </c>
      <c r="L66" s="2697">
        <f ca="1">M49*0.5%</f>
        <v>35.1</v>
      </c>
      <c r="M66" s="2119">
        <f ca="1">IF(L66&gt;0.5,0.5,ROUND(L66,0))</f>
        <v>0.5</v>
      </c>
      <c r="N66" s="2290" t="s">
        <v>914</v>
      </c>
      <c r="Z66" s="2494"/>
      <c r="AI66" s="2495"/>
    </row>
    <row r="67" ht="14.25" customHeight="1" spans="1:35">
      <c r="A67" s="2654" t="s">
        <v>915</v>
      </c>
      <c r="B67" s="2701" t="s">
        <v>916</v>
      </c>
      <c r="C67" s="2704">
        <f ca="1">C63-C66</f>
        <v>6686</v>
      </c>
      <c r="D67" s="968" t="s">
        <v>124</v>
      </c>
      <c r="E67" s="2659"/>
      <c r="F67" s="2649"/>
      <c r="G67" s="2649"/>
      <c r="H67" s="2650"/>
      <c r="I67" s="1417"/>
      <c r="J67" s="2697"/>
      <c r="K67" s="2697" t="s">
        <v>917</v>
      </c>
      <c r="L67" s="2697">
        <f ca="1">IF(M49&gt;=10000,(8.25+(M49-10000)*0.01%),IF(AND(M49&gt;=8000,M49&lt;10000),(7.85+(M49-8000)*0.02%),IF(AND(M49&gt;=5000,M49&lt;8000),(6.65+(M49-5000)*0.04%),IF(AND(M49&gt;=2000,M49&lt;5000),(4.25+(PM49-2000)*0.08%),IF(AND(M49&gt;=1000,M49&lt;2000),(2.75+(M49-1000)*0.15%),IF(AND(M49&gt;=100,M49&lt;1000),(0.5+(M49-100)*0.25%),IF(AND(M49&gt;0,M49&lt;100),M49*0.5%)))))))</f>
        <v>7.458</v>
      </c>
      <c r="M67" s="2119">
        <f ca="1">ROUND(L67*0.9,1)</f>
        <v>6.7</v>
      </c>
      <c r="N67" s="2698"/>
      <c r="Z67" s="2494"/>
      <c r="AI67" s="2495"/>
    </row>
    <row r="68" ht="14.25" customHeight="1" spans="1:35">
      <c r="A68" s="2705" t="s">
        <v>918</v>
      </c>
      <c r="B68" s="2706" t="s">
        <v>919</v>
      </c>
      <c r="C68" s="2707">
        <f ca="1">IF(C67&lt;=0,0,ROUND(C67*D68,0))</f>
        <v>374</v>
      </c>
      <c r="D68" s="1240">
        <f>'数据-取费表'!B41</f>
        <v>0.056</v>
      </c>
      <c r="E68" s="2708"/>
      <c r="F68" s="2649"/>
      <c r="G68" s="2649"/>
      <c r="H68" s="2650"/>
      <c r="I68" s="1417"/>
      <c r="J68" s="2697"/>
      <c r="K68" s="2697" t="s">
        <v>920</v>
      </c>
      <c r="L68" s="2697">
        <f ca="1">IF(M49&gt;10000,M49*0.5%,IF(AND(M49&gt;5000,M49&lt;=10000),M49*1%,IF(AND(M49&gt;1000,M49&lt;=5000),M49*2%,IF(AND(M49&gt;200,M49&lt;=1000),M49*3%,M49*5%))))</f>
        <v>70.2</v>
      </c>
      <c r="M68" s="2119">
        <f ca="1">ROUND(L68,1)</f>
        <v>70.2</v>
      </c>
      <c r="N68" s="2698"/>
      <c r="Z68" s="2494"/>
      <c r="AI68" s="2495"/>
    </row>
    <row r="69" s="2492" customFormat="1" ht="16.5" customHeight="1" spans="1:34">
      <c r="A69" s="2709"/>
      <c r="B69" s="2710"/>
      <c r="C69" s="2711"/>
      <c r="D69" s="1156"/>
      <c r="E69" s="2712"/>
      <c r="F69" s="2648"/>
      <c r="G69" s="2648"/>
      <c r="H69" s="2596"/>
      <c r="I69" s="2497"/>
      <c r="J69" s="2697"/>
      <c r="K69" s="2697" t="s">
        <v>921</v>
      </c>
      <c r="L69" s="2697"/>
      <c r="M69" s="2119">
        <f ca="1">ROUND(SUM(M63:M68),0)</f>
        <v>190</v>
      </c>
      <c r="N69" s="2810">
        <f ca="1">M69/M49</f>
        <v>0.0270655270655271</v>
      </c>
      <c r="O69" s="1373"/>
      <c r="P69" s="1373"/>
      <c r="Q69" s="1373"/>
      <c r="R69" s="1373"/>
      <c r="S69" s="1373"/>
      <c r="T69" s="1373"/>
      <c r="U69" s="1373"/>
      <c r="V69" s="1373"/>
      <c r="W69" s="1373"/>
      <c r="X69" s="1373"/>
      <c r="Y69" s="1373"/>
      <c r="Z69" s="2494"/>
      <c r="AA69" s="2494"/>
      <c r="AB69" s="2494"/>
      <c r="AC69" s="2494"/>
      <c r="AD69" s="2494"/>
      <c r="AE69" s="2494"/>
      <c r="AF69" s="2494"/>
      <c r="AG69" s="2494"/>
      <c r="AH69" s="2494"/>
    </row>
    <row r="70" s="2493" customFormat="1" ht="14.75" spans="1:35">
      <c r="A70" s="2713" t="s">
        <v>922</v>
      </c>
      <c r="B70" s="2714"/>
      <c r="C70" s="2714"/>
      <c r="D70" s="2714"/>
      <c r="E70" s="2714"/>
      <c r="F70" s="2714"/>
      <c r="G70" s="2714"/>
      <c r="H70" s="2714"/>
      <c r="I70" s="2811"/>
      <c r="J70" s="2812"/>
      <c r="K70" s="2812"/>
      <c r="L70" s="2812"/>
      <c r="M70" s="2812"/>
      <c r="N70" s="2813"/>
      <c r="O70" s="2813"/>
      <c r="P70" s="2813"/>
      <c r="Q70" s="2813"/>
      <c r="R70" s="2813"/>
      <c r="S70" s="2813"/>
      <c r="T70" s="2813"/>
      <c r="U70" s="2813"/>
      <c r="V70" s="2813"/>
      <c r="W70" s="2813"/>
      <c r="X70" s="2813"/>
      <c r="Y70" s="2813"/>
      <c r="Z70" s="2813"/>
      <c r="AA70" s="2820"/>
      <c r="AB70" s="2820"/>
      <c r="AC70" s="2820"/>
      <c r="AD70" s="2820"/>
      <c r="AE70" s="2820"/>
      <c r="AF70" s="2820"/>
      <c r="AG70" s="2820"/>
      <c r="AH70" s="2820"/>
      <c r="AI70" s="2820"/>
    </row>
    <row r="71" s="2493" customFormat="1" ht="14" spans="1:35">
      <c r="A71" s="2652" t="s">
        <v>897</v>
      </c>
      <c r="B71" s="985"/>
      <c r="C71" s="985"/>
      <c r="D71" s="985" t="s">
        <v>898</v>
      </c>
      <c r="E71" s="2715" t="s">
        <v>848</v>
      </c>
      <c r="F71" s="2716"/>
      <c r="G71" s="2716"/>
      <c r="H71" s="2717"/>
      <c r="I71" s="2814"/>
      <c r="J71" s="2812"/>
      <c r="K71" s="2812"/>
      <c r="L71" s="2812"/>
      <c r="M71" s="2812"/>
      <c r="N71" s="2813"/>
      <c r="O71" s="2813"/>
      <c r="P71" s="2813"/>
      <c r="Q71" s="2813"/>
      <c r="R71" s="2813"/>
      <c r="S71" s="2813"/>
      <c r="T71" s="2813"/>
      <c r="U71" s="2813"/>
      <c r="V71" s="2813"/>
      <c r="W71" s="2813"/>
      <c r="X71" s="2813"/>
      <c r="Y71" s="2813"/>
      <c r="Z71" s="2813"/>
      <c r="AA71" s="2820"/>
      <c r="AB71" s="2820"/>
      <c r="AC71" s="2820"/>
      <c r="AD71" s="2820"/>
      <c r="AE71" s="2820"/>
      <c r="AF71" s="2820"/>
      <c r="AG71" s="2820"/>
      <c r="AH71" s="2820"/>
      <c r="AI71" s="2820"/>
    </row>
    <row r="72" s="2493" customFormat="1" ht="14" spans="1:35">
      <c r="A72" s="2654" t="s">
        <v>899</v>
      </c>
      <c r="B72" s="2701" t="s">
        <v>923</v>
      </c>
      <c r="C72" s="2704">
        <f ca="1">ROUND(D45/(1+'数据-取费表'!C42),0)</f>
        <v>6686</v>
      </c>
      <c r="D72" s="968" t="s">
        <v>124</v>
      </c>
      <c r="E72" s="2152"/>
      <c r="F72" s="2153"/>
      <c r="G72" s="2153"/>
      <c r="H72" s="2718"/>
      <c r="I72" s="2814"/>
      <c r="J72" s="2812"/>
      <c r="K72" s="2812"/>
      <c r="L72" s="2812"/>
      <c r="M72" s="2812"/>
      <c r="N72" s="2813"/>
      <c r="O72" s="2813"/>
      <c r="P72" s="2813"/>
      <c r="Q72" s="2813"/>
      <c r="R72" s="2813"/>
      <c r="S72" s="2813"/>
      <c r="T72" s="2813"/>
      <c r="U72" s="2813"/>
      <c r="V72" s="2813"/>
      <c r="W72" s="2813"/>
      <c r="X72" s="2813"/>
      <c r="Y72" s="2813"/>
      <c r="Z72" s="2813"/>
      <c r="AA72" s="2820"/>
      <c r="AB72" s="2820"/>
      <c r="AC72" s="2820"/>
      <c r="AD72" s="2820"/>
      <c r="AE72" s="2820"/>
      <c r="AF72" s="2820"/>
      <c r="AG72" s="2820"/>
      <c r="AH72" s="2820"/>
      <c r="AI72" s="2820"/>
    </row>
    <row r="73" s="2493" customFormat="1" ht="14" spans="1:35">
      <c r="A73" s="2654" t="s">
        <v>910</v>
      </c>
      <c r="B73" s="2615" t="s">
        <v>924</v>
      </c>
      <c r="C73" s="2704">
        <f ca="1">C74+C78</f>
        <v>1903</v>
      </c>
      <c r="D73" s="968" t="s">
        <v>124</v>
      </c>
      <c r="E73" s="2152"/>
      <c r="F73" s="2153"/>
      <c r="G73" s="2153"/>
      <c r="H73" s="2718"/>
      <c r="I73" s="2814"/>
      <c r="J73" s="2813"/>
      <c r="K73" s="2813"/>
      <c r="L73" s="2813"/>
      <c r="M73" s="2813"/>
      <c r="N73" s="2813"/>
      <c r="O73" s="2813"/>
      <c r="P73" s="2813"/>
      <c r="Q73" s="2813"/>
      <c r="R73" s="2813"/>
      <c r="S73" s="2813"/>
      <c r="T73" s="2813"/>
      <c r="U73" s="2813"/>
      <c r="V73" s="2813"/>
      <c r="W73" s="2813"/>
      <c r="X73" s="2813"/>
      <c r="Y73" s="2813"/>
      <c r="Z73" s="2813"/>
      <c r="AA73" s="2820"/>
      <c r="AB73" s="2820"/>
      <c r="AC73" s="2820"/>
      <c r="AD73" s="2820"/>
      <c r="AE73" s="2820"/>
      <c r="AF73" s="2820"/>
      <c r="AG73" s="2820"/>
      <c r="AH73" s="2820"/>
      <c r="AI73" s="2820"/>
    </row>
    <row r="74" s="2493" customFormat="1" ht="26" spans="1:35">
      <c r="A74" s="2657" t="s">
        <v>903</v>
      </c>
      <c r="B74" s="968" t="s">
        <v>925</v>
      </c>
      <c r="C74" s="968">
        <f>ROUND(IF(G77="2016年5月1日后购买",C75/(1+'数据-取费表'!C42)+C76+C77,C75+C76+C77),0)</f>
        <v>1863</v>
      </c>
      <c r="D74" s="968" t="s">
        <v>124</v>
      </c>
      <c r="E74" s="2152"/>
      <c r="F74" s="2153"/>
      <c r="G74" s="2153"/>
      <c r="H74" s="2718"/>
      <c r="I74" s="2814"/>
      <c r="J74" s="2813"/>
      <c r="K74" s="2813"/>
      <c r="L74" s="2813"/>
      <c r="M74" s="2813"/>
      <c r="N74" s="2813"/>
      <c r="O74" s="2813"/>
      <c r="P74" s="2813"/>
      <c r="Q74" s="2813"/>
      <c r="R74" s="2813"/>
      <c r="S74" s="2813"/>
      <c r="T74" s="2813"/>
      <c r="U74" s="2813"/>
      <c r="V74" s="2813"/>
      <c r="W74" s="2813"/>
      <c r="X74" s="2813"/>
      <c r="Y74" s="2813"/>
      <c r="Z74" s="2813"/>
      <c r="AA74" s="2820"/>
      <c r="AB74" s="2820"/>
      <c r="AC74" s="2820"/>
      <c r="AD74" s="2820"/>
      <c r="AE74" s="2820"/>
      <c r="AF74" s="2820"/>
      <c r="AG74" s="2820"/>
      <c r="AH74" s="2820"/>
      <c r="AI74" s="2820"/>
    </row>
    <row r="75" s="2493" customFormat="1" ht="28" spans="1:35">
      <c r="A75" s="2657" t="s">
        <v>926</v>
      </c>
      <c r="B75" s="968" t="s">
        <v>927</v>
      </c>
      <c r="C75" s="2719">
        <f>ROUND(6000*'数据-汇总表'!E27/10000,4)</f>
        <v>1807.8</v>
      </c>
      <c r="D75" s="968" t="s">
        <v>124</v>
      </c>
      <c r="E75" s="2720" t="s">
        <v>928</v>
      </c>
      <c r="F75" s="2721" t="s">
        <v>929</v>
      </c>
      <c r="G75" s="2720" t="s">
        <v>930</v>
      </c>
      <c r="H75" s="2722"/>
      <c r="I75" s="1259"/>
      <c r="J75" s="2813"/>
      <c r="K75" s="2813"/>
      <c r="L75" s="2813"/>
      <c r="M75" s="2813"/>
      <c r="N75" s="2813"/>
      <c r="O75" s="2813"/>
      <c r="P75" s="2813"/>
      <c r="Q75" s="2813"/>
      <c r="R75" s="2813"/>
      <c r="S75" s="2813"/>
      <c r="T75" s="2813"/>
      <c r="U75" s="2813"/>
      <c r="V75" s="2813"/>
      <c r="W75" s="2813"/>
      <c r="X75" s="2813"/>
      <c r="Y75" s="2813"/>
      <c r="Z75" s="2813"/>
      <c r="AA75" s="2820"/>
      <c r="AB75" s="2820"/>
      <c r="AC75" s="2820"/>
      <c r="AD75" s="2820"/>
      <c r="AE75" s="2820"/>
      <c r="AF75" s="2820"/>
      <c r="AG75" s="2820"/>
      <c r="AH75" s="2820"/>
      <c r="AI75" s="2820"/>
    </row>
    <row r="76" s="2493" customFormat="1" ht="24.75" customHeight="1" spans="1:35">
      <c r="A76" s="2657" t="s">
        <v>931</v>
      </c>
      <c r="B76" s="2723" t="s">
        <v>932</v>
      </c>
      <c r="C76" s="968">
        <f>IF(F75="购房发票",ROUND(C75*H75*D76,0),0)</f>
        <v>0</v>
      </c>
      <c r="D76" s="2724">
        <v>0.05</v>
      </c>
      <c r="E76" s="2152" t="s">
        <v>933</v>
      </c>
      <c r="F76" s="2153"/>
      <c r="G76" s="2153"/>
      <c r="H76" s="2725"/>
      <c r="I76" s="2814"/>
      <c r="J76" s="2813"/>
      <c r="K76" s="2813"/>
      <c r="L76" s="2813"/>
      <c r="M76" s="2813"/>
      <c r="N76" s="2813"/>
      <c r="O76" s="2813"/>
      <c r="P76" s="2813"/>
      <c r="Q76" s="2813"/>
      <c r="R76" s="2813"/>
      <c r="S76" s="2813"/>
      <c r="T76" s="2813"/>
      <c r="U76" s="2813"/>
      <c r="V76" s="2813"/>
      <c r="W76" s="2813"/>
      <c r="X76" s="2813"/>
      <c r="Y76" s="2813"/>
      <c r="Z76" s="2813"/>
      <c r="AA76" s="2820"/>
      <c r="AB76" s="2820"/>
      <c r="AC76" s="2820"/>
      <c r="AD76" s="2820"/>
      <c r="AE76" s="2820"/>
      <c r="AF76" s="2820"/>
      <c r="AG76" s="2820"/>
      <c r="AH76" s="2820"/>
      <c r="AI76" s="2820"/>
    </row>
    <row r="77" s="2493" customFormat="1" ht="24.75" customHeight="1" spans="1:35">
      <c r="A77" s="2657" t="s">
        <v>934</v>
      </c>
      <c r="B77" s="968" t="s">
        <v>935</v>
      </c>
      <c r="C77" s="968">
        <f>ROUND(IF(G77="个人住宅",0,IF(G77="2016年5月1日前购买",C75*D77,C75*D77/(1+'数据-取费表'!C42))),0)</f>
        <v>55</v>
      </c>
      <c r="D77" s="2726">
        <f>'数据-取费表'!B48+'数据-取费表'!B49</f>
        <v>0.0305</v>
      </c>
      <c r="E77" s="2275" t="s">
        <v>936</v>
      </c>
      <c r="F77" s="2727"/>
      <c r="G77" s="2728" t="s">
        <v>937</v>
      </c>
      <c r="H77" s="2725" t="str">
        <f>IF(G77="个人买卖住房","免征印花税"," ")</f>
        <v> </v>
      </c>
      <c r="I77" s="2814"/>
      <c r="J77" s="2813"/>
      <c r="K77" s="2813"/>
      <c r="L77" s="2813"/>
      <c r="M77" s="2813"/>
      <c r="N77" s="2813"/>
      <c r="O77" s="2813"/>
      <c r="P77" s="2813"/>
      <c r="Q77" s="2813"/>
      <c r="R77" s="2813"/>
      <c r="S77" s="2813"/>
      <c r="T77" s="2813"/>
      <c r="U77" s="2813"/>
      <c r="V77" s="2813"/>
      <c r="W77" s="2813"/>
      <c r="X77" s="2813"/>
      <c r="Y77" s="2813"/>
      <c r="Z77" s="2813"/>
      <c r="AA77" s="2820"/>
      <c r="AB77" s="2820"/>
      <c r="AC77" s="2820"/>
      <c r="AD77" s="2820"/>
      <c r="AE77" s="2820"/>
      <c r="AF77" s="2820"/>
      <c r="AG77" s="2820"/>
      <c r="AH77" s="2820"/>
      <c r="AI77" s="2820"/>
    </row>
    <row r="78" s="2493" customFormat="1" ht="24.75" customHeight="1" spans="1:35">
      <c r="A78" s="2657" t="s">
        <v>907</v>
      </c>
      <c r="B78" s="968" t="s">
        <v>938</v>
      </c>
      <c r="C78" s="2729">
        <f ca="1">ROUND(D45*D78/(1+'数据-取费表'!C42),0)</f>
        <v>40</v>
      </c>
      <c r="D78" s="2730">
        <f>'数据-取费表'!B43</f>
        <v>0.006</v>
      </c>
      <c r="E78" s="2731" t="s">
        <v>939</v>
      </c>
      <c r="F78" s="2732"/>
      <c r="G78" s="2732"/>
      <c r="H78" s="2733"/>
      <c r="I78" s="2815"/>
      <c r="J78" s="2813"/>
      <c r="K78" s="2813"/>
      <c r="L78" s="2813"/>
      <c r="M78" s="2813"/>
      <c r="N78" s="2813"/>
      <c r="O78" s="2813"/>
      <c r="P78" s="2813"/>
      <c r="Q78" s="2813"/>
      <c r="R78" s="2813"/>
      <c r="S78" s="2813"/>
      <c r="T78" s="2813"/>
      <c r="U78" s="2813"/>
      <c r="V78" s="2813"/>
      <c r="W78" s="2813"/>
      <c r="X78" s="2813"/>
      <c r="Y78" s="2813"/>
      <c r="Z78" s="2813"/>
      <c r="AA78" s="2820"/>
      <c r="AB78" s="2820"/>
      <c r="AC78" s="2820"/>
      <c r="AD78" s="2820"/>
      <c r="AE78" s="2820"/>
      <c r="AF78" s="2820"/>
      <c r="AG78" s="2820"/>
      <c r="AH78" s="2820"/>
      <c r="AI78" s="2820"/>
    </row>
    <row r="79" s="2493" customFormat="1" ht="14" spans="1:35">
      <c r="A79" s="2654" t="s">
        <v>915</v>
      </c>
      <c r="B79" s="2701" t="s">
        <v>940</v>
      </c>
      <c r="C79" s="2704">
        <f ca="1">C72-C73</f>
        <v>4783</v>
      </c>
      <c r="D79" s="968" t="s">
        <v>124</v>
      </c>
      <c r="E79" s="2152"/>
      <c r="F79" s="2153"/>
      <c r="G79" s="2153"/>
      <c r="H79" s="2718"/>
      <c r="I79" s="2814"/>
      <c r="J79" s="2813"/>
      <c r="K79" s="2813"/>
      <c r="L79" s="2813"/>
      <c r="M79" s="2813"/>
      <c r="N79" s="2813"/>
      <c r="O79" s="2813"/>
      <c r="P79" s="2813"/>
      <c r="Q79" s="2813"/>
      <c r="R79" s="2813"/>
      <c r="S79" s="2813"/>
      <c r="T79" s="2813"/>
      <c r="U79" s="2813"/>
      <c r="V79" s="2813"/>
      <c r="W79" s="2813"/>
      <c r="X79" s="2813"/>
      <c r="Y79" s="2813"/>
      <c r="Z79" s="2813"/>
      <c r="AA79" s="2820"/>
      <c r="AB79" s="2820"/>
      <c r="AC79" s="2820"/>
      <c r="AD79" s="2820"/>
      <c r="AE79" s="2820"/>
      <c r="AF79" s="2820"/>
      <c r="AG79" s="2820"/>
      <c r="AH79" s="2820"/>
      <c r="AI79" s="2820"/>
    </row>
    <row r="80" s="2493" customFormat="1" ht="26" spans="1:35">
      <c r="A80" s="2654" t="s">
        <v>918</v>
      </c>
      <c r="B80" s="2701" t="s">
        <v>941</v>
      </c>
      <c r="C80" s="2734">
        <f ca="1">IF(C79&lt;=0,0,C79/C73)</f>
        <v>2.51339989490278</v>
      </c>
      <c r="D80" s="968" t="s">
        <v>124</v>
      </c>
      <c r="E80" s="2275" t="str">
        <f ca="1">IF(C80&gt;=200%,"增值额超过扣除项目金额200%",IF(C80&gt;=100%,"增值额超过扣除项目金额100%，未超过200%",IF(C80&gt;=50%,"增值额超过扣除项目金额50%，未超过100%",IF(C80&lt;50%,"增值额未超过扣除项目金额50%"))))</f>
        <v>增值额超过扣除项目金额200%</v>
      </c>
      <c r="F80" s="2153"/>
      <c r="G80" s="2153"/>
      <c r="H80" s="2718"/>
      <c r="I80" s="2814"/>
      <c r="J80" s="2813"/>
      <c r="K80" s="2813"/>
      <c r="L80" s="2813"/>
      <c r="M80" s="2813"/>
      <c r="N80" s="2813"/>
      <c r="O80" s="2813"/>
      <c r="P80" s="2813"/>
      <c r="Q80" s="2813"/>
      <c r="R80" s="2813"/>
      <c r="S80" s="2813"/>
      <c r="T80" s="2813"/>
      <c r="U80" s="2813"/>
      <c r="V80" s="2813"/>
      <c r="W80" s="2813"/>
      <c r="X80" s="2813"/>
      <c r="Y80" s="2813"/>
      <c r="Z80" s="2813"/>
      <c r="AA80" s="2820"/>
      <c r="AB80" s="2820"/>
      <c r="AC80" s="2820"/>
      <c r="AD80" s="2820"/>
      <c r="AE80" s="2820"/>
      <c r="AF80" s="2820"/>
      <c r="AG80" s="2820"/>
      <c r="AH80" s="2820"/>
      <c r="AI80" s="2820"/>
    </row>
    <row r="81" s="2493" customFormat="1" ht="26.75" spans="1:35">
      <c r="A81" s="2705" t="s">
        <v>942</v>
      </c>
      <c r="B81" s="2706" t="s">
        <v>943</v>
      </c>
      <c r="C81" s="2735">
        <f ca="1">ROUND(IF(C79&lt;=0,0,IF(C80&gt;=200%,C79*60%-C73*35%,IF(C80&gt;=100%,C79*50%-C73*15%,IF(C80&gt;=50%,C79*40%-C73*5%,IF(C80&lt;50%,C79*30%,0))))),0)</f>
        <v>2204</v>
      </c>
      <c r="D81" s="2736" t="s">
        <v>124</v>
      </c>
      <c r="E81" s="273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8"/>
      <c r="G81" s="2738"/>
      <c r="H81" s="2739"/>
      <c r="I81" s="2814"/>
      <c r="J81" s="2813"/>
      <c r="K81" s="2813"/>
      <c r="L81" s="2813"/>
      <c r="M81" s="2813"/>
      <c r="N81" s="2813"/>
      <c r="O81" s="2813"/>
      <c r="P81" s="2813"/>
      <c r="Q81" s="2813"/>
      <c r="R81" s="2813"/>
      <c r="S81" s="2813"/>
      <c r="T81" s="2813"/>
      <c r="U81" s="2813"/>
      <c r="V81" s="2813"/>
      <c r="W81" s="2813"/>
      <c r="X81" s="2813"/>
      <c r="Y81" s="2813"/>
      <c r="Z81" s="2813"/>
      <c r="AA81" s="2820"/>
      <c r="AB81" s="2820"/>
      <c r="AC81" s="2820"/>
      <c r="AD81" s="2820"/>
      <c r="AE81" s="2820"/>
      <c r="AF81" s="2820"/>
      <c r="AG81" s="2820"/>
      <c r="AH81" s="2820"/>
      <c r="AI81" s="2820"/>
    </row>
    <row r="82" s="2493" customFormat="1" ht="7.5" customHeight="1" spans="1:35">
      <c r="A82" s="2740"/>
      <c r="B82" s="2741"/>
      <c r="C82" s="1140"/>
      <c r="D82" s="1140"/>
      <c r="E82" s="2741"/>
      <c r="F82" s="2741"/>
      <c r="G82" s="2741"/>
      <c r="H82" s="2742"/>
      <c r="I82" s="2815"/>
      <c r="J82" s="2813"/>
      <c r="K82" s="2813"/>
      <c r="L82" s="2813"/>
      <c r="M82" s="2813"/>
      <c r="N82" s="2813"/>
      <c r="O82" s="2813"/>
      <c r="P82" s="2813"/>
      <c r="Q82" s="2813"/>
      <c r="R82" s="2813"/>
      <c r="S82" s="2813"/>
      <c r="T82" s="2813"/>
      <c r="U82" s="2813"/>
      <c r="V82" s="2813"/>
      <c r="W82" s="2813"/>
      <c r="X82" s="2813"/>
      <c r="Y82" s="2813"/>
      <c r="Z82" s="2813"/>
      <c r="AA82" s="2820"/>
      <c r="AB82" s="2820"/>
      <c r="AC82" s="2820"/>
      <c r="AD82" s="2820"/>
      <c r="AE82" s="2820"/>
      <c r="AF82" s="2820"/>
      <c r="AG82" s="2820"/>
      <c r="AH82" s="2820"/>
      <c r="AI82" s="2820"/>
    </row>
    <row r="83" s="2493" customFormat="1" ht="14.75" spans="1:35">
      <c r="A83" s="2713" t="s">
        <v>944</v>
      </c>
      <c r="B83" s="2714"/>
      <c r="C83" s="2714"/>
      <c r="D83" s="2714"/>
      <c r="E83" s="2714"/>
      <c r="F83" s="2714"/>
      <c r="G83" s="2714"/>
      <c r="H83" s="2714"/>
      <c r="I83" s="1259"/>
      <c r="J83" s="2813"/>
      <c r="K83" s="2813"/>
      <c r="L83" s="2813"/>
      <c r="M83" s="2813"/>
      <c r="N83" s="2813"/>
      <c r="O83" s="2813"/>
      <c r="P83" s="2813"/>
      <c r="Q83" s="2813"/>
      <c r="R83" s="2813"/>
      <c r="S83" s="2813"/>
      <c r="T83" s="2813"/>
      <c r="U83" s="2813"/>
      <c r="V83" s="2813"/>
      <c r="W83" s="2813"/>
      <c r="X83" s="2813"/>
      <c r="Y83" s="2813"/>
      <c r="Z83" s="2813"/>
      <c r="AA83" s="2820"/>
      <c r="AB83" s="2820"/>
      <c r="AC83" s="2820"/>
      <c r="AD83" s="2820"/>
      <c r="AE83" s="2820"/>
      <c r="AF83" s="2820"/>
      <c r="AG83" s="2820"/>
      <c r="AH83" s="2820"/>
      <c r="AI83" s="2820"/>
    </row>
    <row r="84" s="2493" customFormat="1" ht="14" spans="1:35">
      <c r="A84" s="2652" t="s">
        <v>897</v>
      </c>
      <c r="B84" s="985"/>
      <c r="C84" s="985"/>
      <c r="D84" s="985" t="s">
        <v>898</v>
      </c>
      <c r="E84" s="2715" t="s">
        <v>848</v>
      </c>
      <c r="F84" s="2716"/>
      <c r="G84" s="2716"/>
      <c r="H84" s="2743"/>
      <c r="I84" s="1259"/>
      <c r="J84" s="2813"/>
      <c r="K84" s="2813"/>
      <c r="L84" s="2813"/>
      <c r="M84" s="2813"/>
      <c r="N84" s="2813"/>
      <c r="O84" s="2813"/>
      <c r="P84" s="2813"/>
      <c r="Q84" s="2813"/>
      <c r="R84" s="2813"/>
      <c r="S84" s="2813"/>
      <c r="T84" s="2813"/>
      <c r="U84" s="2813"/>
      <c r="V84" s="2813"/>
      <c r="W84" s="2813"/>
      <c r="X84" s="2813"/>
      <c r="Y84" s="2813"/>
      <c r="Z84" s="2813"/>
      <c r="AA84" s="2820"/>
      <c r="AB84" s="2820"/>
      <c r="AC84" s="2820"/>
      <c r="AD84" s="2820"/>
      <c r="AE84" s="2820"/>
      <c r="AF84" s="2820"/>
      <c r="AG84" s="2820"/>
      <c r="AH84" s="2820"/>
      <c r="AI84" s="2820"/>
    </row>
    <row r="85" s="2493" customFormat="1" ht="14" spans="1:35">
      <c r="A85" s="2654" t="s">
        <v>899</v>
      </c>
      <c r="B85" s="2701" t="s">
        <v>923</v>
      </c>
      <c r="C85" s="2704">
        <f ca="1">ROUND(D45/(1+'数据-取费表'!C42),0)</f>
        <v>6686</v>
      </c>
      <c r="D85" s="968" t="s">
        <v>124</v>
      </c>
      <c r="E85" s="2152"/>
      <c r="F85" s="2153"/>
      <c r="G85" s="2153"/>
      <c r="H85" s="2744"/>
      <c r="I85" s="1259"/>
      <c r="J85" s="2813"/>
      <c r="K85" s="2813"/>
      <c r="L85" s="2813"/>
      <c r="M85" s="2813"/>
      <c r="N85" s="2813"/>
      <c r="O85" s="2813"/>
      <c r="P85" s="2813"/>
      <c r="Q85" s="2813"/>
      <c r="R85" s="2813"/>
      <c r="S85" s="2813"/>
      <c r="T85" s="2813"/>
      <c r="U85" s="2813"/>
      <c r="V85" s="2813"/>
      <c r="W85" s="2813"/>
      <c r="X85" s="2813"/>
      <c r="Y85" s="2813"/>
      <c r="Z85" s="2813"/>
      <c r="AA85" s="2820"/>
      <c r="AB85" s="2820"/>
      <c r="AC85" s="2820"/>
      <c r="AD85" s="2820"/>
      <c r="AE85" s="2820"/>
      <c r="AF85" s="2820"/>
      <c r="AG85" s="2820"/>
      <c r="AH85" s="2820"/>
      <c r="AI85" s="2820"/>
    </row>
    <row r="86" s="2493" customFormat="1" ht="14" spans="1:35">
      <c r="A86" s="2654" t="s">
        <v>910</v>
      </c>
      <c r="B86" s="2615" t="s">
        <v>924</v>
      </c>
      <c r="C86" s="2704">
        <f ca="1">IF(H88="仅含出让金",C87+C90+C91+C92+C93+C94,C87+C91+C92+C93+C94)</f>
        <v>40</v>
      </c>
      <c r="D86" s="2745"/>
      <c r="E86" s="2152"/>
      <c r="F86" s="2153"/>
      <c r="G86" s="2153"/>
      <c r="H86" s="2744"/>
      <c r="I86" s="1259"/>
      <c r="J86" s="2813"/>
      <c r="K86" s="2813"/>
      <c r="L86" s="2813"/>
      <c r="M86" s="2813"/>
      <c r="N86" s="2813"/>
      <c r="O86" s="2813"/>
      <c r="P86" s="2813"/>
      <c r="Q86" s="2813"/>
      <c r="R86" s="2813"/>
      <c r="S86" s="2813"/>
      <c r="T86" s="2813"/>
      <c r="U86" s="2813"/>
      <c r="V86" s="2813"/>
      <c r="W86" s="2813"/>
      <c r="X86" s="2813"/>
      <c r="Y86" s="2813"/>
      <c r="Z86" s="2813"/>
      <c r="AA86" s="2820"/>
      <c r="AB86" s="2820"/>
      <c r="AC86" s="2820"/>
      <c r="AD86" s="2820"/>
      <c r="AE86" s="2820"/>
      <c r="AF86" s="2820"/>
      <c r="AG86" s="2820"/>
      <c r="AH86" s="2820"/>
      <c r="AI86" s="2820"/>
    </row>
    <row r="87" s="2493" customFormat="1" ht="14" spans="1:35">
      <c r="A87" s="2657" t="s">
        <v>903</v>
      </c>
      <c r="B87" s="968" t="s">
        <v>945</v>
      </c>
      <c r="C87" s="2729">
        <f>C88+C89</f>
        <v>0</v>
      </c>
      <c r="D87" s="2730"/>
      <c r="E87" s="2731"/>
      <c r="F87" s="2732"/>
      <c r="G87" s="2732"/>
      <c r="H87" s="2733"/>
      <c r="I87" s="1259"/>
      <c r="J87" s="2813"/>
      <c r="K87" s="2813"/>
      <c r="L87" s="2813"/>
      <c r="M87" s="2813"/>
      <c r="N87" s="2813"/>
      <c r="O87" s="2813"/>
      <c r="P87" s="2813"/>
      <c r="Q87" s="2813"/>
      <c r="R87" s="2813"/>
      <c r="S87" s="2813"/>
      <c r="T87" s="2813"/>
      <c r="U87" s="2813"/>
      <c r="V87" s="2813"/>
      <c r="W87" s="2813"/>
      <c r="X87" s="2813"/>
      <c r="Y87" s="2813"/>
      <c r="Z87" s="2813"/>
      <c r="AA87" s="2820"/>
      <c r="AB87" s="2820"/>
      <c r="AC87" s="2820"/>
      <c r="AD87" s="2820"/>
      <c r="AE87" s="2820"/>
      <c r="AF87" s="2820"/>
      <c r="AG87" s="2820"/>
      <c r="AH87" s="2820"/>
      <c r="AI87" s="2820"/>
    </row>
    <row r="88" s="2493" customFormat="1" ht="14" spans="1:35">
      <c r="A88" s="2657" t="s">
        <v>926</v>
      </c>
      <c r="B88" s="968" t="s">
        <v>946</v>
      </c>
      <c r="C88" s="2746"/>
      <c r="D88" s="2730"/>
      <c r="E88" s="2747" t="s">
        <v>947</v>
      </c>
      <c r="F88" s="2732"/>
      <c r="G88" s="2748" t="s">
        <v>948</v>
      </c>
      <c r="H88" s="2749"/>
      <c r="I88" s="1259"/>
      <c r="J88" s="2816" t="s">
        <v>949</v>
      </c>
      <c r="K88" s="2813"/>
      <c r="L88" s="2813"/>
      <c r="M88" s="2813"/>
      <c r="N88" s="2813"/>
      <c r="O88" s="2813"/>
      <c r="P88" s="2813"/>
      <c r="Q88" s="2813"/>
      <c r="R88" s="2813"/>
      <c r="S88" s="2813"/>
      <c r="T88" s="2813"/>
      <c r="U88" s="2813"/>
      <c r="V88" s="2813"/>
      <c r="W88" s="2813"/>
      <c r="X88" s="2813"/>
      <c r="Y88" s="2813"/>
      <c r="Z88" s="2813"/>
      <c r="AA88" s="2820"/>
      <c r="AB88" s="2820"/>
      <c r="AC88" s="2820"/>
      <c r="AD88" s="2820"/>
      <c r="AE88" s="2820"/>
      <c r="AF88" s="2820"/>
      <c r="AG88" s="2820"/>
      <c r="AH88" s="2820"/>
      <c r="AI88" s="2820"/>
    </row>
    <row r="89" s="2493" customFormat="1" ht="14" spans="1:35">
      <c r="A89" s="2657" t="s">
        <v>931</v>
      </c>
      <c r="B89" s="968" t="s">
        <v>935</v>
      </c>
      <c r="C89" s="2729">
        <f>ROUND(C88*D89,0)</f>
        <v>0</v>
      </c>
      <c r="D89" s="2730">
        <f>'数据-取费表'!B48+'数据-取费表'!B49</f>
        <v>0.0305</v>
      </c>
      <c r="E89" s="2747" t="s">
        <v>950</v>
      </c>
      <c r="F89" s="2732"/>
      <c r="G89" s="2732"/>
      <c r="H89" s="2733"/>
      <c r="I89" s="1259"/>
      <c r="J89" s="2813"/>
      <c r="K89" s="2813"/>
      <c r="L89" s="2813"/>
      <c r="M89" s="2813"/>
      <c r="N89" s="2813"/>
      <c r="O89" s="2813"/>
      <c r="P89" s="2813"/>
      <c r="Q89" s="2813"/>
      <c r="R89" s="2813"/>
      <c r="S89" s="2813"/>
      <c r="T89" s="2813"/>
      <c r="U89" s="2813"/>
      <c r="V89" s="2813"/>
      <c r="W89" s="2813"/>
      <c r="X89" s="2813"/>
      <c r="Y89" s="2813"/>
      <c r="Z89" s="2813"/>
      <c r="AA89" s="2820"/>
      <c r="AB89" s="2820"/>
      <c r="AC89" s="2820"/>
      <c r="AD89" s="2820"/>
      <c r="AE89" s="2820"/>
      <c r="AF89" s="2820"/>
      <c r="AG89" s="2820"/>
      <c r="AH89" s="2820"/>
      <c r="AI89" s="2820"/>
    </row>
    <row r="90" s="2493" customFormat="1" ht="14" spans="1:35">
      <c r="A90" s="2657" t="s">
        <v>907</v>
      </c>
      <c r="B90" s="968" t="s">
        <v>951</v>
      </c>
      <c r="C90" s="2746"/>
      <c r="D90" s="2730"/>
      <c r="E90" s="2747" t="str">
        <f>IF(H88="-","土地取得成本中已包含该笔费用"," ")</f>
        <v> </v>
      </c>
      <c r="F90" s="2732"/>
      <c r="G90" s="2750" t="s">
        <v>952</v>
      </c>
      <c r="H90" s="2751"/>
      <c r="I90" s="1259"/>
      <c r="J90" s="2816" t="s">
        <v>953</v>
      </c>
      <c r="K90" s="2813"/>
      <c r="L90" s="2813"/>
      <c r="M90" s="2813"/>
      <c r="N90" s="2813"/>
      <c r="O90" s="2813"/>
      <c r="P90" s="2813"/>
      <c r="Q90" s="2813"/>
      <c r="R90" s="2813"/>
      <c r="S90" s="2813"/>
      <c r="T90" s="2813"/>
      <c r="U90" s="2813"/>
      <c r="V90" s="2813"/>
      <c r="W90" s="2813"/>
      <c r="X90" s="2813"/>
      <c r="Y90" s="2813"/>
      <c r="Z90" s="2813"/>
      <c r="AA90" s="2820"/>
      <c r="AB90" s="2820"/>
      <c r="AC90" s="2820"/>
      <c r="AD90" s="2820"/>
      <c r="AE90" s="2820"/>
      <c r="AF90" s="2820"/>
      <c r="AG90" s="2820"/>
      <c r="AH90" s="2820"/>
      <c r="AI90" s="2820"/>
    </row>
    <row r="91" s="2493" customFormat="1" ht="27.75" customHeight="1" spans="1:35">
      <c r="A91" s="2657" t="s">
        <v>954</v>
      </c>
      <c r="B91" s="968" t="s">
        <v>955</v>
      </c>
      <c r="C91" s="2729">
        <f ca="1">IF(H91="——",成本法!C33,I91)</f>
        <v>0</v>
      </c>
      <c r="D91" s="2730"/>
      <c r="E91" s="2731" t="s">
        <v>956</v>
      </c>
      <c r="F91" s="2732"/>
      <c r="G91" s="2732"/>
      <c r="H91" s="2752"/>
      <c r="I91" s="2817"/>
      <c r="J91" s="2813"/>
      <c r="K91" s="2813"/>
      <c r="L91" s="2813"/>
      <c r="M91" s="2813"/>
      <c r="N91" s="2813"/>
      <c r="O91" s="2813"/>
      <c r="P91" s="2813"/>
      <c r="Q91" s="2813"/>
      <c r="R91" s="2813"/>
      <c r="S91" s="2813"/>
      <c r="T91" s="2813"/>
      <c r="U91" s="2813"/>
      <c r="V91" s="2813"/>
      <c r="W91" s="2813"/>
      <c r="X91" s="2813"/>
      <c r="Y91" s="2813"/>
      <c r="Z91" s="2813"/>
      <c r="AA91" s="2820"/>
      <c r="AB91" s="2820"/>
      <c r="AC91" s="2820"/>
      <c r="AD91" s="2820"/>
      <c r="AE91" s="2820"/>
      <c r="AF91" s="2820"/>
      <c r="AG91" s="2820"/>
      <c r="AH91" s="2820"/>
      <c r="AI91" s="2820"/>
    </row>
    <row r="92" s="2493" customFormat="1" ht="25.5" customHeight="1" spans="1:35">
      <c r="A92" s="2657" t="s">
        <v>957</v>
      </c>
      <c r="B92" s="968" t="s">
        <v>958</v>
      </c>
      <c r="C92" s="2729">
        <f ca="1">ROUND((C87+C90+C91)*D92,0)</f>
        <v>0</v>
      </c>
      <c r="D92" s="2753"/>
      <c r="E92" s="2731" t="s">
        <v>959</v>
      </c>
      <c r="F92" s="2732"/>
      <c r="G92" s="2732"/>
      <c r="H92" s="2733"/>
      <c r="I92" s="1259"/>
      <c r="J92" s="2818" t="s">
        <v>960</v>
      </c>
      <c r="K92" s="2813"/>
      <c r="L92" s="2813"/>
      <c r="M92" s="2813"/>
      <c r="N92" s="2813"/>
      <c r="O92" s="2813"/>
      <c r="P92" s="2813"/>
      <c r="Q92" s="2813"/>
      <c r="R92" s="2813"/>
      <c r="S92" s="2813"/>
      <c r="T92" s="2813"/>
      <c r="U92" s="2813"/>
      <c r="V92" s="2813"/>
      <c r="W92" s="2813"/>
      <c r="X92" s="2813"/>
      <c r="Y92" s="2813"/>
      <c r="Z92" s="2813"/>
      <c r="AA92" s="2820"/>
      <c r="AB92" s="2820"/>
      <c r="AC92" s="2820"/>
      <c r="AD92" s="2820"/>
      <c r="AE92" s="2820"/>
      <c r="AF92" s="2820"/>
      <c r="AG92" s="2820"/>
      <c r="AH92" s="2820"/>
      <c r="AI92" s="2820"/>
    </row>
    <row r="93" s="2493" customFormat="1" ht="25.5" customHeight="1" spans="1:35">
      <c r="A93" s="2657" t="s">
        <v>961</v>
      </c>
      <c r="B93" s="968" t="s">
        <v>938</v>
      </c>
      <c r="C93" s="2729">
        <f ca="1">ROUND(D45*D93/(1+'数据-取费表'!C42),0)</f>
        <v>40</v>
      </c>
      <c r="D93" s="2730">
        <f>'数据-取费表'!B43</f>
        <v>0.006</v>
      </c>
      <c r="E93" s="2731" t="s">
        <v>939</v>
      </c>
      <c r="F93" s="2732"/>
      <c r="G93" s="2732"/>
      <c r="H93" s="2733"/>
      <c r="I93" s="1259"/>
      <c r="J93" s="2813"/>
      <c r="K93" s="2813"/>
      <c r="L93" s="2813"/>
      <c r="M93" s="2813"/>
      <c r="N93" s="2813"/>
      <c r="O93" s="2813"/>
      <c r="P93" s="2813"/>
      <c r="Q93" s="2813"/>
      <c r="R93" s="2813"/>
      <c r="S93" s="2813"/>
      <c r="T93" s="2813"/>
      <c r="U93" s="2813"/>
      <c r="V93" s="2813"/>
      <c r="W93" s="2813"/>
      <c r="X93" s="2813"/>
      <c r="Y93" s="2813"/>
      <c r="Z93" s="2813"/>
      <c r="AA93" s="2820"/>
      <c r="AB93" s="2820"/>
      <c r="AC93" s="2820"/>
      <c r="AD93" s="2820"/>
      <c r="AE93" s="2820"/>
      <c r="AF93" s="2820"/>
      <c r="AG93" s="2820"/>
      <c r="AH93" s="2820"/>
      <c r="AI93" s="2820"/>
    </row>
    <row r="94" s="2493" customFormat="1" ht="36.75" customHeight="1" spans="1:35">
      <c r="A94" s="2657" t="s">
        <v>962</v>
      </c>
      <c r="B94" s="968" t="s">
        <v>963</v>
      </c>
      <c r="C94" s="2746">
        <f ca="1">ROUND((C87+C90+C91)*D94,0)</f>
        <v>0</v>
      </c>
      <c r="D94" s="2730">
        <v>0.2</v>
      </c>
      <c r="E94" s="2754" t="s">
        <v>964</v>
      </c>
      <c r="F94" s="2755"/>
      <c r="G94" s="2755"/>
      <c r="H94" s="2756"/>
      <c r="I94" s="1259"/>
      <c r="J94" s="2813"/>
      <c r="K94" s="2813"/>
      <c r="L94" s="2813"/>
      <c r="M94" s="2813"/>
      <c r="N94" s="2813"/>
      <c r="O94" s="2813"/>
      <c r="P94" s="2813"/>
      <c r="Q94" s="2813"/>
      <c r="R94" s="2813"/>
      <c r="S94" s="2813"/>
      <c r="T94" s="2813"/>
      <c r="U94" s="2813"/>
      <c r="V94" s="2813"/>
      <c r="W94" s="2813"/>
      <c r="X94" s="2813"/>
      <c r="Y94" s="2813"/>
      <c r="Z94" s="2813"/>
      <c r="AA94" s="2820"/>
      <c r="AB94" s="2820"/>
      <c r="AC94" s="2820"/>
      <c r="AD94" s="2820"/>
      <c r="AE94" s="2820"/>
      <c r="AF94" s="2820"/>
      <c r="AG94" s="2820"/>
      <c r="AH94" s="2820"/>
      <c r="AI94" s="2820"/>
    </row>
    <row r="95" s="2493" customFormat="1" ht="14" spans="1:35">
      <c r="A95" s="2654" t="s">
        <v>915</v>
      </c>
      <c r="B95" s="2701" t="s">
        <v>940</v>
      </c>
      <c r="C95" s="2704">
        <f ca="1">ROUND(C85-C86,0)</f>
        <v>6646</v>
      </c>
      <c r="D95" s="968" t="s">
        <v>124</v>
      </c>
      <c r="E95" s="2152"/>
      <c r="F95" s="2153"/>
      <c r="G95" s="2153"/>
      <c r="H95" s="2744"/>
      <c r="I95" s="1259"/>
      <c r="J95" s="2813"/>
      <c r="K95" s="2813"/>
      <c r="L95" s="2813"/>
      <c r="M95" s="2813"/>
      <c r="N95" s="2813"/>
      <c r="O95" s="2813"/>
      <c r="P95" s="2813"/>
      <c r="Q95" s="2813"/>
      <c r="R95" s="2813"/>
      <c r="S95" s="2813"/>
      <c r="T95" s="2813"/>
      <c r="U95" s="2813"/>
      <c r="V95" s="2813"/>
      <c r="W95" s="2813"/>
      <c r="X95" s="2813"/>
      <c r="Y95" s="2813"/>
      <c r="Z95" s="2813"/>
      <c r="AA95" s="2820"/>
      <c r="AB95" s="2820"/>
      <c r="AC95" s="2820"/>
      <c r="AD95" s="2820"/>
      <c r="AE95" s="2820"/>
      <c r="AF95" s="2820"/>
      <c r="AG95" s="2820"/>
      <c r="AH95" s="2820"/>
      <c r="AI95" s="2820"/>
    </row>
    <row r="96" s="2493" customFormat="1" ht="26" spans="1:35">
      <c r="A96" s="2654" t="s">
        <v>918</v>
      </c>
      <c r="B96" s="2701" t="s">
        <v>941</v>
      </c>
      <c r="C96" s="2734">
        <f ca="1">IF(C95&lt;=0,0,C95/C86)</f>
        <v>166.15</v>
      </c>
      <c r="D96" s="968" t="s">
        <v>124</v>
      </c>
      <c r="E96" s="2275" t="str">
        <f ca="1">IF(C96&gt;=200%,"增值额超过扣除项目金额200%",IF(C96&gt;=100%,"增值额超过扣除项目金额100%，未超过200%",IF(C96&gt;=50%,"增值额超过扣除项目金额50%，未超过100%",IF(C96&lt;50%,"增值额未超过扣除项目金额50%"))))</f>
        <v>增值额超过扣除项目金额200%</v>
      </c>
      <c r="F96" s="2153"/>
      <c r="G96" s="2153"/>
      <c r="H96" s="2744"/>
      <c r="I96" s="1259"/>
      <c r="J96" s="2813"/>
      <c r="K96" s="2813"/>
      <c r="L96" s="2813"/>
      <c r="M96" s="2813"/>
      <c r="N96" s="2813"/>
      <c r="O96" s="2813"/>
      <c r="P96" s="2813"/>
      <c r="Q96" s="2813"/>
      <c r="R96" s="2813"/>
      <c r="S96" s="2813"/>
      <c r="T96" s="2813"/>
      <c r="U96" s="2813"/>
      <c r="V96" s="2813"/>
      <c r="W96" s="2813"/>
      <c r="X96" s="2813"/>
      <c r="Y96" s="2813"/>
      <c r="Z96" s="2813"/>
      <c r="AA96" s="2820"/>
      <c r="AB96" s="2820"/>
      <c r="AC96" s="2820"/>
      <c r="AD96" s="2820"/>
      <c r="AE96" s="2820"/>
      <c r="AF96" s="2820"/>
      <c r="AG96" s="2820"/>
      <c r="AH96" s="2820"/>
      <c r="AI96" s="2820"/>
    </row>
    <row r="97" s="2493" customFormat="1" ht="26.75" spans="1:35">
      <c r="A97" s="2705" t="s">
        <v>942</v>
      </c>
      <c r="B97" s="2706" t="s">
        <v>943</v>
      </c>
      <c r="C97" s="2735">
        <f ca="1">ROUND(IF(C95&lt;=0,0,IF(C96&gt;=200%,C95*60%-C86*35%,IF(C96&gt;=100%,C95*50%-C86*15%,IF(C96&gt;=50%,C95*40%-C86*5%,IF(C96&lt;50%,C95*30%,0))))),0)</f>
        <v>3974</v>
      </c>
      <c r="D97" s="2736" t="s">
        <v>124</v>
      </c>
      <c r="E97" s="273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8"/>
      <c r="G97" s="2738"/>
      <c r="H97" s="2757"/>
      <c r="I97" s="1259"/>
      <c r="J97" s="2813"/>
      <c r="K97" s="2813"/>
      <c r="L97" s="2813"/>
      <c r="M97" s="2813"/>
      <c r="N97" s="2813"/>
      <c r="O97" s="2813"/>
      <c r="P97" s="2813"/>
      <c r="Q97" s="2813"/>
      <c r="R97" s="2813"/>
      <c r="S97" s="2813"/>
      <c r="T97" s="2813"/>
      <c r="U97" s="2813"/>
      <c r="V97" s="2813"/>
      <c r="W97" s="2813"/>
      <c r="X97" s="2813"/>
      <c r="Y97" s="2813"/>
      <c r="Z97" s="2813"/>
      <c r="AA97" s="2820"/>
      <c r="AB97" s="2820"/>
      <c r="AC97" s="2820"/>
      <c r="AD97" s="2820"/>
      <c r="AE97" s="2820"/>
      <c r="AF97" s="2820"/>
      <c r="AG97" s="2820"/>
      <c r="AH97" s="2820"/>
      <c r="AI97" s="2820"/>
    </row>
    <row r="98" customHeight="1" spans="1:9">
      <c r="A98" s="2647"/>
      <c r="B98" s="2497"/>
      <c r="C98" s="2497"/>
      <c r="D98" s="2497"/>
      <c r="E98" s="2648"/>
      <c r="F98" s="2648"/>
      <c r="G98" s="2648"/>
      <c r="H98" s="2596"/>
      <c r="I98" s="1417"/>
    </row>
    <row r="99" customHeight="1" spans="1:9">
      <c r="A99" s="2598" t="s">
        <v>965</v>
      </c>
      <c r="B99" s="2497"/>
      <c r="C99" s="2497"/>
      <c r="D99" s="2497"/>
      <c r="E99" s="2648"/>
      <c r="F99" s="2648"/>
      <c r="G99" s="2648"/>
      <c r="H99" s="2596"/>
      <c r="I99" s="1417"/>
    </row>
    <row r="100" ht="18.75" customHeight="1" spans="1:9">
      <c r="A100" s="2758" t="s">
        <v>966</v>
      </c>
      <c r="B100" s="2759"/>
      <c r="C100" s="2759"/>
      <c r="D100" s="2760"/>
      <c r="E100" s="2759" t="s">
        <v>967</v>
      </c>
      <c r="F100" s="2759"/>
      <c r="G100" s="2759"/>
      <c r="H100" s="2760"/>
      <c r="I100" s="1417"/>
    </row>
    <row r="101" ht="18.75" customHeight="1" spans="1:9">
      <c r="A101" s="2761" t="s">
        <v>968</v>
      </c>
      <c r="B101" s="2762"/>
      <c r="C101" s="2763" t="str">
        <f>C4</f>
        <v>比较法-办公</v>
      </c>
      <c r="D101" s="2764" t="str">
        <f>D4</f>
        <v>收益法</v>
      </c>
      <c r="E101" s="2765" t="s">
        <v>969</v>
      </c>
      <c r="F101" s="2766"/>
      <c r="G101" s="2767" t="s">
        <v>970</v>
      </c>
      <c r="H101" s="2768">
        <f ca="1">H118</f>
        <v>7020</v>
      </c>
      <c r="I101" s="1417"/>
    </row>
    <row r="102" ht="18.75" customHeight="1" spans="1:9">
      <c r="A102" s="2769" t="s">
        <v>971</v>
      </c>
      <c r="B102" s="2770" t="s">
        <v>970</v>
      </c>
      <c r="C102" s="2763">
        <f ca="1">IF(D32="楼面单价",ROUND(C19,0),C19)</f>
        <v>7633.4355</v>
      </c>
      <c r="D102" s="2764">
        <f ca="1">IF(D32="楼面单价",ROUND(D19,0),D19)</f>
        <v>5589</v>
      </c>
      <c r="E102" s="2765"/>
      <c r="F102" s="2766"/>
      <c r="G102" s="2767" t="s">
        <v>99</v>
      </c>
      <c r="H102" s="2634">
        <f ca="1">I118</f>
        <v>23299</v>
      </c>
      <c r="I102" s="1417"/>
    </row>
    <row r="103" ht="42.75" customHeight="1" spans="1:9">
      <c r="A103" s="2769"/>
      <c r="B103" s="2770" t="s">
        <v>99</v>
      </c>
      <c r="C103" s="2771">
        <f ca="1">C20</f>
        <v>25335</v>
      </c>
      <c r="D103" s="2772">
        <f ca="1">D20</f>
        <v>18550</v>
      </c>
      <c r="E103" s="2773" t="s">
        <v>972</v>
      </c>
      <c r="F103" s="2774"/>
      <c r="G103" s="2775" t="s">
        <v>102</v>
      </c>
      <c r="H103" s="2768">
        <f>IF(D36="正常操作",H104+H105+H106,H105+H106)</f>
        <v>0</v>
      </c>
      <c r="I103" s="1417"/>
    </row>
    <row r="104" ht="18.75" customHeight="1" spans="1:9">
      <c r="A104" s="2769" t="s">
        <v>973</v>
      </c>
      <c r="B104" s="2776" t="s">
        <v>970</v>
      </c>
      <c r="C104" s="2777">
        <f ca="1">H118</f>
        <v>7020</v>
      </c>
      <c r="D104" s="2778"/>
      <c r="E104" s="2580" t="s">
        <v>974</v>
      </c>
      <c r="F104" s="2779"/>
      <c r="G104" s="2775" t="s">
        <v>102</v>
      </c>
      <c r="H104" s="2780">
        <f>IF(D36="同一抵押权人同一抵押物续贷",C36&amp;"（续贷，未扣减，详见特别提示）",C36)</f>
        <v>0</v>
      </c>
      <c r="I104" s="1417"/>
    </row>
    <row r="105" ht="18.75" customHeight="1" spans="1:9">
      <c r="A105" s="2781"/>
      <c r="B105" s="2782" t="s">
        <v>99</v>
      </c>
      <c r="C105" s="2783">
        <f ca="1">I118</f>
        <v>23299</v>
      </c>
      <c r="D105" s="2784"/>
      <c r="E105" s="2580" t="s">
        <v>975</v>
      </c>
      <c r="F105" s="2779"/>
      <c r="G105" s="2775" t="s">
        <v>102</v>
      </c>
      <c r="H105" s="2785">
        <f>C37</f>
        <v>0</v>
      </c>
      <c r="I105" s="1417"/>
    </row>
    <row r="106" ht="18.75" customHeight="1" spans="1:9">
      <c r="A106" s="2497" t="s">
        <v>976</v>
      </c>
      <c r="B106" s="2497"/>
      <c r="C106" s="2497"/>
      <c r="D106" s="2497"/>
      <c r="E106" s="2786" t="s">
        <v>977</v>
      </c>
      <c r="F106" s="2779"/>
      <c r="G106" s="2775" t="s">
        <v>102</v>
      </c>
      <c r="H106" s="2785">
        <f>C38</f>
        <v>0</v>
      </c>
      <c r="I106" s="1417"/>
    </row>
    <row r="107" ht="18.75" customHeight="1" spans="1:9">
      <c r="A107" s="1417"/>
      <c r="B107" s="1417"/>
      <c r="C107" s="1417"/>
      <c r="D107" s="1417"/>
      <c r="E107" s="2787" t="str">
        <f>IF(项目基本情况!E8="已注销","——","3.房地产抵押价值")</f>
        <v>3.房地产抵押价值</v>
      </c>
      <c r="F107" s="2766"/>
      <c r="G107" s="2767" t="s">
        <v>970</v>
      </c>
      <c r="H107" s="2768">
        <f ca="1">IF(E107="——","——",H101-H103)</f>
        <v>7020</v>
      </c>
      <c r="I107" s="1417"/>
    </row>
    <row r="108" ht="18.75" customHeight="1" spans="1:9">
      <c r="A108" s="1417"/>
      <c r="B108" s="1417"/>
      <c r="C108" s="1417"/>
      <c r="D108" s="1417"/>
      <c r="E108" s="2787"/>
      <c r="F108" s="2766"/>
      <c r="G108" s="2767" t="s">
        <v>99</v>
      </c>
      <c r="H108" s="2634">
        <f ca="1">IF(H107=H101,H102,ROUND(H107*10000/'数据-汇总表'!E3,0))</f>
        <v>23299</v>
      </c>
      <c r="I108" s="1417"/>
    </row>
    <row r="109" ht="18.75" customHeight="1" spans="1:9">
      <c r="A109" s="1417"/>
      <c r="B109" s="1417"/>
      <c r="C109" s="1417"/>
      <c r="D109" s="1417"/>
      <c r="E109" s="2787" t="str">
        <f>IF(项目基本情况!E8="已注销及未注销","4.抵押担保权已注销时的房地产抵押价值",IF(项目基本情况!E8="已注销","3.抵押担保权已注销时的房地产抵押价值","——"))</f>
        <v>——</v>
      </c>
      <c r="F109" s="2766"/>
      <c r="G109" s="2767" t="s">
        <v>970</v>
      </c>
      <c r="H109" s="2788" t="str">
        <f ca="1">IF(E109="——","——",H101-H105-H106)</f>
        <v>——</v>
      </c>
      <c r="I109" s="1417"/>
    </row>
    <row r="110" ht="18.75" customHeight="1" spans="1:9">
      <c r="A110" s="1417"/>
      <c r="B110" s="1417"/>
      <c r="C110" s="1417"/>
      <c r="D110" s="1417"/>
      <c r="E110" s="2787"/>
      <c r="F110" s="2766"/>
      <c r="G110" s="2767" t="s">
        <v>99</v>
      </c>
      <c r="H110" s="2634" t="str">
        <f ca="1">IF(H109="——","——",ROUND(H109*10000/'数据-汇总表'!E3,0))</f>
        <v>——</v>
      </c>
      <c r="I110" s="1417"/>
    </row>
    <row r="111" ht="18.75" customHeight="1" spans="1:9">
      <c r="A111" s="1417"/>
      <c r="B111" s="1417"/>
      <c r="C111" s="1417"/>
      <c r="D111" s="1417"/>
      <c r="E111" s="2789" t="str">
        <f>IF(项目基本情况!E9="抵押净值",IF(OR(项目基本情况!E8="已注销",项目基本情况!E8="房地产抵押价值"),"4.抵押净值","5.抵押净值"),"——")</f>
        <v>——</v>
      </c>
      <c r="F111" s="2790"/>
      <c r="G111" s="2767" t="s">
        <v>970</v>
      </c>
      <c r="H111" s="2768" t="str">
        <f ca="1">IF(E111="——","——",N59)</f>
        <v>——</v>
      </c>
      <c r="I111" s="1417"/>
    </row>
    <row r="112" ht="18.75" customHeight="1" spans="1:9">
      <c r="A112" s="1417"/>
      <c r="B112" s="1417"/>
      <c r="C112" s="1417"/>
      <c r="D112" s="1417"/>
      <c r="E112" s="2791"/>
      <c r="F112" s="2792"/>
      <c r="G112" s="2793" t="s">
        <v>99</v>
      </c>
      <c r="H112" s="2794" t="str">
        <f ca="1">IF(E111="——","——",N61)</f>
        <v>——</v>
      </c>
      <c r="I112" s="1417"/>
    </row>
    <row r="113" ht="18.75" customHeight="1" spans="1:9">
      <c r="A113" s="1417"/>
      <c r="B113" s="1417"/>
      <c r="C113" s="1417"/>
      <c r="D113" s="1417"/>
      <c r="E113" s="2795" t="s">
        <v>976</v>
      </c>
      <c r="F113" s="2795"/>
      <c r="G113" s="2795"/>
      <c r="H113" s="2795"/>
      <c r="I113" s="1417"/>
    </row>
    <row r="114" ht="3.75" customHeight="1" spans="1:9">
      <c r="A114" s="2497"/>
      <c r="B114" s="2497"/>
      <c r="C114" s="2497"/>
      <c r="D114" s="2497"/>
      <c r="E114" s="2647"/>
      <c r="F114" s="2647"/>
      <c r="G114" s="2647"/>
      <c r="H114" s="2647"/>
      <c r="I114" s="2497"/>
    </row>
    <row r="115" ht="18.75" customHeight="1" spans="1:9">
      <c r="A115" s="2796" t="s">
        <v>978</v>
      </c>
      <c r="B115" s="2797"/>
      <c r="C115" s="2797"/>
      <c r="D115" s="2797"/>
      <c r="E115" s="2797"/>
      <c r="F115" s="2797"/>
      <c r="G115" s="2797"/>
      <c r="H115" s="2797"/>
      <c r="I115" s="2819"/>
    </row>
    <row r="116" ht="27" customHeight="1" spans="1:9">
      <c r="A116" s="2510" t="s">
        <v>979</v>
      </c>
      <c r="B116" s="2798" t="s">
        <v>980</v>
      </c>
      <c r="C116" s="2798" t="s">
        <v>981</v>
      </c>
      <c r="D116" s="2799" t="s">
        <v>982</v>
      </c>
      <c r="E116" s="2800"/>
      <c r="F116" s="2801" t="s">
        <v>983</v>
      </c>
      <c r="G116" s="2801"/>
      <c r="H116" s="2510" t="s">
        <v>984</v>
      </c>
      <c r="I116" s="2510"/>
    </row>
    <row r="117" ht="18.75" customHeight="1" spans="1:9">
      <c r="A117" s="2510"/>
      <c r="B117" s="2802"/>
      <c r="C117" s="2802"/>
      <c r="D117" s="2510" t="s">
        <v>985</v>
      </c>
      <c r="E117" s="2510" t="s">
        <v>806</v>
      </c>
      <c r="F117" s="2510" t="s">
        <v>985</v>
      </c>
      <c r="G117" s="2510" t="s">
        <v>806</v>
      </c>
      <c r="H117" s="2510" t="s">
        <v>985</v>
      </c>
      <c r="I117" s="2510" t="s">
        <v>806</v>
      </c>
    </row>
    <row r="118" ht="24.75" customHeight="1" spans="1:9">
      <c r="A118" s="2803" t="str">
        <f>项目基本情况!S2</f>
        <v>房地产</v>
      </c>
      <c r="B118" s="2510">
        <f>M18</f>
        <v>3013</v>
      </c>
      <c r="C118" s="2510">
        <f>M19</f>
        <v>0</v>
      </c>
      <c r="D118" s="2510">
        <f ca="1">ROUND(IF(D32="总价",C34,E118*B118/10000),0)</f>
        <v>5153</v>
      </c>
      <c r="E118" s="2510">
        <f ca="1">ROUND(IF(C33="自定义",IF(D32="楼面单价",C34,D118*10000/B118),I118-G118),0)</f>
        <v>17103</v>
      </c>
      <c r="F118" s="2510">
        <f ca="1">ROUND(IF(D32="总价",C35,G118*B118/10000),0)</f>
        <v>1867</v>
      </c>
      <c r="G118" s="2510">
        <f ca="1">ROUND(IF(D32="楼面单价",C35,F118*10000/B118),0)</f>
        <v>6196</v>
      </c>
      <c r="H118" s="2510">
        <f ca="1">ROUND(IF(D32="总价",C32,I118*B118/10000),0)</f>
        <v>7020</v>
      </c>
      <c r="I118" s="2510">
        <f ca="1">ROUND(IF(D32="楼面单价",C32,H118*10000/B118),0)</f>
        <v>23299</v>
      </c>
    </row>
    <row r="119" ht="18.75" customHeight="1" spans="1:9">
      <c r="A119" s="2510" t="s">
        <v>986</v>
      </c>
      <c r="B119" s="2510"/>
      <c r="C119" s="2510"/>
      <c r="D119" s="2804" t="str">
        <f ca="1">NUMBERSTRING(INT(D118*10000),2)&amp;"元整"</f>
        <v>伍仟壹佰伍拾叁万元整</v>
      </c>
      <c r="E119" s="2805"/>
      <c r="F119" s="2804" t="str">
        <f ca="1">NUMBERSTRING(INT(F118*10000),2)&amp;"元整"</f>
        <v>壹仟捌佰陆拾柒万元整</v>
      </c>
      <c r="G119" s="2805"/>
      <c r="H119" s="2804" t="str">
        <f ca="1">NUMBERSTRING(INT(H118*10000),2)&amp;"元整"</f>
        <v>柒仟零贰拾万元整</v>
      </c>
      <c r="I119" s="2805"/>
    </row>
    <row r="120" ht="18.75" customHeight="1" spans="1:19">
      <c r="A120" s="2806" t="str">
        <f>IF(项目基本情况!B9="房地产市场价值","",MID(E103,3,LEN(E103)-2))</f>
        <v>估价师知悉的法定优先受偿款</v>
      </c>
      <c r="B120" s="2807"/>
      <c r="C120" s="2808"/>
      <c r="D120" s="2806">
        <f>H103</f>
        <v>0</v>
      </c>
      <c r="E120" s="2807"/>
      <c r="F120" s="2807"/>
      <c r="G120" s="2807"/>
      <c r="H120" s="2807"/>
      <c r="I120" s="2808"/>
      <c r="J120" s="2494"/>
      <c r="K120" s="2494" t="str">
        <f>IF(D120=0,"故，本次评估不存在"&amp;A120,"故，本次评估"&amp;A120&amp;"为人民币"&amp;D120&amp;"万元整。")</f>
        <v>故，本次评估不存在估价师知悉的法定优先受偿款</v>
      </c>
      <c r="L120" s="2494"/>
      <c r="M120" s="2494"/>
      <c r="N120" s="2494"/>
      <c r="O120" s="2494"/>
      <c r="P120" s="2494"/>
      <c r="Q120" s="2494"/>
      <c r="R120" s="2494"/>
      <c r="S120" s="2494"/>
    </row>
    <row r="121" ht="18.75" customHeight="1" spans="1:27">
      <c r="A121" s="2804" t="s">
        <v>986</v>
      </c>
      <c r="B121" s="2809"/>
      <c r="C121" s="2805"/>
      <c r="D121" s="2804" t="str">
        <f>IF(D120=0,"零元整",NUMBERSTRING(INT(D120*10000),2)&amp;"元整")</f>
        <v>零元整</v>
      </c>
      <c r="E121" s="2809"/>
      <c r="F121" s="2809"/>
      <c r="G121" s="2809"/>
      <c r="H121" s="2809"/>
      <c r="I121" s="2805"/>
      <c r="AA121" s="1373"/>
    </row>
    <row r="122" ht="18.75" customHeight="1" spans="1:27">
      <c r="A122" s="2790" t="str">
        <f>IF(项目基本情况!B9="房地产市场价值","",MID(E107,3,LEN(E107)-2))</f>
        <v>房地产抵押价值</v>
      </c>
      <c r="B122" s="2790"/>
      <c r="C122" s="2790"/>
      <c r="D122" s="2806">
        <f ca="1">H107</f>
        <v>7020</v>
      </c>
      <c r="E122" s="2807"/>
      <c r="F122" s="2807"/>
      <c r="G122" s="2807"/>
      <c r="H122" s="2807"/>
      <c r="I122" s="2808"/>
      <c r="AA122" s="1373"/>
    </row>
    <row r="123" ht="18.75" customHeight="1" spans="1:27">
      <c r="A123" s="2510" t="s">
        <v>986</v>
      </c>
      <c r="B123" s="2510"/>
      <c r="C123" s="2510"/>
      <c r="D123" s="2804" t="str">
        <f ca="1">NUMBERSTRING(INT(D122*10000),2)&amp;"元整"</f>
        <v>柒仟零贰拾万元整</v>
      </c>
      <c r="E123" s="2809"/>
      <c r="F123" s="2809"/>
      <c r="G123" s="2809"/>
      <c r="H123" s="2809"/>
      <c r="I123" s="2805"/>
      <c r="AA123" s="1373"/>
    </row>
    <row r="124" ht="18.75" customHeight="1" spans="1:27">
      <c r="A124" s="2790" t="str">
        <f>IF(项目基本情况!B9="房地产市场价值","",MID(E109,3,LEN(E109)-2))</f>
        <v/>
      </c>
      <c r="B124" s="2790"/>
      <c r="C124" s="2790"/>
      <c r="D124" s="2806" t="str">
        <f ca="1">H109</f>
        <v>——</v>
      </c>
      <c r="E124" s="2807"/>
      <c r="F124" s="2807"/>
      <c r="G124" s="2807"/>
      <c r="H124" s="2807"/>
      <c r="I124" s="2808"/>
      <c r="AA124" s="1373"/>
    </row>
    <row r="125" ht="18.75" customHeight="1" spans="1:27">
      <c r="A125" s="2510" t="s">
        <v>986</v>
      </c>
      <c r="B125" s="2510"/>
      <c r="C125" s="2510"/>
      <c r="D125" s="2804" t="e">
        <f ca="1">NUMBERSTRING(INT(D124*10000),2)&amp;"元整"</f>
        <v>#VALUE!</v>
      </c>
      <c r="E125" s="2809"/>
      <c r="F125" s="2809"/>
      <c r="G125" s="2809"/>
      <c r="H125" s="2809"/>
      <c r="I125" s="2805"/>
      <c r="AA125" s="1373"/>
    </row>
    <row r="126" ht="18.75" customHeight="1" spans="1:27">
      <c r="A126" s="2790" t="str">
        <f>IF(项目基本情况!B9="房地产市场价值","",MID(E111,3,LEN(E111)-2))</f>
        <v/>
      </c>
      <c r="B126" s="2790"/>
      <c r="C126" s="2790"/>
      <c r="D126" s="2806" t="str">
        <f ca="1">H111</f>
        <v>——</v>
      </c>
      <c r="E126" s="2807"/>
      <c r="F126" s="2807"/>
      <c r="G126" s="2807"/>
      <c r="H126" s="2807"/>
      <c r="I126" s="2808"/>
      <c r="AA126" s="1373"/>
    </row>
    <row r="127" ht="18.75" customHeight="1" spans="1:27">
      <c r="A127" s="2510" t="s">
        <v>986</v>
      </c>
      <c r="B127" s="2510"/>
      <c r="C127" s="2510"/>
      <c r="D127" s="2804" t="e">
        <f ca="1">NUMBERSTRING(INT(D126*10000),2)&amp;"元整"</f>
        <v>#VALUE!</v>
      </c>
      <c r="E127" s="2809"/>
      <c r="F127" s="2809"/>
      <c r="G127" s="2809"/>
      <c r="H127" s="2809"/>
      <c r="I127" s="2805"/>
      <c r="AA127" s="1373"/>
    </row>
    <row r="128" customHeight="1" spans="1:27">
      <c r="A128" s="2240" t="s">
        <v>113</v>
      </c>
      <c r="B128" s="2240"/>
      <c r="C128" s="2240"/>
      <c r="D128" s="2240"/>
      <c r="E128" s="2240"/>
      <c r="F128" s="2240"/>
      <c r="G128" s="2240"/>
      <c r="H128" s="2240"/>
      <c r="I128" s="2240"/>
      <c r="AA128" s="1373"/>
    </row>
    <row r="129" customHeight="1" spans="1:27">
      <c r="A129" s="2821" t="s">
        <v>987</v>
      </c>
      <c r="B129" s="2822"/>
      <c r="C129" s="2823" t="s">
        <v>988</v>
      </c>
      <c r="D129" s="2824"/>
      <c r="E129" s="2824"/>
      <c r="F129" s="2824"/>
      <c r="G129" s="2824"/>
      <c r="H129" s="2825"/>
      <c r="I129" s="2840"/>
      <c r="AA129" s="1373"/>
    </row>
    <row r="130" customHeight="1" spans="1:27">
      <c r="A130" s="2826">
        <v>1</v>
      </c>
      <c r="B130" s="2827"/>
      <c r="C130" s="2827"/>
      <c r="D130" s="2828"/>
      <c r="E130" s="2828"/>
      <c r="F130" s="2828"/>
      <c r="G130" s="2828"/>
      <c r="H130" s="2829"/>
      <c r="I130" s="2841"/>
      <c r="AA130" s="1373"/>
    </row>
    <row r="131" customHeight="1" spans="1:27">
      <c r="A131" s="2826">
        <v>2</v>
      </c>
      <c r="B131" s="2827"/>
      <c r="C131" s="2827"/>
      <c r="D131" s="2828"/>
      <c r="E131" s="2828"/>
      <c r="F131" s="2828"/>
      <c r="G131" s="2828"/>
      <c r="H131" s="2829"/>
      <c r="I131" s="2841"/>
      <c r="AA131" s="1373"/>
    </row>
    <row r="132" customHeight="1" spans="1:27">
      <c r="A132" s="2826">
        <v>3</v>
      </c>
      <c r="B132" s="2827"/>
      <c r="C132" s="2827"/>
      <c r="D132" s="2828"/>
      <c r="E132" s="2828"/>
      <c r="F132" s="2828"/>
      <c r="G132" s="2828"/>
      <c r="H132" s="2829"/>
      <c r="I132" s="2841"/>
      <c r="AA132" s="1373"/>
    </row>
    <row r="133" customHeight="1" spans="1:9">
      <c r="A133" s="2830"/>
      <c r="B133" s="2831"/>
      <c r="C133" s="2831"/>
      <c r="D133" s="2832"/>
      <c r="E133" s="2832"/>
      <c r="F133" s="2832"/>
      <c r="G133" s="2832"/>
      <c r="H133" s="2833"/>
      <c r="I133" s="2842"/>
    </row>
    <row r="134" customHeight="1" spans="1:9">
      <c r="A134" s="2827"/>
      <c r="B134" s="2827"/>
      <c r="C134" s="2827"/>
      <c r="D134" s="2828"/>
      <c r="E134" s="2828"/>
      <c r="F134" s="2828"/>
      <c r="G134" s="2828"/>
      <c r="H134" s="2829"/>
      <c r="I134" s="1373"/>
    </row>
    <row r="135" customHeight="1" spans="1:9">
      <c r="A135" s="1373"/>
      <c r="B135" s="1373"/>
      <c r="C135" s="1373"/>
      <c r="D135" s="1373"/>
      <c r="E135" s="1373"/>
      <c r="F135" s="2834" t="s">
        <v>989</v>
      </c>
      <c r="G135" s="2835"/>
      <c r="H135" s="2835"/>
      <c r="I135" s="2843" t="s">
        <v>990</v>
      </c>
    </row>
    <row r="136" customHeight="1" spans="1:9">
      <c r="A136" s="1373"/>
      <c r="B136" s="2836" t="s">
        <v>991</v>
      </c>
      <c r="C136" s="1373"/>
      <c r="D136" s="1373"/>
      <c r="E136" s="1373"/>
      <c r="F136" s="1373"/>
      <c r="G136" s="1373"/>
      <c r="H136" s="1373"/>
      <c r="I136" s="1373"/>
    </row>
    <row r="137" customHeight="1" spans="1:9">
      <c r="A137" s="1373"/>
      <c r="B137" s="1373"/>
      <c r="C137" s="1373"/>
      <c r="D137" s="1373"/>
      <c r="E137" s="1373"/>
      <c r="F137" s="1373"/>
      <c r="G137" s="1373"/>
      <c r="H137" s="1373"/>
      <c r="I137" s="1373"/>
    </row>
    <row r="138" customHeight="1" spans="1:9">
      <c r="A138" s="1373"/>
      <c r="B138" s="2835"/>
      <c r="C138" s="2835"/>
      <c r="D138" s="2835"/>
      <c r="E138" s="2835"/>
      <c r="F138" s="2835"/>
      <c r="G138" s="2835"/>
      <c r="H138" s="2835"/>
      <c r="I138" s="2843" t="s">
        <v>992</v>
      </c>
    </row>
    <row r="139" customHeight="1" spans="1:9">
      <c r="A139" s="1373"/>
      <c r="B139" s="2836" t="s">
        <v>993</v>
      </c>
      <c r="C139" s="1373"/>
      <c r="D139" s="1373"/>
      <c r="E139" s="1373"/>
      <c r="F139" s="1373"/>
      <c r="G139" s="1373"/>
      <c r="H139" s="1373"/>
      <c r="I139" s="1373"/>
    </row>
    <row r="140" customHeight="1" spans="1:9">
      <c r="A140" s="1373"/>
      <c r="B140" s="2836"/>
      <c r="C140" s="1373"/>
      <c r="D140" s="1373"/>
      <c r="E140" s="1373"/>
      <c r="F140" s="1373"/>
      <c r="G140" s="1373"/>
      <c r="H140" s="1373"/>
      <c r="I140" s="1373"/>
    </row>
    <row r="141" customHeight="1" spans="1:9">
      <c r="A141" s="1373"/>
      <c r="B141" s="2835"/>
      <c r="C141" s="2835"/>
      <c r="D141" s="2835"/>
      <c r="E141" s="2835"/>
      <c r="F141" s="2835"/>
      <c r="G141" s="2835"/>
      <c r="H141" s="2835"/>
      <c r="I141" s="2843" t="s">
        <v>992</v>
      </c>
    </row>
    <row r="142" customHeight="1" spans="1:9">
      <c r="A142" s="1373"/>
      <c r="B142" s="2836"/>
      <c r="C142" s="2837"/>
      <c r="D142" s="2838"/>
      <c r="E142" s="2838"/>
      <c r="F142" s="2839"/>
      <c r="G142" s="1373"/>
      <c r="H142" s="1373"/>
      <c r="I142" s="1373"/>
    </row>
    <row r="143" s="1370" customFormat="1" customHeight="1" spans="1:35">
      <c r="A143" s="1373"/>
      <c r="B143" s="2836"/>
      <c r="C143" s="2837"/>
      <c r="D143" s="2838"/>
      <c r="E143" s="2838"/>
      <c r="F143" s="2839"/>
      <c r="G143" s="1373"/>
      <c r="H143" s="1373"/>
      <c r="I143" s="1373"/>
      <c r="J143" s="1373"/>
      <c r="K143" s="1373"/>
      <c r="L143" s="1373"/>
      <c r="M143" s="1373"/>
      <c r="N143" s="1373"/>
      <c r="O143" s="1373"/>
      <c r="P143" s="1373"/>
      <c r="Q143" s="1373"/>
      <c r="R143" s="1373"/>
      <c r="S143" s="1373"/>
      <c r="T143" s="1373"/>
      <c r="U143" s="1373"/>
      <c r="V143" s="1373"/>
      <c r="W143" s="1373"/>
      <c r="X143" s="1373"/>
      <c r="Y143" s="1373"/>
      <c r="Z143" s="1373"/>
      <c r="AA143" s="1373"/>
      <c r="AB143" s="1373"/>
      <c r="AC143" s="1373"/>
      <c r="AD143" s="1373"/>
      <c r="AE143" s="1373"/>
      <c r="AF143" s="1373"/>
      <c r="AG143" s="1373"/>
      <c r="AH143" s="1373"/>
      <c r="AI143" s="1373"/>
    </row>
    <row r="144" s="1370" customFormat="1" customHeight="1" spans="1:35">
      <c r="A144" s="1373"/>
      <c r="B144" s="1373"/>
      <c r="C144" s="1373"/>
      <c r="D144" s="1373"/>
      <c r="E144" s="1373"/>
      <c r="F144" s="1373"/>
      <c r="G144" s="1373"/>
      <c r="H144" s="1373"/>
      <c r="I144" s="1373"/>
      <c r="J144" s="1373"/>
      <c r="K144" s="1373"/>
      <c r="L144" s="1373"/>
      <c r="M144" s="1373"/>
      <c r="N144" s="1373"/>
      <c r="O144" s="1373"/>
      <c r="P144" s="1373"/>
      <c r="Q144" s="1373"/>
      <c r="R144" s="1373"/>
      <c r="S144" s="1373"/>
      <c r="T144" s="1373"/>
      <c r="U144" s="1373"/>
      <c r="V144" s="1373"/>
      <c r="W144" s="1373"/>
      <c r="X144" s="1373"/>
      <c r="Y144" s="1373"/>
      <c r="Z144" s="1373"/>
      <c r="AA144" s="1373"/>
      <c r="AB144" s="1373"/>
      <c r="AC144" s="1373"/>
      <c r="AD144" s="1373"/>
      <c r="AE144" s="1373"/>
      <c r="AF144" s="1373"/>
      <c r="AG144" s="1373"/>
      <c r="AH144" s="1373"/>
      <c r="AI144" s="1373"/>
    </row>
    <row r="145" s="1370" customFormat="1" customHeight="1" spans="1:35">
      <c r="A145" s="1373"/>
      <c r="B145" s="1373"/>
      <c r="C145" s="1373"/>
      <c r="D145" s="1373"/>
      <c r="E145" s="1373"/>
      <c r="F145" s="1373"/>
      <c r="G145" s="1373"/>
      <c r="H145" s="1373"/>
      <c r="I145" s="1373"/>
      <c r="J145" s="1373"/>
      <c r="K145" s="1373"/>
      <c r="L145" s="1373"/>
      <c r="M145" s="1373"/>
      <c r="N145" s="1373"/>
      <c r="O145" s="1373"/>
      <c r="P145" s="1373"/>
      <c r="Q145" s="1373"/>
      <c r="R145" s="1373"/>
      <c r="S145" s="1373"/>
      <c r="T145" s="1373"/>
      <c r="U145" s="1373"/>
      <c r="V145" s="1373"/>
      <c r="W145" s="1373"/>
      <c r="X145" s="1373"/>
      <c r="Y145" s="1373"/>
      <c r="Z145" s="1373"/>
      <c r="AA145" s="1373"/>
      <c r="AB145" s="1373"/>
      <c r="AC145" s="1373"/>
      <c r="AD145" s="1373"/>
      <c r="AE145" s="1373"/>
      <c r="AF145" s="1373"/>
      <c r="AG145" s="1373"/>
      <c r="AH145" s="1373"/>
      <c r="AI145" s="1373"/>
    </row>
    <row r="146" s="1373" customFormat="1" customHeight="1"/>
    <row r="147" s="1373" customFormat="1" customHeight="1"/>
    <row r="148" s="1373" customFormat="1" customHeight="1"/>
    <row r="149" s="1373" customFormat="1" customHeight="1"/>
    <row r="150" s="1373" customFormat="1" customHeight="1"/>
    <row r="151" s="1373" customFormat="1" customHeight="1"/>
    <row r="152" s="1373" customFormat="1" customHeight="1"/>
    <row r="153" s="1373" customFormat="1" customHeight="1"/>
    <row r="154" s="1373" customFormat="1" customHeight="1"/>
    <row r="155" s="1373" customFormat="1" customHeight="1"/>
    <row r="156" s="1373" customFormat="1" customHeight="1"/>
    <row r="157" s="1373" customFormat="1" customHeight="1"/>
    <row r="158" s="1373" customFormat="1" customHeight="1"/>
    <row r="159" s="1373" customFormat="1" customHeight="1"/>
    <row r="160" s="1373" customFormat="1" customHeight="1"/>
    <row r="161" s="1373" customFormat="1" customHeight="1"/>
    <row r="162" s="1373" customFormat="1" customHeight="1"/>
    <row r="163" s="1373" customFormat="1" customHeight="1"/>
    <row r="164" s="1373" customFormat="1" customHeight="1"/>
    <row r="165" s="1373" customFormat="1" customHeight="1"/>
    <row r="166" s="1373" customFormat="1" customHeight="1"/>
    <row r="167" s="1373" customFormat="1" customHeight="1"/>
    <row r="168" s="1373" customFormat="1" customHeight="1"/>
    <row r="169" s="1373" customFormat="1" customHeight="1"/>
    <row r="170" s="1373" customFormat="1" customHeight="1"/>
    <row r="171" s="1373" customFormat="1" customHeight="1"/>
    <row r="172" s="1373" customFormat="1" customHeight="1"/>
    <row r="173" s="1373" customFormat="1" customHeight="1"/>
    <row r="174" s="1373" customFormat="1" customHeight="1"/>
    <row r="175" s="1373" customFormat="1" customHeight="1"/>
    <row r="176" s="1373" customFormat="1" customHeight="1"/>
    <row r="177" s="1373" customFormat="1" customHeight="1"/>
    <row r="178" s="1373" customFormat="1" customHeight="1"/>
    <row r="179" s="1373" customFormat="1" customHeight="1"/>
    <row r="180" s="1373" customFormat="1" customHeight="1"/>
    <row r="181" s="1373" customFormat="1" customHeight="1"/>
    <row r="182" s="1373" customFormat="1" customHeight="1"/>
    <row r="183" s="1373" customFormat="1" customHeight="1"/>
    <row r="184" s="1373" customFormat="1" customHeight="1"/>
    <row r="185" s="1373" customFormat="1" customHeight="1"/>
    <row r="186" s="1373" customFormat="1" customHeight="1"/>
    <row r="187" s="1373" customFormat="1" customHeight="1"/>
    <row r="188" s="1373" customFormat="1" customHeight="1"/>
    <row r="189" s="1373" customFormat="1" customHeight="1"/>
    <row r="190" s="1373" customFormat="1" customHeight="1"/>
    <row r="191" s="1373" customFormat="1" customHeight="1"/>
    <row r="192" s="1373" customFormat="1" customHeight="1"/>
    <row r="193" s="1373" customFormat="1" customHeight="1"/>
    <row r="194" s="1373" customFormat="1" customHeight="1"/>
    <row r="195" s="1373" customFormat="1" customHeight="1"/>
    <row r="196" s="1373" customFormat="1" customHeight="1"/>
    <row r="197" s="1373" customFormat="1" customHeight="1"/>
    <row r="198" s="1373" customFormat="1" customHeight="1"/>
    <row r="199" s="1373" customFormat="1" customHeight="1"/>
    <row r="200" s="1373" customFormat="1" customHeight="1"/>
    <row r="201" s="1373" customFormat="1" customHeight="1"/>
    <row r="202" s="1373" customFormat="1" customHeight="1"/>
    <row r="203" s="1373" customFormat="1" customHeight="1"/>
    <row r="204" s="1373" customFormat="1" customHeight="1"/>
    <row r="205" s="1373" customFormat="1" customHeight="1"/>
    <row r="206" s="1373" customFormat="1" customHeight="1"/>
    <row r="207" s="1373" customFormat="1" customHeight="1"/>
    <row r="208" s="1373" customFormat="1" customHeight="1"/>
    <row r="209" s="1373" customFormat="1" customHeight="1"/>
    <row r="210" s="1373" customFormat="1" customHeight="1"/>
    <row r="211" s="1373" customFormat="1" customHeight="1"/>
    <row r="212" s="1373" customFormat="1" customHeight="1"/>
    <row r="213" s="1373" customFormat="1" customHeight="1"/>
    <row r="214" s="1373" customFormat="1" customHeight="1"/>
    <row r="215" s="1373" customFormat="1" customHeight="1"/>
    <row r="216" s="1373" customFormat="1" customHeight="1"/>
    <row r="217" s="1373" customFormat="1" customHeight="1"/>
    <row r="218" s="1373" customFormat="1" customHeight="1"/>
    <row r="219" s="1373" customFormat="1" customHeight="1"/>
    <row r="220" s="1373" customFormat="1" customHeight="1"/>
    <row r="221" s="1373" customFormat="1" customHeight="1"/>
    <row r="222" s="1373" customFormat="1" customHeight="1"/>
    <row r="223" s="1373" customFormat="1" customHeight="1"/>
    <row r="224" s="1373" customFormat="1" customHeight="1"/>
    <row r="225" s="1373" customFormat="1" customHeight="1"/>
    <row r="226" s="1373" customFormat="1" customHeight="1"/>
    <row r="227" s="1373" customFormat="1" customHeight="1"/>
    <row r="228" s="1373" customFormat="1" customHeight="1"/>
    <row r="229" s="1373" customFormat="1" customHeight="1"/>
    <row r="230" s="1373" customFormat="1" customHeight="1"/>
    <row r="231" s="1373" customFormat="1" customHeight="1"/>
    <row r="232" s="1373" customFormat="1" customHeight="1"/>
    <row r="233" s="1373" customFormat="1" customHeight="1"/>
    <row r="234" s="1373" customFormat="1" customHeight="1"/>
    <row r="235" s="1373" customFormat="1" customHeight="1"/>
    <row r="236" s="1373" customFormat="1" customHeight="1"/>
    <row r="237" s="1373" customFormat="1" customHeight="1"/>
    <row r="238" s="1373" customFormat="1" customHeight="1"/>
    <row r="239" s="1373" customFormat="1" customHeight="1"/>
    <row r="240" s="1373" customFormat="1" customHeight="1"/>
    <row r="241" s="1373" customFormat="1" customHeight="1"/>
    <row r="242" s="1373" customFormat="1" customHeight="1"/>
    <row r="243" s="1373" customFormat="1" customHeight="1"/>
    <row r="244" s="1373" customFormat="1" customHeight="1"/>
    <row r="245" s="1373" customFormat="1" customHeight="1"/>
    <row r="246" s="1373" customFormat="1" customHeight="1"/>
    <row r="247" s="1373" customFormat="1" customHeight="1"/>
    <row r="248" s="1373" customFormat="1" customHeight="1"/>
    <row r="249" s="1373" customFormat="1" customHeight="1"/>
    <row r="250" s="1373" customFormat="1" customHeight="1"/>
    <row r="251" s="1373" customFormat="1" customHeight="1"/>
    <row r="252" s="1373" customFormat="1" customHeight="1"/>
    <row r="253" s="1373" customFormat="1" customHeight="1"/>
    <row r="254" s="1373" customFormat="1" customHeight="1"/>
    <row r="255" s="1373" customFormat="1" customHeight="1"/>
    <row r="256" s="1373" customFormat="1" customHeight="1"/>
    <row r="257" s="1373" customFormat="1" customHeight="1"/>
    <row r="258" s="1373" customFormat="1" customHeight="1"/>
    <row r="259" s="1373" customFormat="1" customHeight="1"/>
    <row r="260" s="1373" customFormat="1" customHeight="1"/>
    <row r="261" s="1373" customFormat="1" customHeight="1"/>
    <row r="262" s="1373" customFormat="1" customHeight="1"/>
    <row r="263" s="1373" customFormat="1" customHeight="1"/>
    <row r="264" s="1373" customFormat="1" customHeight="1"/>
    <row r="265" s="1373" customFormat="1" customHeight="1"/>
    <row r="266" s="1373" customFormat="1" customHeight="1"/>
    <row r="267" s="1373" customFormat="1" customHeight="1"/>
    <row r="268" s="1373" customFormat="1" customHeight="1"/>
    <row r="269" s="1373" customFormat="1" customHeight="1"/>
    <row r="270" s="1373" customFormat="1" customHeight="1"/>
    <row r="271" s="1373" customFormat="1" customHeight="1"/>
    <row r="272" s="1373" customFormat="1" customHeight="1"/>
    <row r="273" s="1373" customFormat="1" customHeight="1"/>
    <row r="274" s="1373" customFormat="1" customHeight="1"/>
    <row r="275" s="1373" customFormat="1" customHeight="1"/>
    <row r="276" s="1373" customFormat="1" customHeight="1"/>
    <row r="277" s="1373" customFormat="1" customHeight="1"/>
    <row r="278" s="1373" customFormat="1" customHeight="1"/>
    <row r="279" s="1373" customFormat="1" customHeight="1"/>
    <row r="280" s="1373" customFormat="1" customHeight="1"/>
    <row r="281" s="1373" customFormat="1" customHeight="1"/>
    <row r="282" s="1373" customFormat="1" customHeight="1"/>
    <row r="283" s="1373" customFormat="1" customHeight="1"/>
    <row r="284" s="1373" customFormat="1" customHeight="1"/>
    <row r="285" s="1373" customFormat="1" customHeight="1"/>
    <row r="286" s="1373" customFormat="1" customHeight="1"/>
    <row r="287" s="1373" customFormat="1" customHeight="1"/>
    <row r="288" s="1373" customFormat="1" customHeight="1"/>
    <row r="289" s="1373" customFormat="1" customHeight="1"/>
    <row r="290" s="1373" customFormat="1" customHeight="1"/>
    <row r="291" s="1373" customFormat="1" customHeight="1"/>
    <row r="292" s="1373" customFormat="1" customHeight="1"/>
    <row r="293" s="1373" customFormat="1" customHeight="1"/>
    <row r="294" s="1373" customFormat="1" customHeight="1"/>
    <row r="295" s="1373" customFormat="1" customHeight="1"/>
    <row r="296" s="1373" customFormat="1" customHeight="1"/>
    <row r="297" s="1373" customFormat="1" customHeight="1"/>
    <row r="298" s="1373" customFormat="1" customHeight="1"/>
    <row r="299" s="1373" customFormat="1" customHeight="1"/>
    <row r="300" s="1373" customFormat="1" customHeight="1"/>
    <row r="301" s="1373" customFormat="1" customHeight="1"/>
    <row r="302" s="1373" customFormat="1" customHeight="1"/>
    <row r="303" s="1373" customFormat="1" customHeight="1"/>
    <row r="304" s="1373" customFormat="1" customHeight="1"/>
    <row r="305" s="1373" customFormat="1" customHeight="1"/>
    <row r="306" s="1373" customFormat="1" customHeight="1"/>
    <row r="307" s="1373" customFormat="1" customHeight="1"/>
    <row r="308" s="1373" customFormat="1" customHeight="1"/>
    <row r="309" s="1373" customFormat="1" customHeight="1"/>
    <row r="310" s="1373" customFormat="1" customHeight="1"/>
    <row r="311" s="1373" customFormat="1" customHeight="1"/>
    <row r="312" s="1373" customFormat="1" customHeight="1"/>
    <row r="313" s="1373" customFormat="1" customHeight="1"/>
    <row r="314" s="1373" customFormat="1" customHeight="1"/>
    <row r="315" s="1373" customFormat="1" customHeight="1"/>
    <row r="316" s="1373" customFormat="1" customHeight="1"/>
    <row r="317" s="1373" customFormat="1" customHeight="1"/>
    <row r="318" s="1373" customFormat="1" customHeight="1"/>
    <row r="319" s="1373" customFormat="1" customHeight="1"/>
    <row r="320" s="1373" customFormat="1" customHeight="1"/>
    <row r="321" s="1373" customFormat="1" customHeight="1"/>
    <row r="322" s="1373" customFormat="1" customHeight="1"/>
    <row r="323" s="1373" customFormat="1" customHeight="1"/>
    <row r="324" s="1373" customFormat="1" customHeight="1"/>
    <row r="325" s="1373" customFormat="1" customHeight="1"/>
    <row r="326" s="1373" customFormat="1" customHeight="1"/>
    <row r="327" s="1373" customFormat="1" customHeight="1"/>
    <row r="328" s="1373" customFormat="1" customHeight="1"/>
    <row r="329" s="1373" customFormat="1" customHeight="1"/>
    <row r="330" s="1373" customFormat="1" customHeight="1"/>
    <row r="331" s="1373" customFormat="1" customHeight="1"/>
    <row r="332" s="1373" customFormat="1" customHeight="1"/>
    <row r="333" s="1373" customFormat="1" customHeight="1"/>
    <row r="334" s="1373" customFormat="1" customHeight="1"/>
    <row r="335" s="1373" customFormat="1" customHeight="1"/>
    <row r="336" s="1373" customFormat="1" customHeight="1"/>
    <row r="337" s="1373" customFormat="1" customHeight="1"/>
    <row r="338" s="1373" customFormat="1" customHeight="1"/>
    <row r="339" s="1373" customFormat="1" customHeight="1"/>
    <row r="340" s="1373" customFormat="1" customHeight="1"/>
    <row r="341" s="1373" customFormat="1" customHeight="1"/>
    <row r="342" s="1373" customFormat="1" customHeight="1"/>
    <row r="343" s="1373" customFormat="1" customHeight="1"/>
    <row r="344" s="1373" customFormat="1" customHeight="1"/>
    <row r="345" s="1373" customFormat="1" customHeight="1"/>
    <row r="346" s="1373" customFormat="1" customHeight="1"/>
    <row r="347" s="1373" customFormat="1" customHeight="1"/>
    <row r="348" s="1373" customFormat="1" customHeight="1"/>
    <row r="349" s="1373" customFormat="1" customHeight="1"/>
    <row r="350" s="1373" customFormat="1" customHeight="1"/>
    <row r="351" s="1373" customFormat="1" customHeight="1"/>
    <row r="352" s="1373" customFormat="1" customHeight="1"/>
    <row r="353" s="1373" customFormat="1" customHeight="1"/>
    <row r="354" s="1373" customFormat="1" customHeight="1"/>
    <row r="355" s="1373" customFormat="1" customHeight="1"/>
    <row r="356" s="1373" customFormat="1" customHeight="1"/>
    <row r="357" s="1373" customFormat="1" customHeight="1"/>
    <row r="358" s="1373" customFormat="1" customHeight="1"/>
    <row r="359" s="1373" customFormat="1" customHeight="1"/>
    <row r="360" s="1373" customFormat="1" customHeight="1"/>
    <row r="361" s="1373" customFormat="1" customHeight="1"/>
    <row r="362" s="1373" customFormat="1" customHeight="1"/>
    <row r="363" s="1373" customFormat="1" customHeight="1"/>
    <row r="364" s="1373" customFormat="1" customHeight="1"/>
    <row r="365" s="1373" customFormat="1" customHeight="1"/>
    <row r="366" s="1373" customFormat="1" customHeight="1"/>
    <row r="367" s="1373" customFormat="1" customHeight="1"/>
    <row r="368" s="1373" customFormat="1" customHeight="1"/>
    <row r="369" s="1373" customFormat="1" customHeight="1"/>
    <row r="370" s="1373" customFormat="1" customHeight="1"/>
    <row r="371" s="1373" customFormat="1" customHeight="1"/>
    <row r="372" s="1373" customFormat="1" customHeight="1"/>
    <row r="373" s="1373" customFormat="1" customHeight="1"/>
    <row r="374" s="1373" customFormat="1" customHeight="1"/>
    <row r="375" s="1373" customFormat="1" customHeight="1"/>
    <row r="376" s="1373" customFormat="1" customHeight="1"/>
    <row r="377" s="1373" customFormat="1" customHeight="1"/>
    <row r="378" s="1373" customFormat="1" customHeight="1"/>
    <row r="379" s="1373" customFormat="1" customHeight="1"/>
    <row r="380" s="1373" customFormat="1" customHeight="1"/>
    <row r="381" s="1373" customFormat="1" customHeight="1"/>
    <row r="382" s="1373" customFormat="1" customHeight="1"/>
    <row r="383" s="1373" customFormat="1" customHeight="1"/>
    <row r="384" s="1373" customFormat="1" customHeight="1"/>
    <row r="385" s="1373" customFormat="1" customHeight="1"/>
    <row r="386" s="1373" customFormat="1" customHeight="1"/>
    <row r="387" s="1373" customFormat="1" customHeight="1"/>
    <row r="388" s="1373" customFormat="1" customHeight="1"/>
    <row r="389" s="1373" customFormat="1" customHeight="1"/>
    <row r="390" s="1373" customFormat="1" customHeight="1"/>
    <row r="391" s="1373" customFormat="1" customHeight="1"/>
    <row r="392" s="1373" customFormat="1" customHeight="1"/>
    <row r="393" s="1373" customFormat="1" customHeight="1"/>
    <row r="394" s="1373" customFormat="1" customHeight="1"/>
    <row r="395" s="1373" customFormat="1" customHeight="1"/>
    <row r="396" s="1373" customFormat="1" customHeight="1"/>
    <row r="397" s="1373" customFormat="1" customHeight="1"/>
    <row r="398" s="1373" customFormat="1" customHeight="1"/>
    <row r="399" s="1373" customFormat="1" customHeight="1"/>
    <row r="400" s="1373" customFormat="1" customHeight="1"/>
    <row r="401" s="1373" customFormat="1" customHeight="1"/>
    <row r="402" s="1373" customFormat="1" customHeight="1"/>
    <row r="403" s="1373" customFormat="1" customHeight="1"/>
    <row r="404" s="1373" customFormat="1" customHeight="1"/>
    <row r="405" s="1373" customFormat="1" customHeight="1"/>
    <row r="406" s="1373" customFormat="1" customHeight="1"/>
    <row r="407" s="1373" customFormat="1" customHeight="1"/>
    <row r="408" s="1373" customFormat="1" customHeight="1"/>
    <row r="409" s="2494" customFormat="1" customHeight="1" spans="10:26">
      <c r="J409" s="1373"/>
      <c r="K409" s="1373"/>
      <c r="L409" s="1373"/>
      <c r="M409" s="1373"/>
      <c r="N409" s="1373"/>
      <c r="O409" s="1373"/>
      <c r="P409" s="1373"/>
      <c r="Q409" s="1373"/>
      <c r="R409" s="1373"/>
      <c r="S409" s="1373"/>
      <c r="T409" s="1373"/>
      <c r="U409" s="1373"/>
      <c r="V409" s="1373"/>
      <c r="W409" s="1373"/>
      <c r="X409" s="1373"/>
      <c r="Y409" s="1373"/>
      <c r="Z409" s="1373"/>
    </row>
    <row r="410" s="2494" customFormat="1" customHeight="1" spans="10:26">
      <c r="J410" s="1373"/>
      <c r="K410" s="1373"/>
      <c r="L410" s="1373"/>
      <c r="M410" s="1373"/>
      <c r="N410" s="1373"/>
      <c r="O410" s="1373"/>
      <c r="P410" s="1373"/>
      <c r="Q410" s="1373"/>
      <c r="R410" s="1373"/>
      <c r="S410" s="1373"/>
      <c r="T410" s="1373"/>
      <c r="U410" s="1373"/>
      <c r="V410" s="1373"/>
      <c r="W410" s="1373"/>
      <c r="X410" s="1373"/>
      <c r="Y410" s="1373"/>
      <c r="Z410" s="1373"/>
    </row>
    <row r="411" s="2494" customFormat="1" customHeight="1" spans="10:26">
      <c r="J411" s="1373"/>
      <c r="K411" s="1373"/>
      <c r="L411" s="1373"/>
      <c r="M411" s="1373"/>
      <c r="N411" s="1373"/>
      <c r="O411" s="1373"/>
      <c r="P411" s="1373"/>
      <c r="Q411" s="1373"/>
      <c r="R411" s="1373"/>
      <c r="S411" s="1373"/>
      <c r="T411" s="1373"/>
      <c r="U411" s="1373"/>
      <c r="V411" s="1373"/>
      <c r="W411" s="1373"/>
      <c r="X411" s="1373"/>
      <c r="Y411" s="1373"/>
      <c r="Z411" s="1373"/>
    </row>
    <row r="412" s="2494" customFormat="1" customHeight="1" spans="10:26">
      <c r="J412" s="1373"/>
      <c r="K412" s="1373"/>
      <c r="L412" s="1373"/>
      <c r="M412" s="1373"/>
      <c r="N412" s="1373"/>
      <c r="O412" s="1373"/>
      <c r="P412" s="1373"/>
      <c r="Q412" s="1373"/>
      <c r="R412" s="1373"/>
      <c r="S412" s="1373"/>
      <c r="T412" s="1373"/>
      <c r="U412" s="1373"/>
      <c r="V412" s="1373"/>
      <c r="W412" s="1373"/>
      <c r="X412" s="1373"/>
      <c r="Y412" s="1373"/>
      <c r="Z412" s="1373"/>
    </row>
    <row r="413" s="2494" customFormat="1" customHeight="1" spans="10:26">
      <c r="J413" s="1373"/>
      <c r="K413" s="1373"/>
      <c r="L413" s="1373"/>
      <c r="M413" s="1373"/>
      <c r="N413" s="1373"/>
      <c r="O413" s="1373"/>
      <c r="P413" s="1373"/>
      <c r="Q413" s="1373"/>
      <c r="R413" s="1373"/>
      <c r="S413" s="1373"/>
      <c r="T413" s="1373"/>
      <c r="U413" s="1373"/>
      <c r="V413" s="1373"/>
      <c r="W413" s="1373"/>
      <c r="X413" s="1373"/>
      <c r="Y413" s="1373"/>
      <c r="Z413" s="1373"/>
    </row>
    <row r="414" s="2494" customFormat="1" customHeight="1" spans="10:26">
      <c r="J414" s="1373"/>
      <c r="K414" s="1373"/>
      <c r="L414" s="1373"/>
      <c r="M414" s="1373"/>
      <c r="N414" s="1373"/>
      <c r="O414" s="1373"/>
      <c r="P414" s="1373"/>
      <c r="Q414" s="1373"/>
      <c r="R414" s="1373"/>
      <c r="S414" s="1373"/>
      <c r="T414" s="1373"/>
      <c r="U414" s="1373"/>
      <c r="V414" s="1373"/>
      <c r="W414" s="1373"/>
      <c r="X414" s="1373"/>
      <c r="Y414" s="1373"/>
      <c r="Z414" s="1373"/>
    </row>
    <row r="415" s="2494" customFormat="1" customHeight="1" spans="10:26">
      <c r="J415" s="1373"/>
      <c r="K415" s="1373"/>
      <c r="L415" s="1373"/>
      <c r="M415" s="1373"/>
      <c r="N415" s="1373"/>
      <c r="O415" s="1373"/>
      <c r="P415" s="1373"/>
      <c r="Q415" s="1373"/>
      <c r="R415" s="1373"/>
      <c r="S415" s="1373"/>
      <c r="T415" s="1373"/>
      <c r="U415" s="1373"/>
      <c r="V415" s="1373"/>
      <c r="W415" s="1373"/>
      <c r="X415" s="1373"/>
      <c r="Y415" s="1373"/>
      <c r="Z415" s="1373"/>
    </row>
    <row r="416" s="2494" customFormat="1" customHeight="1" spans="10:26">
      <c r="J416" s="1373"/>
      <c r="K416" s="1373"/>
      <c r="L416" s="1373"/>
      <c r="M416" s="1373"/>
      <c r="N416" s="1373"/>
      <c r="O416" s="1373"/>
      <c r="P416" s="1373"/>
      <c r="Q416" s="1373"/>
      <c r="R416" s="1373"/>
      <c r="S416" s="1373"/>
      <c r="T416" s="1373"/>
      <c r="U416" s="1373"/>
      <c r="V416" s="1373"/>
      <c r="W416" s="1373"/>
      <c r="X416" s="1373"/>
      <c r="Y416" s="1373"/>
      <c r="Z416" s="1373"/>
    </row>
    <row r="417" s="2494" customFormat="1" customHeight="1" spans="10:26">
      <c r="J417" s="1373"/>
      <c r="K417" s="1373"/>
      <c r="L417" s="1373"/>
      <c r="M417" s="1373"/>
      <c r="N417" s="1373"/>
      <c r="O417" s="1373"/>
      <c r="P417" s="1373"/>
      <c r="Q417" s="1373"/>
      <c r="R417" s="1373"/>
      <c r="S417" s="1373"/>
      <c r="T417" s="1373"/>
      <c r="U417" s="1373"/>
      <c r="V417" s="1373"/>
      <c r="W417" s="1373"/>
      <c r="X417" s="1373"/>
      <c r="Y417" s="1373"/>
      <c r="Z417" s="1373"/>
    </row>
    <row r="418" s="2494" customFormat="1" customHeight="1" spans="10:26">
      <c r="J418" s="1373"/>
      <c r="K418" s="1373"/>
      <c r="L418" s="1373"/>
      <c r="M418" s="1373"/>
      <c r="N418" s="1373"/>
      <c r="O418" s="1373"/>
      <c r="P418" s="1373"/>
      <c r="Q418" s="1373"/>
      <c r="R418" s="1373"/>
      <c r="S418" s="1373"/>
      <c r="T418" s="1373"/>
      <c r="U418" s="1373"/>
      <c r="V418" s="1373"/>
      <c r="W418" s="1373"/>
      <c r="X418" s="1373"/>
      <c r="Y418" s="1373"/>
      <c r="Z418" s="1373"/>
    </row>
    <row r="419" s="2494" customFormat="1" customHeight="1" spans="10:26">
      <c r="J419" s="1373"/>
      <c r="K419" s="1373"/>
      <c r="L419" s="1373"/>
      <c r="M419" s="1373"/>
      <c r="N419" s="1373"/>
      <c r="O419" s="1373"/>
      <c r="P419" s="1373"/>
      <c r="Q419" s="1373"/>
      <c r="R419" s="1373"/>
      <c r="S419" s="1373"/>
      <c r="T419" s="1373"/>
      <c r="U419" s="1373"/>
      <c r="V419" s="1373"/>
      <c r="W419" s="1373"/>
      <c r="X419" s="1373"/>
      <c r="Y419" s="1373"/>
      <c r="Z419" s="1373"/>
    </row>
    <row r="420" s="2494" customFormat="1" customHeight="1" spans="10:26">
      <c r="J420" s="1373"/>
      <c r="K420" s="1373"/>
      <c r="L420" s="1373"/>
      <c r="M420" s="1373"/>
      <c r="N420" s="1373"/>
      <c r="O420" s="1373"/>
      <c r="P420" s="1373"/>
      <c r="Q420" s="1373"/>
      <c r="R420" s="1373"/>
      <c r="S420" s="1373"/>
      <c r="T420" s="1373"/>
      <c r="U420" s="1373"/>
      <c r="V420" s="1373"/>
      <c r="W420" s="1373"/>
      <c r="X420" s="1373"/>
      <c r="Y420" s="1373"/>
      <c r="Z420" s="1373"/>
    </row>
    <row r="421" s="2494" customFormat="1" customHeight="1" spans="10:26">
      <c r="J421" s="1373"/>
      <c r="K421" s="1373"/>
      <c r="L421" s="1373"/>
      <c r="M421" s="1373"/>
      <c r="N421" s="1373"/>
      <c r="O421" s="1373"/>
      <c r="P421" s="1373"/>
      <c r="Q421" s="1373"/>
      <c r="R421" s="1373"/>
      <c r="S421" s="1373"/>
      <c r="T421" s="1373"/>
      <c r="U421" s="1373"/>
      <c r="V421" s="1373"/>
      <c r="W421" s="1373"/>
      <c r="X421" s="1373"/>
      <c r="Y421" s="1373"/>
      <c r="Z421" s="1373"/>
    </row>
    <row r="422" s="2494" customFormat="1" customHeight="1" spans="10:26">
      <c r="J422" s="1373"/>
      <c r="K422" s="1373"/>
      <c r="L422" s="1373"/>
      <c r="M422" s="1373"/>
      <c r="N422" s="1373"/>
      <c r="O422" s="1373"/>
      <c r="P422" s="1373"/>
      <c r="Q422" s="1373"/>
      <c r="R422" s="1373"/>
      <c r="S422" s="1373"/>
      <c r="T422" s="1373"/>
      <c r="U422" s="1373"/>
      <c r="V422" s="1373"/>
      <c r="W422" s="1373"/>
      <c r="X422" s="1373"/>
      <c r="Y422" s="1373"/>
      <c r="Z422" s="1373"/>
    </row>
    <row r="423" s="2494" customFormat="1" customHeight="1" spans="10:26">
      <c r="J423" s="1373"/>
      <c r="K423" s="1373"/>
      <c r="L423" s="1373"/>
      <c r="M423" s="1373"/>
      <c r="N423" s="1373"/>
      <c r="O423" s="1373"/>
      <c r="P423" s="1373"/>
      <c r="Q423" s="1373"/>
      <c r="R423" s="1373"/>
      <c r="S423" s="1373"/>
      <c r="T423" s="1373"/>
      <c r="U423" s="1373"/>
      <c r="V423" s="1373"/>
      <c r="W423" s="1373"/>
      <c r="X423" s="1373"/>
      <c r="Y423" s="1373"/>
      <c r="Z423" s="1373"/>
    </row>
    <row r="424" s="2494" customFormat="1" customHeight="1" spans="10:26">
      <c r="J424" s="1373"/>
      <c r="K424" s="1373"/>
      <c r="L424" s="1373"/>
      <c r="M424" s="1373"/>
      <c r="N424" s="1373"/>
      <c r="O424" s="1373"/>
      <c r="P424" s="1373"/>
      <c r="Q424" s="1373"/>
      <c r="R424" s="1373"/>
      <c r="S424" s="1373"/>
      <c r="T424" s="1373"/>
      <c r="U424" s="1373"/>
      <c r="V424" s="1373"/>
      <c r="W424" s="1373"/>
      <c r="X424" s="1373"/>
      <c r="Y424" s="1373"/>
      <c r="Z424" s="1373"/>
    </row>
    <row r="425" s="2494" customFormat="1" customHeight="1" spans="10:26">
      <c r="J425" s="1373"/>
      <c r="K425" s="1373"/>
      <c r="L425" s="1373"/>
      <c r="M425" s="1373"/>
      <c r="N425" s="1373"/>
      <c r="O425" s="1373"/>
      <c r="P425" s="1373"/>
      <c r="Q425" s="1373"/>
      <c r="R425" s="1373"/>
      <c r="S425" s="1373"/>
      <c r="T425" s="1373"/>
      <c r="U425" s="1373"/>
      <c r="V425" s="1373"/>
      <c r="W425" s="1373"/>
      <c r="X425" s="1373"/>
      <c r="Y425" s="1373"/>
      <c r="Z425" s="1373"/>
    </row>
    <row r="426" s="2494" customFormat="1" customHeight="1" spans="10:26">
      <c r="J426" s="1373"/>
      <c r="K426" s="1373"/>
      <c r="L426" s="1373"/>
      <c r="M426" s="1373"/>
      <c r="N426" s="1373"/>
      <c r="O426" s="1373"/>
      <c r="P426" s="1373"/>
      <c r="Q426" s="1373"/>
      <c r="R426" s="1373"/>
      <c r="S426" s="1373"/>
      <c r="T426" s="1373"/>
      <c r="U426" s="1373"/>
      <c r="V426" s="1373"/>
      <c r="W426" s="1373"/>
      <c r="X426" s="1373"/>
      <c r="Y426" s="1373"/>
      <c r="Z426" s="1373"/>
    </row>
    <row r="427" s="2494" customFormat="1" customHeight="1" spans="10:26">
      <c r="J427" s="1373"/>
      <c r="K427" s="1373"/>
      <c r="L427" s="1373"/>
      <c r="M427" s="1373"/>
      <c r="N427" s="1373"/>
      <c r="O427" s="1373"/>
      <c r="P427" s="1373"/>
      <c r="Q427" s="1373"/>
      <c r="R427" s="1373"/>
      <c r="S427" s="1373"/>
      <c r="T427" s="1373"/>
      <c r="U427" s="1373"/>
      <c r="V427" s="1373"/>
      <c r="W427" s="1373"/>
      <c r="X427" s="1373"/>
      <c r="Y427" s="1373"/>
      <c r="Z427" s="1373"/>
    </row>
    <row r="428" s="2494" customFormat="1" customHeight="1" spans="10:26">
      <c r="J428" s="1373"/>
      <c r="K428" s="1373"/>
      <c r="L428" s="1373"/>
      <c r="M428" s="1373"/>
      <c r="N428" s="1373"/>
      <c r="O428" s="1373"/>
      <c r="P428" s="1373"/>
      <c r="Q428" s="1373"/>
      <c r="R428" s="1373"/>
      <c r="S428" s="1373"/>
      <c r="T428" s="1373"/>
      <c r="U428" s="1373"/>
      <c r="V428" s="1373"/>
      <c r="W428" s="1373"/>
      <c r="X428" s="1373"/>
      <c r="Y428" s="1373"/>
      <c r="Z428" s="1373"/>
    </row>
    <row r="429" s="2494" customFormat="1" customHeight="1" spans="10:26">
      <c r="J429" s="1373"/>
      <c r="K429" s="1373"/>
      <c r="L429" s="1373"/>
      <c r="M429" s="1373"/>
      <c r="N429" s="1373"/>
      <c r="O429" s="1373"/>
      <c r="P429" s="1373"/>
      <c r="Q429" s="1373"/>
      <c r="R429" s="1373"/>
      <c r="S429" s="1373"/>
      <c r="T429" s="1373"/>
      <c r="U429" s="1373"/>
      <c r="V429" s="1373"/>
      <c r="W429" s="1373"/>
      <c r="X429" s="1373"/>
      <c r="Y429" s="1373"/>
      <c r="Z429" s="1373"/>
    </row>
    <row r="430" s="2494" customFormat="1" customHeight="1" spans="10:26">
      <c r="J430" s="1373"/>
      <c r="K430" s="1373"/>
      <c r="L430" s="1373"/>
      <c r="M430" s="1373"/>
      <c r="N430" s="1373"/>
      <c r="O430" s="1373"/>
      <c r="P430" s="1373"/>
      <c r="Q430" s="1373"/>
      <c r="R430" s="1373"/>
      <c r="S430" s="1373"/>
      <c r="T430" s="1373"/>
      <c r="U430" s="1373"/>
      <c r="V430" s="1373"/>
      <c r="W430" s="1373"/>
      <c r="X430" s="1373"/>
      <c r="Y430" s="1373"/>
      <c r="Z430" s="1373"/>
    </row>
    <row r="431" s="2494" customFormat="1" customHeight="1" spans="10:26">
      <c r="J431" s="1373"/>
      <c r="K431" s="1373"/>
      <c r="L431" s="1373"/>
      <c r="M431" s="1373"/>
      <c r="N431" s="1373"/>
      <c r="O431" s="1373"/>
      <c r="P431" s="1373"/>
      <c r="Q431" s="1373"/>
      <c r="R431" s="1373"/>
      <c r="S431" s="1373"/>
      <c r="T431" s="1373"/>
      <c r="U431" s="1373"/>
      <c r="V431" s="1373"/>
      <c r="W431" s="1373"/>
      <c r="X431" s="1373"/>
      <c r="Y431" s="1373"/>
      <c r="Z431" s="1373"/>
    </row>
    <row r="432" s="2494" customFormat="1" customHeight="1" spans="10:26">
      <c r="J432" s="1373"/>
      <c r="K432" s="1373"/>
      <c r="L432" s="1373"/>
      <c r="M432" s="1373"/>
      <c r="N432" s="1373"/>
      <c r="O432" s="1373"/>
      <c r="P432" s="1373"/>
      <c r="Q432" s="1373"/>
      <c r="R432" s="1373"/>
      <c r="S432" s="1373"/>
      <c r="T432" s="1373"/>
      <c r="U432" s="1373"/>
      <c r="V432" s="1373"/>
      <c r="W432" s="1373"/>
      <c r="X432" s="1373"/>
      <c r="Y432" s="1373"/>
      <c r="Z432" s="1373"/>
    </row>
    <row r="433" s="2494" customFormat="1" customHeight="1" spans="10:26">
      <c r="J433" s="1373"/>
      <c r="K433" s="1373"/>
      <c r="L433" s="1373"/>
      <c r="M433" s="1373"/>
      <c r="N433" s="1373"/>
      <c r="O433" s="1373"/>
      <c r="P433" s="1373"/>
      <c r="Q433" s="1373"/>
      <c r="R433" s="1373"/>
      <c r="S433" s="1373"/>
      <c r="T433" s="1373"/>
      <c r="U433" s="1373"/>
      <c r="V433" s="1373"/>
      <c r="W433" s="1373"/>
      <c r="X433" s="1373"/>
      <c r="Y433" s="1373"/>
      <c r="Z433" s="1373"/>
    </row>
    <row r="434" s="2494" customFormat="1" customHeight="1" spans="10:26">
      <c r="J434" s="1373"/>
      <c r="K434" s="1373"/>
      <c r="L434" s="1373"/>
      <c r="M434" s="1373"/>
      <c r="N434" s="1373"/>
      <c r="O434" s="1373"/>
      <c r="P434" s="1373"/>
      <c r="Q434" s="1373"/>
      <c r="R434" s="1373"/>
      <c r="S434" s="1373"/>
      <c r="T434" s="1373"/>
      <c r="U434" s="1373"/>
      <c r="V434" s="1373"/>
      <c r="W434" s="1373"/>
      <c r="X434" s="1373"/>
      <c r="Y434" s="1373"/>
      <c r="Z434" s="1373"/>
    </row>
    <row r="435" s="2494" customFormat="1" customHeight="1" spans="10:26">
      <c r="J435" s="1373"/>
      <c r="K435" s="1373"/>
      <c r="L435" s="1373"/>
      <c r="M435" s="1373"/>
      <c r="N435" s="1373"/>
      <c r="O435" s="1373"/>
      <c r="P435" s="1373"/>
      <c r="Q435" s="1373"/>
      <c r="R435" s="1373"/>
      <c r="S435" s="1373"/>
      <c r="T435" s="1373"/>
      <c r="U435" s="1373"/>
      <c r="V435" s="1373"/>
      <c r="W435" s="1373"/>
      <c r="X435" s="1373"/>
      <c r="Y435" s="1373"/>
      <c r="Z435" s="1373"/>
    </row>
    <row r="436" s="2494" customFormat="1" customHeight="1" spans="10:26">
      <c r="J436" s="1373"/>
      <c r="K436" s="1373"/>
      <c r="L436" s="1373"/>
      <c r="M436" s="1373"/>
      <c r="N436" s="1373"/>
      <c r="O436" s="1373"/>
      <c r="P436" s="1373"/>
      <c r="Q436" s="1373"/>
      <c r="R436" s="1373"/>
      <c r="S436" s="1373"/>
      <c r="T436" s="1373"/>
      <c r="U436" s="1373"/>
      <c r="V436" s="1373"/>
      <c r="W436" s="1373"/>
      <c r="X436" s="1373"/>
      <c r="Y436" s="1373"/>
      <c r="Z436" s="1373"/>
    </row>
    <row r="437" s="2494" customFormat="1" customHeight="1" spans="10:26">
      <c r="J437" s="1373"/>
      <c r="K437" s="1373"/>
      <c r="L437" s="1373"/>
      <c r="M437" s="1373"/>
      <c r="N437" s="1373"/>
      <c r="O437" s="1373"/>
      <c r="P437" s="1373"/>
      <c r="Q437" s="1373"/>
      <c r="R437" s="1373"/>
      <c r="S437" s="1373"/>
      <c r="T437" s="1373"/>
      <c r="U437" s="1373"/>
      <c r="V437" s="1373"/>
      <c r="W437" s="1373"/>
      <c r="X437" s="1373"/>
      <c r="Y437" s="1373"/>
      <c r="Z437" s="1373"/>
    </row>
    <row r="438" s="2494" customFormat="1" customHeight="1" spans="10:26">
      <c r="J438" s="1373"/>
      <c r="K438" s="1373"/>
      <c r="L438" s="1373"/>
      <c r="M438" s="1373"/>
      <c r="N438" s="1373"/>
      <c r="O438" s="1373"/>
      <c r="P438" s="1373"/>
      <c r="Q438" s="1373"/>
      <c r="R438" s="1373"/>
      <c r="S438" s="1373"/>
      <c r="T438" s="1373"/>
      <c r="U438" s="1373"/>
      <c r="V438" s="1373"/>
      <c r="W438" s="1373"/>
      <c r="X438" s="1373"/>
      <c r="Y438" s="1373"/>
      <c r="Z438" s="1373"/>
    </row>
    <row r="439" s="2494" customFormat="1" customHeight="1" spans="10:26">
      <c r="J439" s="1373"/>
      <c r="K439" s="1373"/>
      <c r="L439" s="1373"/>
      <c r="M439" s="1373"/>
      <c r="N439" s="1373"/>
      <c r="O439" s="1373"/>
      <c r="P439" s="1373"/>
      <c r="Q439" s="1373"/>
      <c r="R439" s="1373"/>
      <c r="S439" s="1373"/>
      <c r="T439" s="1373"/>
      <c r="U439" s="1373"/>
      <c r="V439" s="1373"/>
      <c r="W439" s="1373"/>
      <c r="X439" s="1373"/>
      <c r="Y439" s="1373"/>
      <c r="Z439" s="1373"/>
    </row>
    <row r="440" s="2494" customFormat="1" customHeight="1" spans="10:26">
      <c r="J440" s="1373"/>
      <c r="K440" s="1373"/>
      <c r="L440" s="1373"/>
      <c r="M440" s="1373"/>
      <c r="N440" s="1373"/>
      <c r="O440" s="1373"/>
      <c r="P440" s="1373"/>
      <c r="Q440" s="1373"/>
      <c r="R440" s="1373"/>
      <c r="S440" s="1373"/>
      <c r="T440" s="1373"/>
      <c r="U440" s="1373"/>
      <c r="V440" s="1373"/>
      <c r="W440" s="1373"/>
      <c r="X440" s="1373"/>
      <c r="Y440" s="1373"/>
      <c r="Z440" s="1373"/>
    </row>
    <row r="441" s="2494" customFormat="1" customHeight="1" spans="10:26">
      <c r="J441" s="1373"/>
      <c r="K441" s="1373"/>
      <c r="L441" s="1373"/>
      <c r="M441" s="1373"/>
      <c r="N441" s="1373"/>
      <c r="O441" s="1373"/>
      <c r="P441" s="1373"/>
      <c r="Q441" s="1373"/>
      <c r="R441" s="1373"/>
      <c r="S441" s="1373"/>
      <c r="T441" s="1373"/>
      <c r="U441" s="1373"/>
      <c r="V441" s="1373"/>
      <c r="W441" s="1373"/>
      <c r="X441" s="1373"/>
      <c r="Y441" s="1373"/>
      <c r="Z441" s="1373"/>
    </row>
    <row r="442" s="2494" customFormat="1" customHeight="1" spans="10:26">
      <c r="J442" s="1373"/>
      <c r="K442" s="1373"/>
      <c r="L442" s="1373"/>
      <c r="M442" s="1373"/>
      <c r="N442" s="1373"/>
      <c r="O442" s="1373"/>
      <c r="P442" s="1373"/>
      <c r="Q442" s="1373"/>
      <c r="R442" s="1373"/>
      <c r="S442" s="1373"/>
      <c r="T442" s="1373"/>
      <c r="U442" s="1373"/>
      <c r="V442" s="1373"/>
      <c r="W442" s="1373"/>
      <c r="X442" s="1373"/>
      <c r="Y442" s="1373"/>
      <c r="Z442" s="1373"/>
    </row>
    <row r="443" s="2494" customFormat="1" customHeight="1" spans="10:26">
      <c r="J443" s="1373"/>
      <c r="K443" s="1373"/>
      <c r="L443" s="1373"/>
      <c r="M443" s="1373"/>
      <c r="N443" s="1373"/>
      <c r="O443" s="1373"/>
      <c r="P443" s="1373"/>
      <c r="Q443" s="1373"/>
      <c r="R443" s="1373"/>
      <c r="S443" s="1373"/>
      <c r="T443" s="1373"/>
      <c r="U443" s="1373"/>
      <c r="V443" s="1373"/>
      <c r="W443" s="1373"/>
      <c r="X443" s="1373"/>
      <c r="Y443" s="1373"/>
      <c r="Z443" s="1373"/>
    </row>
    <row r="444" s="2494" customFormat="1" customHeight="1" spans="10:26">
      <c r="J444" s="1373"/>
      <c r="K444" s="1373"/>
      <c r="L444" s="1373"/>
      <c r="M444" s="1373"/>
      <c r="N444" s="1373"/>
      <c r="O444" s="1373"/>
      <c r="P444" s="1373"/>
      <c r="Q444" s="1373"/>
      <c r="R444" s="1373"/>
      <c r="S444" s="1373"/>
      <c r="T444" s="1373"/>
      <c r="U444" s="1373"/>
      <c r="V444" s="1373"/>
      <c r="W444" s="1373"/>
      <c r="X444" s="1373"/>
      <c r="Y444" s="1373"/>
      <c r="Z444" s="1373"/>
    </row>
    <row r="445" s="2494" customFormat="1" customHeight="1" spans="10:26">
      <c r="J445" s="1373"/>
      <c r="K445" s="1373"/>
      <c r="L445" s="1373"/>
      <c r="M445" s="1373"/>
      <c r="N445" s="1373"/>
      <c r="O445" s="1373"/>
      <c r="P445" s="1373"/>
      <c r="Q445" s="1373"/>
      <c r="R445" s="1373"/>
      <c r="S445" s="1373"/>
      <c r="T445" s="1373"/>
      <c r="U445" s="1373"/>
      <c r="V445" s="1373"/>
      <c r="W445" s="1373"/>
      <c r="X445" s="1373"/>
      <c r="Y445" s="1373"/>
      <c r="Z445" s="1373"/>
    </row>
    <row r="446" s="2494" customFormat="1" customHeight="1" spans="10:26">
      <c r="J446" s="1373"/>
      <c r="K446" s="1373"/>
      <c r="L446" s="1373"/>
      <c r="M446" s="1373"/>
      <c r="N446" s="1373"/>
      <c r="O446" s="1373"/>
      <c r="P446" s="1373"/>
      <c r="Q446" s="1373"/>
      <c r="R446" s="1373"/>
      <c r="S446" s="1373"/>
      <c r="T446" s="1373"/>
      <c r="U446" s="1373"/>
      <c r="V446" s="1373"/>
      <c r="W446" s="1373"/>
      <c r="X446" s="1373"/>
      <c r="Y446" s="1373"/>
      <c r="Z446" s="1373"/>
    </row>
    <row r="447" s="2494" customFormat="1" customHeight="1" spans="10:26">
      <c r="J447" s="1373"/>
      <c r="K447" s="1373"/>
      <c r="L447" s="1373"/>
      <c r="M447" s="1373"/>
      <c r="N447" s="1373"/>
      <c r="O447" s="1373"/>
      <c r="P447" s="1373"/>
      <c r="Q447" s="1373"/>
      <c r="R447" s="1373"/>
      <c r="S447" s="1373"/>
      <c r="T447" s="1373"/>
      <c r="U447" s="1373"/>
      <c r="V447" s="1373"/>
      <c r="W447" s="1373"/>
      <c r="X447" s="1373"/>
      <c r="Y447" s="1373"/>
      <c r="Z447" s="1373"/>
    </row>
    <row r="448" s="2494" customFormat="1" customHeight="1" spans="10:26">
      <c r="J448" s="1373"/>
      <c r="K448" s="1373"/>
      <c r="L448" s="1373"/>
      <c r="M448" s="1373"/>
      <c r="N448" s="1373"/>
      <c r="O448" s="1373"/>
      <c r="P448" s="1373"/>
      <c r="Q448" s="1373"/>
      <c r="R448" s="1373"/>
      <c r="S448" s="1373"/>
      <c r="T448" s="1373"/>
      <c r="U448" s="1373"/>
      <c r="V448" s="1373"/>
      <c r="W448" s="1373"/>
      <c r="X448" s="1373"/>
      <c r="Y448" s="1373"/>
      <c r="Z448" s="1373"/>
    </row>
    <row r="449" s="2494" customFormat="1" customHeight="1" spans="10:26">
      <c r="J449" s="1373"/>
      <c r="K449" s="1373"/>
      <c r="L449" s="1373"/>
      <c r="M449" s="1373"/>
      <c r="N449" s="1373"/>
      <c r="O449" s="1373"/>
      <c r="P449" s="1373"/>
      <c r="Q449" s="1373"/>
      <c r="R449" s="1373"/>
      <c r="S449" s="1373"/>
      <c r="T449" s="1373"/>
      <c r="U449" s="1373"/>
      <c r="V449" s="1373"/>
      <c r="W449" s="1373"/>
      <c r="X449" s="1373"/>
      <c r="Y449" s="1373"/>
      <c r="Z449" s="1373"/>
    </row>
    <row r="450" s="2494" customFormat="1" customHeight="1" spans="10:26">
      <c r="J450" s="1373"/>
      <c r="K450" s="1373"/>
      <c r="L450" s="1373"/>
      <c r="M450" s="1373"/>
      <c r="N450" s="1373"/>
      <c r="O450" s="1373"/>
      <c r="P450" s="1373"/>
      <c r="Q450" s="1373"/>
      <c r="R450" s="1373"/>
      <c r="S450" s="1373"/>
      <c r="T450" s="1373"/>
      <c r="U450" s="1373"/>
      <c r="V450" s="1373"/>
      <c r="W450" s="1373"/>
      <c r="X450" s="1373"/>
      <c r="Y450" s="1373"/>
      <c r="Z450" s="1373"/>
    </row>
    <row r="451" s="2494" customFormat="1" customHeight="1" spans="10:26">
      <c r="J451" s="1373"/>
      <c r="K451" s="1373"/>
      <c r="L451" s="1373"/>
      <c r="M451" s="1373"/>
      <c r="N451" s="1373"/>
      <c r="O451" s="1373"/>
      <c r="P451" s="1373"/>
      <c r="Q451" s="1373"/>
      <c r="R451" s="1373"/>
      <c r="S451" s="1373"/>
      <c r="T451" s="1373"/>
      <c r="U451" s="1373"/>
      <c r="V451" s="1373"/>
      <c r="W451" s="1373"/>
      <c r="X451" s="1373"/>
      <c r="Y451" s="1373"/>
      <c r="Z451" s="1373"/>
    </row>
    <row r="452" s="2494" customFormat="1" customHeight="1" spans="10:26">
      <c r="J452" s="1373"/>
      <c r="K452" s="1373"/>
      <c r="L452" s="1373"/>
      <c r="M452" s="1373"/>
      <c r="N452" s="1373"/>
      <c r="O452" s="1373"/>
      <c r="P452" s="1373"/>
      <c r="Q452" s="1373"/>
      <c r="R452" s="1373"/>
      <c r="S452" s="1373"/>
      <c r="T452" s="1373"/>
      <c r="U452" s="1373"/>
      <c r="V452" s="1373"/>
      <c r="W452" s="1373"/>
      <c r="X452" s="1373"/>
      <c r="Y452" s="1373"/>
      <c r="Z452" s="1373"/>
    </row>
    <row r="453" s="2494" customFormat="1" customHeight="1" spans="10:26">
      <c r="J453" s="1373"/>
      <c r="K453" s="1373"/>
      <c r="L453" s="1373"/>
      <c r="M453" s="1373"/>
      <c r="N453" s="1373"/>
      <c r="O453" s="1373"/>
      <c r="P453" s="1373"/>
      <c r="Q453" s="1373"/>
      <c r="R453" s="1373"/>
      <c r="S453" s="1373"/>
      <c r="T453" s="1373"/>
      <c r="U453" s="1373"/>
      <c r="V453" s="1373"/>
      <c r="W453" s="1373"/>
      <c r="X453" s="1373"/>
      <c r="Y453" s="1373"/>
      <c r="Z453" s="1373"/>
    </row>
    <row r="454" s="2494" customFormat="1" customHeight="1" spans="10:26">
      <c r="J454" s="1373"/>
      <c r="K454" s="1373"/>
      <c r="L454" s="1373"/>
      <c r="M454" s="1373"/>
      <c r="N454" s="1373"/>
      <c r="O454" s="1373"/>
      <c r="P454" s="1373"/>
      <c r="Q454" s="1373"/>
      <c r="R454" s="1373"/>
      <c r="S454" s="1373"/>
      <c r="T454" s="1373"/>
      <c r="U454" s="1373"/>
      <c r="V454" s="1373"/>
      <c r="W454" s="1373"/>
      <c r="X454" s="1373"/>
      <c r="Y454" s="1373"/>
      <c r="Z454" s="1373"/>
    </row>
    <row r="455" s="2494" customFormat="1" customHeight="1" spans="10:26">
      <c r="J455" s="1373"/>
      <c r="K455" s="1373"/>
      <c r="L455" s="1373"/>
      <c r="M455" s="1373"/>
      <c r="N455" s="1373"/>
      <c r="O455" s="1373"/>
      <c r="P455" s="1373"/>
      <c r="Q455" s="1373"/>
      <c r="R455" s="1373"/>
      <c r="S455" s="1373"/>
      <c r="T455" s="1373"/>
      <c r="U455" s="1373"/>
      <c r="V455" s="1373"/>
      <c r="W455" s="1373"/>
      <c r="X455" s="1373"/>
      <c r="Y455" s="1373"/>
      <c r="Z455" s="1373"/>
    </row>
    <row r="456" s="2494" customFormat="1" customHeight="1" spans="10:26">
      <c r="J456" s="1373"/>
      <c r="K456" s="1373"/>
      <c r="L456" s="1373"/>
      <c r="M456" s="1373"/>
      <c r="N456" s="1373"/>
      <c r="O456" s="1373"/>
      <c r="P456" s="1373"/>
      <c r="Q456" s="1373"/>
      <c r="R456" s="1373"/>
      <c r="S456" s="1373"/>
      <c r="T456" s="1373"/>
      <c r="U456" s="1373"/>
      <c r="V456" s="1373"/>
      <c r="W456" s="1373"/>
      <c r="X456" s="1373"/>
      <c r="Y456" s="1373"/>
      <c r="Z456" s="1373"/>
    </row>
    <row r="457" s="2494" customFormat="1" customHeight="1" spans="10:26">
      <c r="J457" s="1373"/>
      <c r="K457" s="1373"/>
      <c r="L457" s="1373"/>
      <c r="M457" s="1373"/>
      <c r="N457" s="1373"/>
      <c r="O457" s="1373"/>
      <c r="P457" s="1373"/>
      <c r="Q457" s="1373"/>
      <c r="R457" s="1373"/>
      <c r="S457" s="1373"/>
      <c r="T457" s="1373"/>
      <c r="U457" s="1373"/>
      <c r="V457" s="1373"/>
      <c r="W457" s="1373"/>
      <c r="X457" s="1373"/>
      <c r="Y457" s="1373"/>
      <c r="Z457" s="1373"/>
    </row>
    <row r="458" s="2494" customFormat="1" customHeight="1" spans="10:26">
      <c r="J458" s="1373"/>
      <c r="K458" s="1373"/>
      <c r="L458" s="1373"/>
      <c r="M458" s="1373"/>
      <c r="N458" s="1373"/>
      <c r="O458" s="1373"/>
      <c r="P458" s="1373"/>
      <c r="Q458" s="1373"/>
      <c r="R458" s="1373"/>
      <c r="S458" s="1373"/>
      <c r="T458" s="1373"/>
      <c r="U458" s="1373"/>
      <c r="V458" s="1373"/>
      <c r="W458" s="1373"/>
      <c r="X458" s="1373"/>
      <c r="Y458" s="1373"/>
      <c r="Z458" s="1373"/>
    </row>
    <row r="459" s="2494" customFormat="1" customHeight="1" spans="10:26">
      <c r="J459" s="1373"/>
      <c r="K459" s="1373"/>
      <c r="L459" s="1373"/>
      <c r="M459" s="1373"/>
      <c r="N459" s="1373"/>
      <c r="O459" s="1373"/>
      <c r="P459" s="1373"/>
      <c r="Q459" s="1373"/>
      <c r="R459" s="1373"/>
      <c r="S459" s="1373"/>
      <c r="T459" s="1373"/>
      <c r="U459" s="1373"/>
      <c r="V459" s="1373"/>
      <c r="W459" s="1373"/>
      <c r="X459" s="1373"/>
      <c r="Y459" s="1373"/>
      <c r="Z459" s="1373"/>
    </row>
    <row r="460" s="2494" customFormat="1" customHeight="1" spans="10:26">
      <c r="J460" s="1373"/>
      <c r="K460" s="1373"/>
      <c r="L460" s="1373"/>
      <c r="M460" s="1373"/>
      <c r="N460" s="1373"/>
      <c r="O460" s="1373"/>
      <c r="P460" s="1373"/>
      <c r="Q460" s="1373"/>
      <c r="R460" s="1373"/>
      <c r="S460" s="1373"/>
      <c r="T460" s="1373"/>
      <c r="U460" s="1373"/>
      <c r="V460" s="1373"/>
      <c r="W460" s="1373"/>
      <c r="X460" s="1373"/>
      <c r="Y460" s="1373"/>
      <c r="Z460" s="1373"/>
    </row>
    <row r="461" s="2494" customFormat="1" customHeight="1" spans="10:26">
      <c r="J461" s="1373"/>
      <c r="K461" s="1373"/>
      <c r="L461" s="1373"/>
      <c r="M461" s="1373"/>
      <c r="N461" s="1373"/>
      <c r="O461" s="1373"/>
      <c r="P461" s="1373"/>
      <c r="Q461" s="1373"/>
      <c r="R461" s="1373"/>
      <c r="S461" s="1373"/>
      <c r="T461" s="1373"/>
      <c r="U461" s="1373"/>
      <c r="V461" s="1373"/>
      <c r="W461" s="1373"/>
      <c r="X461" s="1373"/>
      <c r="Y461" s="1373"/>
      <c r="Z461" s="1373"/>
    </row>
    <row r="462" s="2494" customFormat="1" customHeight="1" spans="10:26">
      <c r="J462" s="1373"/>
      <c r="K462" s="1373"/>
      <c r="L462" s="1373"/>
      <c r="M462" s="1373"/>
      <c r="N462" s="1373"/>
      <c r="O462" s="1373"/>
      <c r="P462" s="1373"/>
      <c r="Q462" s="1373"/>
      <c r="R462" s="1373"/>
      <c r="S462" s="1373"/>
      <c r="T462" s="1373"/>
      <c r="U462" s="1373"/>
      <c r="V462" s="1373"/>
      <c r="W462" s="1373"/>
      <c r="X462" s="1373"/>
      <c r="Y462" s="1373"/>
      <c r="Z462" s="1373"/>
    </row>
    <row r="463" s="2494" customFormat="1" customHeight="1" spans="10:26">
      <c r="J463" s="1373"/>
      <c r="K463" s="1373"/>
      <c r="L463" s="1373"/>
      <c r="M463" s="1373"/>
      <c r="N463" s="1373"/>
      <c r="O463" s="1373"/>
      <c r="P463" s="1373"/>
      <c r="Q463" s="1373"/>
      <c r="R463" s="1373"/>
      <c r="S463" s="1373"/>
      <c r="T463" s="1373"/>
      <c r="U463" s="1373"/>
      <c r="V463" s="1373"/>
      <c r="W463" s="1373"/>
      <c r="X463" s="1373"/>
      <c r="Y463" s="1373"/>
      <c r="Z463" s="1373"/>
    </row>
    <row r="464" s="2494" customFormat="1" customHeight="1" spans="10:26">
      <c r="J464" s="1373"/>
      <c r="K464" s="1373"/>
      <c r="L464" s="1373"/>
      <c r="M464" s="1373"/>
      <c r="N464" s="1373"/>
      <c r="O464" s="1373"/>
      <c r="P464" s="1373"/>
      <c r="Q464" s="1373"/>
      <c r="R464" s="1373"/>
      <c r="S464" s="1373"/>
      <c r="T464" s="1373"/>
      <c r="U464" s="1373"/>
      <c r="V464" s="1373"/>
      <c r="W464" s="1373"/>
      <c r="X464" s="1373"/>
      <c r="Y464" s="1373"/>
      <c r="Z464" s="1373"/>
    </row>
    <row r="465" s="2494" customFormat="1" customHeight="1" spans="10:26">
      <c r="J465" s="1373"/>
      <c r="K465" s="1373"/>
      <c r="L465" s="1373"/>
      <c r="M465" s="1373"/>
      <c r="N465" s="1373"/>
      <c r="O465" s="1373"/>
      <c r="P465" s="1373"/>
      <c r="Q465" s="1373"/>
      <c r="R465" s="1373"/>
      <c r="S465" s="1373"/>
      <c r="T465" s="1373"/>
      <c r="U465" s="1373"/>
      <c r="V465" s="1373"/>
      <c r="W465" s="1373"/>
      <c r="X465" s="1373"/>
      <c r="Y465" s="1373"/>
      <c r="Z465" s="1373"/>
    </row>
    <row r="466" s="2494" customFormat="1" customHeight="1" spans="10:26">
      <c r="J466" s="1373"/>
      <c r="K466" s="1373"/>
      <c r="L466" s="1373"/>
      <c r="M466" s="1373"/>
      <c r="N466" s="1373"/>
      <c r="O466" s="1373"/>
      <c r="P466" s="1373"/>
      <c r="Q466" s="1373"/>
      <c r="R466" s="1373"/>
      <c r="S466" s="1373"/>
      <c r="T466" s="1373"/>
      <c r="U466" s="1373"/>
      <c r="V466" s="1373"/>
      <c r="W466" s="1373"/>
      <c r="X466" s="1373"/>
      <c r="Y466" s="1373"/>
      <c r="Z466" s="1373"/>
    </row>
    <row r="467" s="2494" customFormat="1" customHeight="1" spans="10:26">
      <c r="J467" s="1373"/>
      <c r="K467" s="1373"/>
      <c r="L467" s="1373"/>
      <c r="M467" s="1373"/>
      <c r="N467" s="1373"/>
      <c r="O467" s="1373"/>
      <c r="P467" s="1373"/>
      <c r="Q467" s="1373"/>
      <c r="R467" s="1373"/>
      <c r="S467" s="1373"/>
      <c r="T467" s="1373"/>
      <c r="U467" s="1373"/>
      <c r="V467" s="1373"/>
      <c r="W467" s="1373"/>
      <c r="X467" s="1373"/>
      <c r="Y467" s="1373"/>
      <c r="Z467" s="1373"/>
    </row>
    <row r="468" s="2494" customFormat="1" customHeight="1" spans="10:26">
      <c r="J468" s="1373"/>
      <c r="K468" s="1373"/>
      <c r="L468" s="1373"/>
      <c r="M468" s="1373"/>
      <c r="N468" s="1373"/>
      <c r="O468" s="1373"/>
      <c r="P468" s="1373"/>
      <c r="Q468" s="1373"/>
      <c r="R468" s="1373"/>
      <c r="S468" s="1373"/>
      <c r="T468" s="1373"/>
      <c r="U468" s="1373"/>
      <c r="V468" s="1373"/>
      <c r="W468" s="1373"/>
      <c r="X468" s="1373"/>
      <c r="Y468" s="1373"/>
      <c r="Z468" s="1373"/>
    </row>
    <row r="469" s="2494" customFormat="1" customHeight="1" spans="10:26">
      <c r="J469" s="1373"/>
      <c r="K469" s="1373"/>
      <c r="L469" s="1373"/>
      <c r="M469" s="1373"/>
      <c r="N469" s="1373"/>
      <c r="O469" s="1373"/>
      <c r="P469" s="1373"/>
      <c r="Q469" s="1373"/>
      <c r="R469" s="1373"/>
      <c r="S469" s="1373"/>
      <c r="T469" s="1373"/>
      <c r="U469" s="1373"/>
      <c r="V469" s="1373"/>
      <c r="W469" s="1373"/>
      <c r="X469" s="1373"/>
      <c r="Y469" s="1373"/>
      <c r="Z469" s="1373"/>
    </row>
    <row r="470" s="2494" customFormat="1" customHeight="1" spans="10:26">
      <c r="J470" s="1373"/>
      <c r="K470" s="1373"/>
      <c r="L470" s="1373"/>
      <c r="M470" s="1373"/>
      <c r="N470" s="1373"/>
      <c r="O470" s="1373"/>
      <c r="P470" s="1373"/>
      <c r="Q470" s="1373"/>
      <c r="R470" s="1373"/>
      <c r="S470" s="1373"/>
      <c r="T470" s="1373"/>
      <c r="U470" s="1373"/>
      <c r="V470" s="1373"/>
      <c r="W470" s="1373"/>
      <c r="X470" s="1373"/>
      <c r="Y470" s="1373"/>
      <c r="Z470" s="1373"/>
    </row>
    <row r="471" s="2494" customFormat="1" customHeight="1" spans="10:26">
      <c r="J471" s="1373"/>
      <c r="K471" s="1373"/>
      <c r="L471" s="1373"/>
      <c r="M471" s="1373"/>
      <c r="N471" s="1373"/>
      <c r="O471" s="1373"/>
      <c r="P471" s="1373"/>
      <c r="Q471" s="1373"/>
      <c r="R471" s="1373"/>
      <c r="S471" s="1373"/>
      <c r="T471" s="1373"/>
      <c r="U471" s="1373"/>
      <c r="V471" s="1373"/>
      <c r="W471" s="1373"/>
      <c r="X471" s="1373"/>
      <c r="Y471" s="1373"/>
      <c r="Z471" s="1373"/>
    </row>
    <row r="472" s="2494" customFormat="1" customHeight="1" spans="10:26">
      <c r="J472" s="1373"/>
      <c r="K472" s="1373"/>
      <c r="L472" s="1373"/>
      <c r="M472" s="1373"/>
      <c r="N472" s="1373"/>
      <c r="O472" s="1373"/>
      <c r="P472" s="1373"/>
      <c r="Q472" s="1373"/>
      <c r="R472" s="1373"/>
      <c r="S472" s="1373"/>
      <c r="T472" s="1373"/>
      <c r="U472" s="1373"/>
      <c r="V472" s="1373"/>
      <c r="W472" s="1373"/>
      <c r="X472" s="1373"/>
      <c r="Y472" s="1373"/>
      <c r="Z472" s="1373"/>
    </row>
    <row r="473" s="2494" customFormat="1" customHeight="1" spans="10:26">
      <c r="J473" s="1373"/>
      <c r="K473" s="1373"/>
      <c r="L473" s="1373"/>
      <c r="M473" s="1373"/>
      <c r="N473" s="1373"/>
      <c r="O473" s="1373"/>
      <c r="P473" s="1373"/>
      <c r="Q473" s="1373"/>
      <c r="R473" s="1373"/>
      <c r="S473" s="1373"/>
      <c r="T473" s="1373"/>
      <c r="U473" s="1373"/>
      <c r="V473" s="1373"/>
      <c r="W473" s="1373"/>
      <c r="X473" s="1373"/>
      <c r="Y473" s="1373"/>
      <c r="Z473" s="1373"/>
    </row>
    <row r="474" s="2494" customFormat="1" customHeight="1" spans="10:26">
      <c r="J474" s="1373"/>
      <c r="K474" s="1373"/>
      <c r="L474" s="1373"/>
      <c r="M474" s="1373"/>
      <c r="N474" s="1373"/>
      <c r="O474" s="1373"/>
      <c r="P474" s="1373"/>
      <c r="Q474" s="1373"/>
      <c r="R474" s="1373"/>
      <c r="S474" s="1373"/>
      <c r="T474" s="1373"/>
      <c r="U474" s="1373"/>
      <c r="V474" s="1373"/>
      <c r="W474" s="1373"/>
      <c r="X474" s="1373"/>
      <c r="Y474" s="1373"/>
      <c r="Z474" s="1373"/>
    </row>
    <row r="475" s="2494" customFormat="1" customHeight="1" spans="10:26">
      <c r="J475" s="1373"/>
      <c r="K475" s="1373"/>
      <c r="L475" s="1373"/>
      <c r="M475" s="1373"/>
      <c r="N475" s="1373"/>
      <c r="O475" s="1373"/>
      <c r="P475" s="1373"/>
      <c r="Q475" s="1373"/>
      <c r="R475" s="1373"/>
      <c r="S475" s="1373"/>
      <c r="T475" s="1373"/>
      <c r="U475" s="1373"/>
      <c r="V475" s="1373"/>
      <c r="W475" s="1373"/>
      <c r="X475" s="1373"/>
      <c r="Y475" s="1373"/>
      <c r="Z475" s="1373"/>
    </row>
    <row r="476" s="2494" customFormat="1" customHeight="1" spans="10:26">
      <c r="J476" s="1373"/>
      <c r="K476" s="1373"/>
      <c r="L476" s="1373"/>
      <c r="M476" s="1373"/>
      <c r="N476" s="1373"/>
      <c r="O476" s="1373"/>
      <c r="P476" s="1373"/>
      <c r="Q476" s="1373"/>
      <c r="R476" s="1373"/>
      <c r="S476" s="1373"/>
      <c r="T476" s="1373"/>
      <c r="U476" s="1373"/>
      <c r="V476" s="1373"/>
      <c r="W476" s="1373"/>
      <c r="X476" s="1373"/>
      <c r="Y476" s="1373"/>
      <c r="Z476" s="1373"/>
    </row>
    <row r="477" s="2494" customFormat="1" customHeight="1" spans="10:26">
      <c r="J477" s="1373"/>
      <c r="K477" s="1373"/>
      <c r="L477" s="1373"/>
      <c r="M477" s="1373"/>
      <c r="N477" s="1373"/>
      <c r="O477" s="1373"/>
      <c r="P477" s="1373"/>
      <c r="Q477" s="1373"/>
      <c r="R477" s="1373"/>
      <c r="S477" s="1373"/>
      <c r="T477" s="1373"/>
      <c r="U477" s="1373"/>
      <c r="V477" s="1373"/>
      <c r="W477" s="1373"/>
      <c r="X477" s="1373"/>
      <c r="Y477" s="1373"/>
      <c r="Z477" s="1373"/>
    </row>
    <row r="478" s="2494" customFormat="1" customHeight="1" spans="10:26">
      <c r="J478" s="1373"/>
      <c r="K478" s="1373"/>
      <c r="L478" s="1373"/>
      <c r="M478" s="1373"/>
      <c r="N478" s="1373"/>
      <c r="O478" s="1373"/>
      <c r="P478" s="1373"/>
      <c r="Q478" s="1373"/>
      <c r="R478" s="1373"/>
      <c r="S478" s="1373"/>
      <c r="T478" s="1373"/>
      <c r="U478" s="1373"/>
      <c r="V478" s="1373"/>
      <c r="W478" s="1373"/>
      <c r="X478" s="1373"/>
      <c r="Y478" s="1373"/>
      <c r="Z478" s="1373"/>
    </row>
    <row r="479" s="2494" customFormat="1" customHeight="1" spans="10:26">
      <c r="J479" s="1373"/>
      <c r="K479" s="1373"/>
      <c r="L479" s="1373"/>
      <c r="M479" s="1373"/>
      <c r="N479" s="1373"/>
      <c r="O479" s="1373"/>
      <c r="P479" s="1373"/>
      <c r="Q479" s="1373"/>
      <c r="R479" s="1373"/>
      <c r="S479" s="1373"/>
      <c r="T479" s="1373"/>
      <c r="U479" s="1373"/>
      <c r="V479" s="1373"/>
      <c r="W479" s="1373"/>
      <c r="X479" s="1373"/>
      <c r="Y479" s="1373"/>
      <c r="Z479" s="1373"/>
    </row>
    <row r="480" s="2494" customFormat="1" customHeight="1" spans="10:26">
      <c r="J480" s="1373"/>
      <c r="K480" s="1373"/>
      <c r="L480" s="1373"/>
      <c r="M480" s="1373"/>
      <c r="N480" s="1373"/>
      <c r="O480" s="1373"/>
      <c r="P480" s="1373"/>
      <c r="Q480" s="1373"/>
      <c r="R480" s="1373"/>
      <c r="S480" s="1373"/>
      <c r="T480" s="1373"/>
      <c r="U480" s="1373"/>
      <c r="V480" s="1373"/>
      <c r="W480" s="1373"/>
      <c r="X480" s="1373"/>
      <c r="Y480" s="1373"/>
      <c r="Z480" s="1373"/>
    </row>
    <row r="481" s="2494" customFormat="1" customHeight="1" spans="10:26">
      <c r="J481" s="1373"/>
      <c r="K481" s="1373"/>
      <c r="L481" s="1373"/>
      <c r="M481" s="1373"/>
      <c r="N481" s="1373"/>
      <c r="O481" s="1373"/>
      <c r="P481" s="1373"/>
      <c r="Q481" s="1373"/>
      <c r="R481" s="1373"/>
      <c r="S481" s="1373"/>
      <c r="T481" s="1373"/>
      <c r="U481" s="1373"/>
      <c r="V481" s="1373"/>
      <c r="W481" s="1373"/>
      <c r="X481" s="1373"/>
      <c r="Y481" s="1373"/>
      <c r="Z481" s="1373"/>
    </row>
    <row r="482" s="2494" customFormat="1" customHeight="1" spans="10:26">
      <c r="J482" s="1373"/>
      <c r="K482" s="1373"/>
      <c r="L482" s="1373"/>
      <c r="M482" s="1373"/>
      <c r="N482" s="1373"/>
      <c r="O482" s="1373"/>
      <c r="P482" s="1373"/>
      <c r="Q482" s="1373"/>
      <c r="R482" s="1373"/>
      <c r="S482" s="1373"/>
      <c r="T482" s="1373"/>
      <c r="U482" s="1373"/>
      <c r="V482" s="1373"/>
      <c r="W482" s="1373"/>
      <c r="X482" s="1373"/>
      <c r="Y482" s="1373"/>
      <c r="Z482" s="1373"/>
    </row>
    <row r="483" s="2494" customFormat="1" customHeight="1" spans="10:26">
      <c r="J483" s="1373"/>
      <c r="K483" s="1373"/>
      <c r="L483" s="1373"/>
      <c r="M483" s="1373"/>
      <c r="N483" s="1373"/>
      <c r="O483" s="1373"/>
      <c r="P483" s="1373"/>
      <c r="Q483" s="1373"/>
      <c r="R483" s="1373"/>
      <c r="S483" s="1373"/>
      <c r="T483" s="1373"/>
      <c r="U483" s="1373"/>
      <c r="V483" s="1373"/>
      <c r="W483" s="1373"/>
      <c r="X483" s="1373"/>
      <c r="Y483" s="1373"/>
      <c r="Z483" s="1373"/>
    </row>
    <row r="484" s="2494" customFormat="1" customHeight="1" spans="10:26">
      <c r="J484" s="1373"/>
      <c r="K484" s="1373"/>
      <c r="L484" s="1373"/>
      <c r="M484" s="1373"/>
      <c r="N484" s="1373"/>
      <c r="O484" s="1373"/>
      <c r="P484" s="1373"/>
      <c r="Q484" s="1373"/>
      <c r="R484" s="1373"/>
      <c r="S484" s="1373"/>
      <c r="T484" s="1373"/>
      <c r="U484" s="1373"/>
      <c r="V484" s="1373"/>
      <c r="W484" s="1373"/>
      <c r="X484" s="1373"/>
      <c r="Y484" s="1373"/>
      <c r="Z484" s="1373"/>
    </row>
    <row r="485" s="2494" customFormat="1" customHeight="1" spans="10:26">
      <c r="J485" s="1373"/>
      <c r="K485" s="1373"/>
      <c r="L485" s="1373"/>
      <c r="M485" s="1373"/>
      <c r="N485" s="1373"/>
      <c r="O485" s="1373"/>
      <c r="P485" s="1373"/>
      <c r="Q485" s="1373"/>
      <c r="R485" s="1373"/>
      <c r="S485" s="1373"/>
      <c r="T485" s="1373"/>
      <c r="U485" s="1373"/>
      <c r="V485" s="1373"/>
      <c r="W485" s="1373"/>
      <c r="X485" s="1373"/>
      <c r="Y485" s="1373"/>
      <c r="Z485" s="1373"/>
    </row>
    <row r="486" s="2494" customFormat="1" customHeight="1" spans="10:26">
      <c r="J486" s="1373"/>
      <c r="K486" s="1373"/>
      <c r="L486" s="1373"/>
      <c r="M486" s="1373"/>
      <c r="N486" s="1373"/>
      <c r="O486" s="1373"/>
      <c r="P486" s="1373"/>
      <c r="Q486" s="1373"/>
      <c r="R486" s="1373"/>
      <c r="S486" s="1373"/>
      <c r="T486" s="1373"/>
      <c r="U486" s="1373"/>
      <c r="V486" s="1373"/>
      <c r="W486" s="1373"/>
      <c r="X486" s="1373"/>
      <c r="Y486" s="1373"/>
      <c r="Z486" s="1373"/>
    </row>
    <row r="487" s="2494" customFormat="1" customHeight="1" spans="10:26">
      <c r="J487" s="1373"/>
      <c r="K487" s="1373"/>
      <c r="L487" s="1373"/>
      <c r="M487" s="1373"/>
      <c r="N487" s="1373"/>
      <c r="O487" s="1373"/>
      <c r="P487" s="1373"/>
      <c r="Q487" s="1373"/>
      <c r="R487" s="1373"/>
      <c r="S487" s="1373"/>
      <c r="T487" s="1373"/>
      <c r="U487" s="1373"/>
      <c r="V487" s="1373"/>
      <c r="W487" s="1373"/>
      <c r="X487" s="1373"/>
      <c r="Y487" s="1373"/>
      <c r="Z487" s="1373"/>
    </row>
    <row r="488" s="2494" customFormat="1" customHeight="1" spans="10:26">
      <c r="J488" s="1373"/>
      <c r="K488" s="1373"/>
      <c r="L488" s="1373"/>
      <c r="M488" s="1373"/>
      <c r="N488" s="1373"/>
      <c r="O488" s="1373"/>
      <c r="P488" s="1373"/>
      <c r="Q488" s="1373"/>
      <c r="R488" s="1373"/>
      <c r="S488" s="1373"/>
      <c r="T488" s="1373"/>
      <c r="U488" s="1373"/>
      <c r="V488" s="1373"/>
      <c r="W488" s="1373"/>
      <c r="X488" s="1373"/>
      <c r="Y488" s="1373"/>
      <c r="Z488" s="1373"/>
    </row>
    <row r="489" s="2494" customFormat="1" customHeight="1" spans="10:26">
      <c r="J489" s="1373"/>
      <c r="K489" s="1373"/>
      <c r="L489" s="1373"/>
      <c r="M489" s="1373"/>
      <c r="N489" s="1373"/>
      <c r="O489" s="1373"/>
      <c r="P489" s="1373"/>
      <c r="Q489" s="1373"/>
      <c r="R489" s="1373"/>
      <c r="S489" s="1373"/>
      <c r="T489" s="1373"/>
      <c r="U489" s="1373"/>
      <c r="V489" s="1373"/>
      <c r="W489" s="1373"/>
      <c r="X489" s="1373"/>
      <c r="Y489" s="1373"/>
      <c r="Z489" s="1373"/>
    </row>
    <row r="490" s="2494" customFormat="1" customHeight="1" spans="10:26">
      <c r="J490" s="1373"/>
      <c r="K490" s="1373"/>
      <c r="L490" s="1373"/>
      <c r="M490" s="1373"/>
      <c r="N490" s="1373"/>
      <c r="O490" s="1373"/>
      <c r="P490" s="1373"/>
      <c r="Q490" s="1373"/>
      <c r="R490" s="1373"/>
      <c r="S490" s="1373"/>
      <c r="T490" s="1373"/>
      <c r="U490" s="1373"/>
      <c r="V490" s="1373"/>
      <c r="W490" s="1373"/>
      <c r="X490" s="1373"/>
      <c r="Y490" s="1373"/>
      <c r="Z490" s="1373"/>
    </row>
    <row r="491" s="2494" customFormat="1" customHeight="1" spans="10:26">
      <c r="J491" s="1373"/>
      <c r="K491" s="1373"/>
      <c r="L491" s="1373"/>
      <c r="M491" s="1373"/>
      <c r="N491" s="1373"/>
      <c r="O491" s="1373"/>
      <c r="P491" s="1373"/>
      <c r="Q491" s="1373"/>
      <c r="R491" s="1373"/>
      <c r="S491" s="1373"/>
      <c r="T491" s="1373"/>
      <c r="U491" s="1373"/>
      <c r="V491" s="1373"/>
      <c r="W491" s="1373"/>
      <c r="X491" s="1373"/>
      <c r="Y491" s="1373"/>
      <c r="Z491" s="1373"/>
    </row>
    <row r="492" s="2494" customFormat="1" customHeight="1" spans="10:26">
      <c r="J492" s="1373"/>
      <c r="K492" s="1373"/>
      <c r="L492" s="1373"/>
      <c r="M492" s="1373"/>
      <c r="N492" s="1373"/>
      <c r="O492" s="1373"/>
      <c r="P492" s="1373"/>
      <c r="Q492" s="1373"/>
      <c r="R492" s="1373"/>
      <c r="S492" s="1373"/>
      <c r="T492" s="1373"/>
      <c r="U492" s="1373"/>
      <c r="V492" s="1373"/>
      <c r="W492" s="1373"/>
      <c r="X492" s="1373"/>
      <c r="Y492" s="1373"/>
      <c r="Z492" s="1373"/>
    </row>
    <row r="493" s="2494" customFormat="1" customHeight="1" spans="10:26">
      <c r="J493" s="1373"/>
      <c r="K493" s="1373"/>
      <c r="L493" s="1373"/>
      <c r="M493" s="1373"/>
      <c r="N493" s="1373"/>
      <c r="O493" s="1373"/>
      <c r="P493" s="1373"/>
      <c r="Q493" s="1373"/>
      <c r="R493" s="1373"/>
      <c r="S493" s="1373"/>
      <c r="T493" s="1373"/>
      <c r="U493" s="1373"/>
      <c r="V493" s="1373"/>
      <c r="W493" s="1373"/>
      <c r="X493" s="1373"/>
      <c r="Y493" s="1373"/>
      <c r="Z493" s="1373"/>
    </row>
    <row r="494" s="2494" customFormat="1" customHeight="1" spans="10:26">
      <c r="J494" s="1373"/>
      <c r="K494" s="1373"/>
      <c r="L494" s="1373"/>
      <c r="M494" s="1373"/>
      <c r="N494" s="1373"/>
      <c r="O494" s="1373"/>
      <c r="P494" s="1373"/>
      <c r="Q494" s="1373"/>
      <c r="R494" s="1373"/>
      <c r="S494" s="1373"/>
      <c r="T494" s="1373"/>
      <c r="U494" s="1373"/>
      <c r="V494" s="1373"/>
      <c r="W494" s="1373"/>
      <c r="X494" s="1373"/>
      <c r="Y494" s="1373"/>
      <c r="Z494" s="1373"/>
    </row>
    <row r="495" s="2494" customFormat="1" customHeight="1" spans="10:26">
      <c r="J495" s="1373"/>
      <c r="K495" s="1373"/>
      <c r="L495" s="1373"/>
      <c r="M495" s="1373"/>
      <c r="N495" s="1373"/>
      <c r="O495" s="1373"/>
      <c r="P495" s="1373"/>
      <c r="Q495" s="1373"/>
      <c r="R495" s="1373"/>
      <c r="S495" s="1373"/>
      <c r="T495" s="1373"/>
      <c r="U495" s="1373"/>
      <c r="V495" s="1373"/>
      <c r="W495" s="1373"/>
      <c r="X495" s="1373"/>
      <c r="Y495" s="1373"/>
      <c r="Z495" s="1373"/>
    </row>
    <row r="496" s="2494" customFormat="1" customHeight="1" spans="10:26">
      <c r="J496" s="1373"/>
      <c r="K496" s="1373"/>
      <c r="L496" s="1373"/>
      <c r="M496" s="1373"/>
      <c r="N496" s="1373"/>
      <c r="O496" s="1373"/>
      <c r="P496" s="1373"/>
      <c r="Q496" s="1373"/>
      <c r="R496" s="1373"/>
      <c r="S496" s="1373"/>
      <c r="T496" s="1373"/>
      <c r="U496" s="1373"/>
      <c r="V496" s="1373"/>
      <c r="W496" s="1373"/>
      <c r="X496" s="1373"/>
      <c r="Y496" s="1373"/>
      <c r="Z496" s="1373"/>
    </row>
    <row r="497" s="2494" customFormat="1" customHeight="1" spans="10:26">
      <c r="J497" s="1373"/>
      <c r="K497" s="1373"/>
      <c r="L497" s="1373"/>
      <c r="M497" s="1373"/>
      <c r="N497" s="1373"/>
      <c r="O497" s="1373"/>
      <c r="P497" s="1373"/>
      <c r="Q497" s="1373"/>
      <c r="R497" s="1373"/>
      <c r="S497" s="1373"/>
      <c r="T497" s="1373"/>
      <c r="U497" s="1373"/>
      <c r="V497" s="1373"/>
      <c r="W497" s="1373"/>
      <c r="X497" s="1373"/>
      <c r="Y497" s="1373"/>
      <c r="Z497" s="1373"/>
    </row>
    <row r="498" s="2494" customFormat="1" customHeight="1" spans="10:26">
      <c r="J498" s="1373"/>
      <c r="K498" s="1373"/>
      <c r="L498" s="1373"/>
      <c r="M498" s="1373"/>
      <c r="N498" s="1373"/>
      <c r="O498" s="1373"/>
      <c r="P498" s="1373"/>
      <c r="Q498" s="1373"/>
      <c r="R498" s="1373"/>
      <c r="S498" s="1373"/>
      <c r="T498" s="1373"/>
      <c r="U498" s="1373"/>
      <c r="V498" s="1373"/>
      <c r="W498" s="1373"/>
      <c r="X498" s="1373"/>
      <c r="Y498" s="1373"/>
      <c r="Z498" s="1373"/>
    </row>
    <row r="499" s="2494" customFormat="1" customHeight="1" spans="10:26">
      <c r="J499" s="1373"/>
      <c r="K499" s="1373"/>
      <c r="L499" s="1373"/>
      <c r="M499" s="1373"/>
      <c r="N499" s="1373"/>
      <c r="O499" s="1373"/>
      <c r="P499" s="1373"/>
      <c r="Q499" s="1373"/>
      <c r="R499" s="1373"/>
      <c r="S499" s="1373"/>
      <c r="T499" s="1373"/>
      <c r="U499" s="1373"/>
      <c r="V499" s="1373"/>
      <c r="W499" s="1373"/>
      <c r="X499" s="1373"/>
      <c r="Y499" s="1373"/>
      <c r="Z499" s="1373"/>
    </row>
    <row r="500" s="2494" customFormat="1" customHeight="1" spans="10:26">
      <c r="J500" s="1373"/>
      <c r="K500" s="1373"/>
      <c r="L500" s="1373"/>
      <c r="M500" s="1373"/>
      <c r="N500" s="1373"/>
      <c r="O500" s="1373"/>
      <c r="P500" s="1373"/>
      <c r="Q500" s="1373"/>
      <c r="R500" s="1373"/>
      <c r="S500" s="1373"/>
      <c r="T500" s="1373"/>
      <c r="U500" s="1373"/>
      <c r="V500" s="1373"/>
      <c r="W500" s="1373"/>
      <c r="X500" s="1373"/>
      <c r="Y500" s="1373"/>
      <c r="Z500" s="1373"/>
    </row>
    <row r="501" s="2494" customFormat="1" customHeight="1" spans="10:26">
      <c r="J501" s="1373"/>
      <c r="K501" s="1373"/>
      <c r="L501" s="1373"/>
      <c r="M501" s="1373"/>
      <c r="N501" s="1373"/>
      <c r="O501" s="1373"/>
      <c r="P501" s="1373"/>
      <c r="Q501" s="1373"/>
      <c r="R501" s="1373"/>
      <c r="S501" s="1373"/>
      <c r="T501" s="1373"/>
      <c r="U501" s="1373"/>
      <c r="V501" s="1373"/>
      <c r="W501" s="1373"/>
      <c r="X501" s="1373"/>
      <c r="Y501" s="1373"/>
      <c r="Z501" s="1373"/>
    </row>
    <row r="502" s="2494" customFormat="1" customHeight="1" spans="10:26">
      <c r="J502" s="1373"/>
      <c r="K502" s="1373"/>
      <c r="L502" s="1373"/>
      <c r="M502" s="1373"/>
      <c r="N502" s="1373"/>
      <c r="O502" s="1373"/>
      <c r="P502" s="1373"/>
      <c r="Q502" s="1373"/>
      <c r="R502" s="1373"/>
      <c r="S502" s="1373"/>
      <c r="T502" s="1373"/>
      <c r="U502" s="1373"/>
      <c r="V502" s="1373"/>
      <c r="W502" s="1373"/>
      <c r="X502" s="1373"/>
      <c r="Y502" s="1373"/>
      <c r="Z502" s="1373"/>
    </row>
    <row r="503" s="2494" customFormat="1" customHeight="1" spans="10:26">
      <c r="J503" s="1373"/>
      <c r="K503" s="1373"/>
      <c r="L503" s="1373"/>
      <c r="M503" s="1373"/>
      <c r="N503" s="1373"/>
      <c r="O503" s="1373"/>
      <c r="P503" s="1373"/>
      <c r="Q503" s="1373"/>
      <c r="R503" s="1373"/>
      <c r="S503" s="1373"/>
      <c r="T503" s="1373"/>
      <c r="U503" s="1373"/>
      <c r="V503" s="1373"/>
      <c r="W503" s="1373"/>
      <c r="X503" s="1373"/>
      <c r="Y503" s="1373"/>
      <c r="Z503" s="1373"/>
    </row>
    <row r="504" s="2494" customFormat="1" customHeight="1" spans="10:26">
      <c r="J504" s="1373"/>
      <c r="K504" s="1373"/>
      <c r="L504" s="1373"/>
      <c r="M504" s="1373"/>
      <c r="N504" s="1373"/>
      <c r="O504" s="1373"/>
      <c r="P504" s="1373"/>
      <c r="Q504" s="1373"/>
      <c r="R504" s="1373"/>
      <c r="S504" s="1373"/>
      <c r="T504" s="1373"/>
      <c r="U504" s="1373"/>
      <c r="V504" s="1373"/>
      <c r="W504" s="1373"/>
      <c r="X504" s="1373"/>
      <c r="Y504" s="1373"/>
      <c r="Z504" s="1373"/>
    </row>
    <row r="505" s="2494" customFormat="1" customHeight="1" spans="10:26">
      <c r="J505" s="1373"/>
      <c r="K505" s="1373"/>
      <c r="L505" s="1373"/>
      <c r="M505" s="1373"/>
      <c r="N505" s="1373"/>
      <c r="O505" s="1373"/>
      <c r="P505" s="1373"/>
      <c r="Q505" s="1373"/>
      <c r="R505" s="1373"/>
      <c r="S505" s="1373"/>
      <c r="T505" s="1373"/>
      <c r="U505" s="1373"/>
      <c r="V505" s="1373"/>
      <c r="W505" s="1373"/>
      <c r="X505" s="1373"/>
      <c r="Y505" s="1373"/>
      <c r="Z505" s="1373"/>
    </row>
    <row r="506" s="2494" customFormat="1" customHeight="1" spans="10:26">
      <c r="J506" s="1373"/>
      <c r="K506" s="1373"/>
      <c r="L506" s="1373"/>
      <c r="M506" s="1373"/>
      <c r="N506" s="1373"/>
      <c r="O506" s="1373"/>
      <c r="P506" s="1373"/>
      <c r="Q506" s="1373"/>
      <c r="R506" s="1373"/>
      <c r="S506" s="1373"/>
      <c r="T506" s="1373"/>
      <c r="U506" s="1373"/>
      <c r="V506" s="1373"/>
      <c r="W506" s="1373"/>
      <c r="X506" s="1373"/>
      <c r="Y506" s="1373"/>
      <c r="Z506" s="1373"/>
    </row>
    <row r="507" s="2494" customFormat="1" customHeight="1" spans="10:26">
      <c r="J507" s="1373"/>
      <c r="K507" s="1373"/>
      <c r="L507" s="1373"/>
      <c r="M507" s="1373"/>
      <c r="N507" s="1373"/>
      <c r="O507" s="1373"/>
      <c r="P507" s="1373"/>
      <c r="Q507" s="1373"/>
      <c r="R507" s="1373"/>
      <c r="S507" s="1373"/>
      <c r="T507" s="1373"/>
      <c r="U507" s="1373"/>
      <c r="V507" s="1373"/>
      <c r="W507" s="1373"/>
      <c r="X507" s="1373"/>
      <c r="Y507" s="1373"/>
      <c r="Z507" s="1373"/>
    </row>
    <row r="508" s="2494" customFormat="1" customHeight="1" spans="10:26">
      <c r="J508" s="1373"/>
      <c r="K508" s="1373"/>
      <c r="L508" s="1373"/>
      <c r="M508" s="1373"/>
      <c r="N508" s="1373"/>
      <c r="O508" s="1373"/>
      <c r="P508" s="1373"/>
      <c r="Q508" s="1373"/>
      <c r="R508" s="1373"/>
      <c r="S508" s="1373"/>
      <c r="T508" s="1373"/>
      <c r="U508" s="1373"/>
      <c r="V508" s="1373"/>
      <c r="W508" s="1373"/>
      <c r="X508" s="1373"/>
      <c r="Y508" s="1373"/>
      <c r="Z508" s="1373"/>
    </row>
    <row r="509" s="2494" customFormat="1" customHeight="1" spans="10:26">
      <c r="J509" s="1373"/>
      <c r="K509" s="1373"/>
      <c r="L509" s="1373"/>
      <c r="M509" s="1373"/>
      <c r="N509" s="1373"/>
      <c r="O509" s="1373"/>
      <c r="P509" s="1373"/>
      <c r="Q509" s="1373"/>
      <c r="R509" s="1373"/>
      <c r="S509" s="1373"/>
      <c r="T509" s="1373"/>
      <c r="U509" s="1373"/>
      <c r="V509" s="1373"/>
      <c r="W509" s="1373"/>
      <c r="X509" s="1373"/>
      <c r="Y509" s="1373"/>
      <c r="Z509" s="1373"/>
    </row>
    <row r="510" s="2494" customFormat="1" customHeight="1" spans="10:26">
      <c r="J510" s="1373"/>
      <c r="K510" s="1373"/>
      <c r="L510" s="1373"/>
      <c r="M510" s="1373"/>
      <c r="N510" s="1373"/>
      <c r="O510" s="1373"/>
      <c r="P510" s="1373"/>
      <c r="Q510" s="1373"/>
      <c r="R510" s="1373"/>
      <c r="S510" s="1373"/>
      <c r="T510" s="1373"/>
      <c r="U510" s="1373"/>
      <c r="V510" s="1373"/>
      <c r="W510" s="1373"/>
      <c r="X510" s="1373"/>
      <c r="Y510" s="1373"/>
      <c r="Z510" s="1373"/>
    </row>
    <row r="511" s="2494" customFormat="1" customHeight="1" spans="10:26">
      <c r="J511" s="1373"/>
      <c r="K511" s="1373"/>
      <c r="L511" s="1373"/>
      <c r="M511" s="1373"/>
      <c r="N511" s="1373"/>
      <c r="O511" s="1373"/>
      <c r="P511" s="1373"/>
      <c r="Q511" s="1373"/>
      <c r="R511" s="1373"/>
      <c r="S511" s="1373"/>
      <c r="T511" s="1373"/>
      <c r="U511" s="1373"/>
      <c r="V511" s="1373"/>
      <c r="W511" s="1373"/>
      <c r="X511" s="1373"/>
      <c r="Y511" s="1373"/>
      <c r="Z511" s="1373"/>
    </row>
    <row r="512" s="2494" customFormat="1" customHeight="1" spans="10:26">
      <c r="J512" s="1373"/>
      <c r="K512" s="1373"/>
      <c r="L512" s="1373"/>
      <c r="M512" s="1373"/>
      <c r="N512" s="1373"/>
      <c r="O512" s="1373"/>
      <c r="P512" s="1373"/>
      <c r="Q512" s="1373"/>
      <c r="R512" s="1373"/>
      <c r="S512" s="1373"/>
      <c r="T512" s="1373"/>
      <c r="U512" s="1373"/>
      <c r="V512" s="1373"/>
      <c r="W512" s="1373"/>
      <c r="X512" s="1373"/>
      <c r="Y512" s="1373"/>
      <c r="Z512" s="137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8" workbookViewId="0">
      <selection activeCell="C7" sqref="C7"/>
    </sheetView>
  </sheetViews>
  <sheetFormatPr defaultColWidth="8.37272727272727" defaultRowHeight="12.5"/>
  <cols>
    <col min="1" max="1" width="10.3727272727273"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994</v>
      </c>
      <c r="B1" s="2476"/>
      <c r="C1" s="391"/>
      <c r="D1" s="391"/>
      <c r="E1" s="391"/>
      <c r="F1" s="391"/>
      <c r="G1" s="2478">
        <f>MATCH(B1,'数据-取费表'!A6:A16,0)+5</f>
        <v>7</v>
      </c>
    </row>
    <row r="2" s="381" customFormat="1" ht="18" customHeight="1" spans="1:7">
      <c r="A2" s="393" t="s">
        <v>995</v>
      </c>
      <c r="B2" s="394">
        <f ca="1">IF(D2="——",C52,C52-E2)</f>
        <v>3775</v>
      </c>
      <c r="C2" s="392" t="s">
        <v>996</v>
      </c>
      <c r="D2" s="2480" t="s">
        <v>124</v>
      </c>
      <c r="E2" s="2481" t="e">
        <f ca="1">SUMIF(INDIRECT("'"&amp;G2&amp;"'"&amp;"!A:A"),"承租人权益价值",INDIRECT("'"&amp;G2&amp;"'"&amp;"!c:c"))</f>
        <v>#REF!</v>
      </c>
      <c r="F2" s="2482" t="s">
        <v>996</v>
      </c>
      <c r="G2" s="2483"/>
    </row>
    <row r="3" s="381" customFormat="1" ht="18" customHeight="1" spans="1:7">
      <c r="A3" s="396" t="s">
        <v>997</v>
      </c>
      <c r="B3" s="397">
        <f ca="1">ROUND(B2*10000/(IF(B1="",'数据-汇总表'!E3,INDIRECT("'数据-取费表'!k"&amp;$G$1))),0)</f>
        <v>12529</v>
      </c>
      <c r="C3" s="392" t="s">
        <v>998</v>
      </c>
      <c r="D3" s="392"/>
      <c r="E3" s="392"/>
      <c r="F3" s="392"/>
      <c r="G3" s="392"/>
    </row>
    <row r="4" s="382" customFormat="1" ht="15.5" spans="1:7">
      <c r="A4" s="398" t="s">
        <v>999</v>
      </c>
      <c r="B4" s="399"/>
      <c r="C4" s="399"/>
      <c r="D4" s="399"/>
      <c r="E4" s="399"/>
      <c r="F4" s="399"/>
      <c r="G4" s="400"/>
    </row>
    <row r="5" s="383" customFormat="1" ht="13.5" customHeight="1" spans="1:7">
      <c r="A5" s="401" t="s">
        <v>1000</v>
      </c>
      <c r="B5" s="402" t="s">
        <v>1001</v>
      </c>
      <c r="C5" s="403">
        <f ca="1">C6+C7+C8</f>
        <v>2091</v>
      </c>
      <c r="D5" s="403" t="s">
        <v>1002</v>
      </c>
      <c r="E5" s="404" t="s">
        <v>1003</v>
      </c>
      <c r="F5" s="404" t="s">
        <v>898</v>
      </c>
      <c r="G5" s="405"/>
    </row>
    <row r="6" s="383" customFormat="1" ht="13.5" customHeight="1" spans="1:7">
      <c r="A6" s="406" t="s">
        <v>1004</v>
      </c>
      <c r="B6" s="407" t="s">
        <v>1005</v>
      </c>
      <c r="C6" s="408">
        <f>基准地价修正!E33</f>
        <v>1971</v>
      </c>
      <c r="D6" s="409"/>
      <c r="E6" s="410"/>
      <c r="F6" s="410"/>
      <c r="G6" s="411"/>
    </row>
    <row r="7" s="383" customFormat="1" ht="13.5" customHeight="1" spans="1:7">
      <c r="A7" s="406" t="s">
        <v>1006</v>
      </c>
      <c r="B7" s="407" t="s">
        <v>1007</v>
      </c>
      <c r="C7" s="412">
        <f>ROUND(C6*F7,0)</f>
        <v>60</v>
      </c>
      <c r="D7" s="412"/>
      <c r="E7" s="410"/>
      <c r="F7" s="413">
        <f>IF(项目基本情况!B8="出让",0,'数据-取费表'!B48+'数据-取费表'!B49)</f>
        <v>0.0305</v>
      </c>
      <c r="G7" s="411"/>
    </row>
    <row r="8" s="384" customFormat="1" ht="13" spans="1:7">
      <c r="A8" s="406" t="s">
        <v>1008</v>
      </c>
      <c r="B8" s="407" t="s">
        <v>1009</v>
      </c>
      <c r="C8" s="412">
        <f ca="1">IF(G8="已包含在土地购买价格中","0",IF(B1="",'数据-取费表'!B29,IF(G9="全部缴纳",C9+C10,H9)))</f>
        <v>60</v>
      </c>
      <c r="D8" s="414"/>
      <c r="E8" s="412"/>
      <c r="F8" s="413"/>
      <c r="G8" s="2484" t="s">
        <v>1010</v>
      </c>
    </row>
    <row r="9" s="383" customFormat="1" ht="13.5" customHeight="1" spans="1:9">
      <c r="A9" s="416" t="s">
        <v>1011</v>
      </c>
      <c r="B9" s="417" t="s">
        <v>1012</v>
      </c>
      <c r="C9" s="418">
        <f ca="1">ROUND(D9*E9/10000,0)</f>
        <v>0</v>
      </c>
      <c r="D9" s="419">
        <f ca="1">IF(B1="",'数据-汇总表'!E5,IF(INDIRECT("'数据-取费表'!c"&amp;$G$1)="住宅",INDIRECT("'数据-取费表'!k"&amp;$G$1),0))</f>
        <v>0</v>
      </c>
      <c r="E9" s="418">
        <f>'数据-取费表'!B27</f>
        <v>0</v>
      </c>
      <c r="F9" s="413"/>
      <c r="G9" s="2488"/>
      <c r="H9" s="2489"/>
      <c r="I9" s="2490" t="s">
        <v>1013</v>
      </c>
    </row>
    <row r="10" s="383" customFormat="1" ht="13.5" customHeight="1" spans="1:7">
      <c r="A10" s="416" t="s">
        <v>1014</v>
      </c>
      <c r="B10" s="417" t="s">
        <v>1015</v>
      </c>
      <c r="C10" s="418">
        <f ca="1">ROUND(D10*E10/10000,0)</f>
        <v>60</v>
      </c>
      <c r="D10" s="419">
        <f ca="1">IF(B1="",'数据-汇总表'!E6,IF(INDIRECT("'数据-取费表'!c"&amp;$G$1)="住宅",INDIRECT("'数据-取费表'!s"&amp;$G$1),INDIRECT("'数据-取费表'!k"&amp;$G$1)+INDIRECT("'数据-取费表'!s"&amp;$G$1)))</f>
        <v>3013</v>
      </c>
      <c r="E10" s="418">
        <f>'数据-取费表'!B28</f>
        <v>200</v>
      </c>
      <c r="F10" s="413"/>
      <c r="G10" s="420"/>
    </row>
    <row r="11" s="383" customFormat="1" ht="13.5" hidden="1" customHeight="1" spans="1:7">
      <c r="A11" s="421" t="s">
        <v>1016</v>
      </c>
      <c r="B11" s="407" t="s">
        <v>1017</v>
      </c>
      <c r="C11" s="403"/>
      <c r="D11" s="422"/>
      <c r="E11" s="410"/>
      <c r="F11" s="410"/>
      <c r="G11" s="411"/>
    </row>
    <row r="12" s="383" customFormat="1" ht="13.5" hidden="1" customHeight="1" spans="1:7">
      <c r="A12" s="421" t="s">
        <v>1018</v>
      </c>
      <c r="B12" s="407" t="s">
        <v>935</v>
      </c>
      <c r="C12" s="403">
        <v>0</v>
      </c>
      <c r="D12" s="422"/>
      <c r="E12" s="423"/>
      <c r="F12" s="413">
        <v>0.0305</v>
      </c>
      <c r="G12" s="411"/>
    </row>
    <row r="13" s="383" customFormat="1" ht="13.5" hidden="1" customHeight="1" spans="1:7">
      <c r="A13" s="421" t="s">
        <v>1019</v>
      </c>
      <c r="B13" s="407" t="s">
        <v>1020</v>
      </c>
      <c r="C13" s="403"/>
      <c r="D13" s="422"/>
      <c r="E13" s="410"/>
      <c r="F13" s="410"/>
      <c r="G13" s="411"/>
    </row>
    <row r="14" s="383" customFormat="1" ht="13.5" hidden="1" customHeight="1" spans="1:7">
      <c r="A14" s="421" t="s">
        <v>1021</v>
      </c>
      <c r="B14" s="407" t="s">
        <v>1009</v>
      </c>
      <c r="C14" s="403"/>
      <c r="D14" s="422"/>
      <c r="E14" s="410"/>
      <c r="F14" s="410"/>
      <c r="G14" s="411" t="s">
        <v>1022</v>
      </c>
    </row>
    <row r="15" s="383" customFormat="1" ht="13.5" hidden="1" customHeight="1" spans="1:7">
      <c r="A15" s="421" t="s">
        <v>1023</v>
      </c>
      <c r="B15" s="407" t="s">
        <v>1024</v>
      </c>
      <c r="C15" s="412"/>
      <c r="D15" s="422"/>
      <c r="E15" s="410"/>
      <c r="F15" s="410"/>
      <c r="G15" s="411" t="s">
        <v>1025</v>
      </c>
    </row>
    <row r="16" s="383" customFormat="1" ht="13.5" hidden="1" customHeight="1" spans="1:7">
      <c r="A16" s="421" t="s">
        <v>1026</v>
      </c>
      <c r="B16" s="407" t="s">
        <v>1009</v>
      </c>
      <c r="C16" s="412"/>
      <c r="D16" s="422"/>
      <c r="E16" s="410"/>
      <c r="F16" s="410"/>
      <c r="G16" s="411"/>
    </row>
    <row r="17" s="383" customFormat="1" ht="13.5" hidden="1" customHeight="1" spans="1:7">
      <c r="A17" s="421" t="s">
        <v>1027</v>
      </c>
      <c r="B17" s="407" t="s">
        <v>1028</v>
      </c>
      <c r="C17" s="424"/>
      <c r="D17" s="425"/>
      <c r="E17" s="424"/>
      <c r="F17" s="424"/>
      <c r="G17" s="411" t="s">
        <v>1025</v>
      </c>
    </row>
    <row r="18" s="383" customFormat="1" ht="13.5" hidden="1" customHeight="1" spans="1:7">
      <c r="A18" s="421" t="s">
        <v>1029</v>
      </c>
      <c r="B18" s="407" t="s">
        <v>1030</v>
      </c>
      <c r="C18" s="412">
        <v>0</v>
      </c>
      <c r="D18" s="422"/>
      <c r="E18" s="410"/>
      <c r="F18" s="413">
        <v>0.0305</v>
      </c>
      <c r="G18" s="411" t="s">
        <v>1031</v>
      </c>
    </row>
    <row r="19" s="384" customFormat="1" ht="13.5" customHeight="1" spans="1:7">
      <c r="A19" s="401" t="s">
        <v>1032</v>
      </c>
      <c r="B19" s="402" t="s">
        <v>1033</v>
      </c>
      <c r="C19" s="403" t="str">
        <f ca="1">IF(G19="已包含在土地取得成本中","0",ROUND(D19*E19/10000,0))</f>
        <v>0</v>
      </c>
      <c r="D19" s="427">
        <f ca="1">D9+D10</f>
        <v>3013</v>
      </c>
      <c r="E19" s="403">
        <f>'数据-取费表'!B31</f>
        <v>200</v>
      </c>
      <c r="F19" s="428"/>
      <c r="G19" s="2484" t="s">
        <v>1034</v>
      </c>
    </row>
    <row r="20" s="383" customFormat="1" ht="13.5" customHeight="1" spans="1:7">
      <c r="A20" s="401" t="s">
        <v>1035</v>
      </c>
      <c r="B20" s="402" t="s">
        <v>1036</v>
      </c>
      <c r="C20" s="429">
        <f ca="1">ROUND((C5+C19)*F20,0)</f>
        <v>42</v>
      </c>
      <c r="D20" s="429"/>
      <c r="E20" s="429"/>
      <c r="F20" s="430">
        <f>'数据-取费表'!B37</f>
        <v>0.02</v>
      </c>
      <c r="G20" s="434" t="s">
        <v>1037</v>
      </c>
    </row>
    <row r="21" s="383" customFormat="1" ht="13.5" customHeight="1" spans="1:7">
      <c r="A21" s="401" t="s">
        <v>1038</v>
      </c>
      <c r="B21" s="402" t="s">
        <v>1039</v>
      </c>
      <c r="C21" s="432">
        <f>F21</f>
        <v>0.02</v>
      </c>
      <c r="D21" s="433" t="s">
        <v>1040</v>
      </c>
      <c r="E21" s="429"/>
      <c r="F21" s="430">
        <f>'数据-取费表'!B38</f>
        <v>0.02</v>
      </c>
      <c r="G21" s="434" t="s">
        <v>1041</v>
      </c>
    </row>
    <row r="22" s="383" customFormat="1" ht="13.5" customHeight="1" spans="1:7">
      <c r="A22" s="401" t="s">
        <v>1042</v>
      </c>
      <c r="B22" s="402" t="s">
        <v>1043</v>
      </c>
      <c r="C22" s="435">
        <f ca="1">ROUND(SUM(C23:C25),0)</f>
        <v>143</v>
      </c>
      <c r="D22" s="432">
        <f ca="1">C26</f>
        <v>0.0007</v>
      </c>
      <c r="E22" s="433" t="s">
        <v>1040</v>
      </c>
      <c r="F22" s="436">
        <f ca="1">'数据-取费表'!B40</f>
        <v>0.0335</v>
      </c>
      <c r="G22" s="434" t="str">
        <f>IF('数据-取费表'!B22&lt;=1,"单利计息","复利计息")</f>
        <v>复利计息</v>
      </c>
    </row>
    <row r="23" s="383" customFormat="1" ht="13.5" customHeight="1" spans="1:7">
      <c r="A23" s="437" t="s">
        <v>1004</v>
      </c>
      <c r="B23" s="407" t="s">
        <v>1044</v>
      </c>
      <c r="C23" s="438">
        <f ca="1">ROUND(IF('数据-取费表'!B22&lt;=1,C5*F22*'数据-取费表'!B23,C5*(POWER((1+F22),'数据-取费表'!B23)-1)),0)</f>
        <v>142</v>
      </c>
      <c r="D23" s="439"/>
      <c r="E23" s="439"/>
      <c r="F23" s="440"/>
      <c r="G23" s="441" t="s">
        <v>1045</v>
      </c>
    </row>
    <row r="24" s="383" customFormat="1" ht="13.5" customHeight="1" spans="1:7">
      <c r="A24" s="437" t="s">
        <v>1006</v>
      </c>
      <c r="B24" s="407" t="s">
        <v>1046</v>
      </c>
      <c r="C24" s="438">
        <f ca="1">ROUND(IF('数据-取费表'!B22&lt;=1,C19*F22*('数据-取费表'!B19/2+'数据-取费表'!B21),C19*(POWER((1+F22),('数据-取费表'!B19/2+'数据-取费表'!B21))-1)),0)</f>
        <v>0</v>
      </c>
      <c r="D24" s="439"/>
      <c r="E24" s="439"/>
      <c r="F24" s="440"/>
      <c r="G24" s="441" t="s">
        <v>1047</v>
      </c>
    </row>
    <row r="25" s="383" customFormat="1" ht="26" spans="1:7">
      <c r="A25" s="437" t="s">
        <v>1008</v>
      </c>
      <c r="B25" s="407" t="s">
        <v>1048</v>
      </c>
      <c r="C25" s="438">
        <f ca="1">ROUND(IF('数据-取费表'!B22&lt;=1,C20*F22*'数据-取费表'!B23/2,C20*(POWER((1+F22),'数据-取费表'!B23/2)-1)),0)</f>
        <v>1</v>
      </c>
      <c r="D25" s="439"/>
      <c r="E25" s="442"/>
      <c r="F25" s="440"/>
      <c r="G25" s="443" t="s">
        <v>1049</v>
      </c>
    </row>
    <row r="26" s="383" customFormat="1" ht="13" spans="1:7">
      <c r="A26" s="437" t="s">
        <v>1050</v>
      </c>
      <c r="B26" s="407" t="s">
        <v>1051</v>
      </c>
      <c r="C26" s="439">
        <f ca="1">ROUND(IF('数据-取费表'!B22&lt;=1,F21*F22*'数据-取费表'!B23/2,F21*(POWER((1+F22),'数据-取费表'!B23/2)-1)),4)</f>
        <v>0.0007</v>
      </c>
      <c r="D26" s="439"/>
      <c r="E26" s="442"/>
      <c r="F26" s="440"/>
      <c r="G26" s="444"/>
    </row>
    <row r="27" s="383" customFormat="1" ht="26" spans="1:7">
      <c r="A27" s="401" t="s">
        <v>1052</v>
      </c>
      <c r="B27" s="445" t="s">
        <v>1053</v>
      </c>
      <c r="C27" s="446">
        <f ca="1">C28</f>
        <v>213</v>
      </c>
      <c r="D27" s="432">
        <f ca="1">C29</f>
        <v>0.002</v>
      </c>
      <c r="E27" s="433" t="s">
        <v>1040</v>
      </c>
      <c r="F27" s="447">
        <f ca="1">IF(B1="",'数据-取费表'!Q16,INDIRECT("'数据-取费表'!q"&amp;$G$1))</f>
        <v>0.1</v>
      </c>
      <c r="G27" s="448" t="s">
        <v>1054</v>
      </c>
    </row>
    <row r="28" s="383" customFormat="1" ht="13.5" customHeight="1" spans="1:7">
      <c r="A28" s="437" t="s">
        <v>1004</v>
      </c>
      <c r="B28" s="449" t="s">
        <v>1055</v>
      </c>
      <c r="C28" s="450">
        <f ca="1">ROUND((C5+C19+C20)*F27*'数据-取费表'!B21/'数据-取费表'!B20,0)</f>
        <v>213</v>
      </c>
      <c r="D28" s="432"/>
      <c r="E28" s="433"/>
      <c r="F28" s="447"/>
      <c r="G28" s="448"/>
    </row>
    <row r="29" s="383" customFormat="1" ht="13.5" customHeight="1" spans="1:7">
      <c r="A29" s="437" t="s">
        <v>1006</v>
      </c>
      <c r="B29" s="449" t="s">
        <v>1056</v>
      </c>
      <c r="C29" s="439">
        <f ca="1">ROUND(C21*F27*'数据-取费表'!B21/'数据-取费表'!B20,4)</f>
        <v>0.002</v>
      </c>
      <c r="D29" s="432"/>
      <c r="E29" s="433"/>
      <c r="F29" s="447"/>
      <c r="G29" s="448"/>
    </row>
    <row r="30" s="383" customFormat="1" ht="13.5" customHeight="1" spans="1:7">
      <c r="A30" s="401" t="s">
        <v>1057</v>
      </c>
      <c r="B30" s="402" t="s">
        <v>1058</v>
      </c>
      <c r="C30" s="432">
        <f>ROUND(F30/(1+'数据-取费表'!C42),4)</f>
        <v>0.0533</v>
      </c>
      <c r="D30" s="433" t="s">
        <v>1040</v>
      </c>
      <c r="E30" s="442"/>
      <c r="F30" s="436">
        <f>'数据-取费表'!B41</f>
        <v>0.056</v>
      </c>
      <c r="G30" s="434" t="s">
        <v>1059</v>
      </c>
    </row>
    <row r="31" ht="16.5" customHeight="1" spans="1:7">
      <c r="A31" s="451">
        <v>1</v>
      </c>
      <c r="B31" s="402" t="s">
        <v>1060</v>
      </c>
      <c r="C31" s="403">
        <f ca="1">ROUND((C5+C19+C20+C22+C27)/(1-C21-D22-D27-C30),0)</f>
        <v>2694</v>
      </c>
      <c r="D31" s="452"/>
      <c r="E31" s="403"/>
      <c r="F31" s="453"/>
      <c r="G31" s="434" t="s">
        <v>1061</v>
      </c>
    </row>
    <row r="32" s="382" customFormat="1" ht="15.5" spans="1:7">
      <c r="A32" s="454" t="s">
        <v>1062</v>
      </c>
      <c r="B32" s="455"/>
      <c r="C32" s="455"/>
      <c r="D32" s="455"/>
      <c r="E32" s="455"/>
      <c r="F32" s="455"/>
      <c r="G32" s="456"/>
    </row>
    <row r="33" s="383" customFormat="1" ht="13.5" customHeight="1" spans="1:7">
      <c r="A33" s="401" t="s">
        <v>1000</v>
      </c>
      <c r="B33" s="402" t="s">
        <v>1063</v>
      </c>
      <c r="C33" s="457">
        <f ca="1">SUM(C34:C38)</f>
        <v>1168</v>
      </c>
      <c r="D33" s="429"/>
      <c r="E33" s="404"/>
      <c r="F33" s="442"/>
      <c r="G33" s="434"/>
    </row>
    <row r="34" s="385" customFormat="1" ht="13.5" customHeight="1" spans="1:7">
      <c r="A34" s="437" t="s">
        <v>1004</v>
      </c>
      <c r="B34" s="407" t="s">
        <v>1064</v>
      </c>
      <c r="C34" s="412">
        <f ca="1">IF(B1="",IF(F34=100%,'数据-取费表'!M16,'数据-取费表'!O16),IF(F34=100%,INDIRECT("'数据-取费表'!m"&amp;$G$1)+INDIRECT("'数据-取费表'!t"&amp;$G$1),INDIRECT("'数据-取费表'!o"&amp;$G$1)+INDIRECT("'数据-取费表'!aq"&amp;$G$1)))</f>
        <v>1055</v>
      </c>
      <c r="D34" s="409"/>
      <c r="E34" s="412"/>
      <c r="F34" s="458">
        <f ca="1">IF('数据-取费表'!B24=0,1,IF(B1="",'数据-取费表'!N16,INDIRECT("'数据-取费表'!n"&amp;$G$1)))</f>
        <v>1</v>
      </c>
      <c r="G34" s="411" t="s">
        <v>1065</v>
      </c>
    </row>
    <row r="35" ht="13.5" customHeight="1" spans="1:7">
      <c r="A35" s="437" t="s">
        <v>1006</v>
      </c>
      <c r="B35" s="407" t="s">
        <v>1066</v>
      </c>
      <c r="C35" s="412">
        <f ca="1">ROUND(C34*F35,0)</f>
        <v>32</v>
      </c>
      <c r="D35" s="412"/>
      <c r="E35" s="412"/>
      <c r="F35" s="459">
        <f>'数据-取费表'!B33</f>
        <v>0.03</v>
      </c>
      <c r="G35" s="411" t="s">
        <v>1067</v>
      </c>
    </row>
    <row r="36" ht="26" spans="1:7">
      <c r="A36" s="437" t="s">
        <v>1008</v>
      </c>
      <c r="B36" s="407" t="s">
        <v>1068</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1069</v>
      </c>
    </row>
    <row r="37" s="385" customFormat="1" ht="13.5" customHeight="1" spans="1:7">
      <c r="A37" s="437" t="s">
        <v>1050</v>
      </c>
      <c r="B37" s="407" t="s">
        <v>1070</v>
      </c>
      <c r="C37" s="450">
        <f ca="1">ROUND(E37*D37*F34/10000,0)</f>
        <v>60</v>
      </c>
      <c r="D37" s="409">
        <f ca="1">D19</f>
        <v>3013</v>
      </c>
      <c r="E37" s="450">
        <f>'数据-取费表'!B35</f>
        <v>200</v>
      </c>
      <c r="F37" s="459"/>
      <c r="G37" s="461" t="s">
        <v>1071</v>
      </c>
    </row>
    <row r="38" ht="13.5" customHeight="1" spans="1:7">
      <c r="A38" s="437" t="s">
        <v>1072</v>
      </c>
      <c r="B38" s="407" t="s">
        <v>935</v>
      </c>
      <c r="C38" s="412">
        <f ca="1">ROUND(C34*F38,0)</f>
        <v>21</v>
      </c>
      <c r="D38" s="412"/>
      <c r="E38" s="412"/>
      <c r="F38" s="459">
        <f>'数据-取费表'!B36</f>
        <v>0.02</v>
      </c>
      <c r="G38" s="411" t="s">
        <v>1067</v>
      </c>
    </row>
    <row r="39" s="383" customFormat="1" ht="13.5" customHeight="1" spans="1:7">
      <c r="A39" s="401" t="s">
        <v>1032</v>
      </c>
      <c r="B39" s="402" t="s">
        <v>1036</v>
      </c>
      <c r="C39" s="429">
        <f ca="1">ROUND(C33*F20,0)</f>
        <v>23</v>
      </c>
      <c r="D39" s="429"/>
      <c r="E39" s="429"/>
      <c r="F39" s="430">
        <f>F20</f>
        <v>0.02</v>
      </c>
      <c r="G39" s="434" t="s">
        <v>1073</v>
      </c>
    </row>
    <row r="40" s="383" customFormat="1" ht="13.5" customHeight="1" spans="1:7">
      <c r="A40" s="401" t="s">
        <v>1035</v>
      </c>
      <c r="B40" s="402" t="s">
        <v>1039</v>
      </c>
      <c r="C40" s="2487">
        <f>F21</f>
        <v>0.02</v>
      </c>
      <c r="D40" s="433" t="s">
        <v>1074</v>
      </c>
      <c r="E40" s="429"/>
      <c r="F40" s="430">
        <f>F21</f>
        <v>0.02</v>
      </c>
      <c r="G40" s="434" t="s">
        <v>1075</v>
      </c>
    </row>
    <row r="41" s="383" customFormat="1" ht="13.5" customHeight="1" spans="1:7">
      <c r="A41" s="401" t="s">
        <v>1038</v>
      </c>
      <c r="B41" s="402" t="s">
        <v>1043</v>
      </c>
      <c r="C41" s="429">
        <f ca="1">ROUND(SUM(C42:C43),0)</f>
        <v>40</v>
      </c>
      <c r="D41" s="432">
        <f ca="1">C44</f>
        <v>0.0007</v>
      </c>
      <c r="E41" s="433" t="s">
        <v>1074</v>
      </c>
      <c r="F41" s="436">
        <f ca="1">F22</f>
        <v>0.0335</v>
      </c>
      <c r="G41" s="434" t="str">
        <f>IF('数据-取费表'!B22&lt;=1,"单利计息","复利计息")</f>
        <v>复利计息</v>
      </c>
    </row>
    <row r="42" ht="13.5" customHeight="1" spans="1:7">
      <c r="A42" s="437" t="s">
        <v>1004</v>
      </c>
      <c r="B42" s="407" t="s">
        <v>1044</v>
      </c>
      <c r="C42" s="439">
        <f ca="1">ROUND(IF('数据-取费表'!B22&lt;=1,C33*F22*'数据-取费表'!B21/2,C33*(POWER((1+F22),'数据-取费表'!B21/2)-1)),0)</f>
        <v>39</v>
      </c>
      <c r="D42" s="439"/>
      <c r="E42" s="439"/>
      <c r="F42" s="440"/>
      <c r="G42" s="463" t="s">
        <v>1076</v>
      </c>
    </row>
    <row r="43" ht="13.5" customHeight="1" spans="1:7">
      <c r="A43" s="437" t="s">
        <v>1006</v>
      </c>
      <c r="B43" s="407" t="s">
        <v>1046</v>
      </c>
      <c r="C43" s="439">
        <f ca="1">ROUND(IF('数据-取费表'!B22&lt;=1,C39*F22*'数据-取费表'!B21/2,C39*(POWER((1+F22),'数据-取费表'!B21/2)-1)),0)</f>
        <v>1</v>
      </c>
      <c r="D43" s="439"/>
      <c r="E43" s="439"/>
      <c r="F43" s="440"/>
      <c r="G43" s="464"/>
    </row>
    <row r="44" ht="13.5" customHeight="1" spans="1:7">
      <c r="A44" s="437" t="s">
        <v>1008</v>
      </c>
      <c r="B44" s="407" t="s">
        <v>1048</v>
      </c>
      <c r="C44" s="439">
        <f ca="1">ROUND(IF('数据-取费表'!B22&lt;=1,C40*F22*'数据-取费表'!B21/2,C40*(POWER((1+F22),'数据-取费表'!B21/2)-1)),4)</f>
        <v>0.0007</v>
      </c>
      <c r="D44" s="439"/>
      <c r="E44" s="439"/>
      <c r="F44" s="440"/>
      <c r="G44" s="465"/>
    </row>
    <row r="45" s="383" customFormat="1" ht="13.5" customHeight="1" spans="1:7">
      <c r="A45" s="401" t="s">
        <v>1042</v>
      </c>
      <c r="B45" s="445" t="s">
        <v>1053</v>
      </c>
      <c r="C45" s="446">
        <f ca="1">C46</f>
        <v>119</v>
      </c>
      <c r="D45" s="432">
        <f ca="1">C47</f>
        <v>0.002</v>
      </c>
      <c r="E45" s="433" t="s">
        <v>1074</v>
      </c>
      <c r="F45" s="447">
        <f ca="1">F27</f>
        <v>0.1</v>
      </c>
      <c r="G45" s="448" t="s">
        <v>1077</v>
      </c>
    </row>
    <row r="46" s="383" customFormat="1" ht="13.5" customHeight="1" spans="1:7">
      <c r="A46" s="437" t="s">
        <v>1004</v>
      </c>
      <c r="B46" s="449" t="s">
        <v>1078</v>
      </c>
      <c r="C46" s="450">
        <f ca="1">ROUND((C33+C39)*F27,0)</f>
        <v>119</v>
      </c>
      <c r="D46" s="466"/>
      <c r="E46" s="433"/>
      <c r="F46" s="447"/>
      <c r="G46" s="448"/>
    </row>
    <row r="47" s="383" customFormat="1" ht="13.5" customHeight="1" spans="1:7">
      <c r="A47" s="437" t="s">
        <v>1006</v>
      </c>
      <c r="B47" s="449" t="s">
        <v>1079</v>
      </c>
      <c r="C47" s="439">
        <f ca="1">ROUND(C40*F27,4)</f>
        <v>0.002</v>
      </c>
      <c r="D47" s="466"/>
      <c r="E47" s="433"/>
      <c r="F47" s="447"/>
      <c r="G47" s="448"/>
    </row>
    <row r="48" s="383" customFormat="1" ht="13.5" customHeight="1" spans="1:7">
      <c r="A48" s="401" t="s">
        <v>1052</v>
      </c>
      <c r="B48" s="402" t="s">
        <v>1058</v>
      </c>
      <c r="C48" s="2487">
        <f>ROUND(F30/(1+'数据-取费表'!C42),4)</f>
        <v>0.0533</v>
      </c>
      <c r="D48" s="433" t="s">
        <v>1074</v>
      </c>
      <c r="E48" s="429"/>
      <c r="F48" s="436">
        <f>F30</f>
        <v>0.056</v>
      </c>
      <c r="G48" s="434" t="s">
        <v>1080</v>
      </c>
    </row>
    <row r="49" ht="16.5" customHeight="1" spans="1:7">
      <c r="A49" s="401" t="s">
        <v>1057</v>
      </c>
      <c r="B49" s="402" t="s">
        <v>1081</v>
      </c>
      <c r="C49" s="429">
        <f ca="1">ROUND((C33+C39+C41+C45)/(1-C40-D41-D45-C48),0)</f>
        <v>1461</v>
      </c>
      <c r="D49" s="429"/>
      <c r="E49" s="429"/>
      <c r="F49" s="467"/>
      <c r="G49" s="434" t="s">
        <v>1082</v>
      </c>
    </row>
    <row r="50" s="385" customFormat="1" ht="26" spans="1:7">
      <c r="A50" s="401" t="s">
        <v>1083</v>
      </c>
      <c r="B50" s="402" t="s">
        <v>1084</v>
      </c>
      <c r="C50" s="429"/>
      <c r="D50" s="429"/>
      <c r="E50" s="429"/>
      <c r="F50" s="467">
        <f>IF('数据-取费表'!B24=0,'数据-取费表'!N16,1)</f>
        <v>0.74</v>
      </c>
      <c r="G50" s="448" t="s">
        <v>1085</v>
      </c>
    </row>
    <row r="51" ht="16.5" customHeight="1" spans="1:7">
      <c r="A51" s="401" t="s">
        <v>1086</v>
      </c>
      <c r="B51" s="402" t="s">
        <v>1087</v>
      </c>
      <c r="C51" s="429">
        <f ca="1">ROUND(C49*F50,0)</f>
        <v>1081</v>
      </c>
      <c r="D51" s="429"/>
      <c r="E51" s="429"/>
      <c r="F51" s="467"/>
      <c r="G51" s="434" t="s">
        <v>1088</v>
      </c>
    </row>
    <row r="52" s="382" customFormat="1" ht="16.25" spans="1:7">
      <c r="A52" s="468" t="s">
        <v>1089</v>
      </c>
      <c r="B52" s="469"/>
      <c r="C52" s="470">
        <f ca="1">C31+C51</f>
        <v>3775</v>
      </c>
      <c r="D52" s="469"/>
      <c r="E52" s="469"/>
      <c r="F52" s="469"/>
      <c r="G52" s="471"/>
    </row>
    <row r="55" ht="15.5" spans="2:3">
      <c r="B55" s="472" t="s">
        <v>1090</v>
      </c>
      <c r="C55" s="473"/>
    </row>
    <row r="56" ht="13" spans="2:3">
      <c r="B56" s="474" t="s">
        <v>1091</v>
      </c>
      <c r="C56" s="476">
        <f ca="1">1-C57</f>
        <v>0.714</v>
      </c>
    </row>
    <row r="57" ht="13" spans="2:3">
      <c r="B57" s="474" t="s">
        <v>1092</v>
      </c>
      <c r="C57" s="475">
        <f ca="1">ROUND(C51/C52,3)</f>
        <v>0.286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688" customWidth="1"/>
    <col min="2" max="9" width="10" style="3688" customWidth="1"/>
    <col min="10" max="16384" width="9" style="3688"/>
  </cols>
  <sheetData>
    <row r="36" spans="1:2">
      <c r="A36" s="3687" t="s">
        <v>75</v>
      </c>
      <c r="B36" s="3687" t="s">
        <v>76</v>
      </c>
    </row>
    <row r="37" ht="27.75" customHeight="1" spans="1:9">
      <c r="A37" s="3687"/>
      <c r="B37" s="3689" t="str">
        <f>项目基本情况!B1</f>
        <v>房地产抵押价值预评估</v>
      </c>
      <c r="C37" s="3689"/>
      <c r="D37" s="3689"/>
      <c r="E37" s="3689"/>
      <c r="F37" s="3689"/>
      <c r="G37" s="3689"/>
      <c r="H37" s="3689"/>
      <c r="I37" s="3689"/>
    </row>
    <row r="38" spans="1:2">
      <c r="A38" s="3690"/>
      <c r="B38" s="3690"/>
    </row>
    <row r="39" spans="1:2">
      <c r="A39" s="3687" t="s">
        <v>75</v>
      </c>
      <c r="B39" s="3687" t="s">
        <v>77</v>
      </c>
    </row>
    <row r="40" spans="1:2">
      <c r="A40" s="3687"/>
      <c r="B40" s="3691">
        <f>项目基本情况!B5</f>
        <v>0</v>
      </c>
    </row>
    <row r="41" spans="1:2">
      <c r="A41" s="3687"/>
      <c r="B41" s="3687"/>
    </row>
    <row r="42" spans="1:2">
      <c r="A42" s="3687" t="s">
        <v>75</v>
      </c>
      <c r="B42" s="3687" t="s">
        <v>78</v>
      </c>
    </row>
    <row r="43" spans="1:2">
      <c r="A43" s="3687"/>
      <c r="B43" s="3691" t="s">
        <v>79</v>
      </c>
    </row>
    <row r="44" spans="1:2">
      <c r="A44" s="3687"/>
      <c r="B44" s="3687"/>
    </row>
    <row r="45" spans="1:2">
      <c r="A45" s="3687" t="s">
        <v>75</v>
      </c>
      <c r="B45" s="3687" t="s">
        <v>80</v>
      </c>
    </row>
    <row r="46" s="3687" customFormat="1" ht="13.5" spans="2:2">
      <c r="B46" s="3691" t="str">
        <f ca="1">项目基本情况!K4</f>
        <v>（注册号：0)、（注册号：0)</v>
      </c>
    </row>
    <row r="47" spans="1:2">
      <c r="A47" s="3687"/>
      <c r="B47" s="3687" t="str">
        <f ca="1">项目基本情况!K5</f>
        <v>（注册号：0)、（注册号：0)</v>
      </c>
    </row>
    <row r="48" spans="1:2">
      <c r="A48" s="3687" t="s">
        <v>75</v>
      </c>
      <c r="B48" s="3687" t="s">
        <v>81</v>
      </c>
    </row>
    <row r="49" spans="2:2">
      <c r="B49" s="369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8" width="10.7545454545455" style="387" customWidth="1"/>
    <col min="9" max="254" width="9" style="387" customWidth="1"/>
    <col min="255" max="16384" width="8.37272727272727" style="387"/>
  </cols>
  <sheetData>
    <row r="1" s="381" customFormat="1" ht="21" spans="1:8">
      <c r="A1" s="389" t="s">
        <v>994</v>
      </c>
      <c r="B1" s="2476"/>
      <c r="C1" s="2477" t="s">
        <v>1093</v>
      </c>
      <c r="D1" s="391"/>
      <c r="E1" s="391"/>
      <c r="F1" s="391"/>
      <c r="G1" s="2478">
        <f>MATCH(B1,'数据-取费表'!A6:A16,0)+5</f>
        <v>7</v>
      </c>
      <c r="H1" s="2013" t="str">
        <f>IF(ISERROR(FIND("住宅",B1)),"非住宅","住宅")</f>
        <v>非住宅</v>
      </c>
    </row>
    <row r="2" s="381" customFormat="1" ht="18" customHeight="1" spans="1:7">
      <c r="A2" s="393" t="s">
        <v>995</v>
      </c>
      <c r="B2" s="2479">
        <f ca="1">ROUND(IF(D2="——",C52/10000,C52/10000-E2),4)</f>
        <v>1236.3845</v>
      </c>
      <c r="C2" s="392" t="s">
        <v>996</v>
      </c>
      <c r="D2" s="2480" t="s">
        <v>124</v>
      </c>
      <c r="E2" s="2481" t="e">
        <f ca="1">SUMIF(INDIRECT("'"&amp;G2&amp;"'"&amp;"!A:A"),"承租人权益价值",INDIRECT("'"&amp;G2&amp;"'"&amp;"!c:c"))</f>
        <v>#REF!</v>
      </c>
      <c r="F2" s="2482" t="s">
        <v>996</v>
      </c>
      <c r="G2" s="2483"/>
    </row>
    <row r="3" s="381" customFormat="1" ht="18" customHeight="1" spans="1:7">
      <c r="A3" s="396" t="s">
        <v>997</v>
      </c>
      <c r="B3" s="397">
        <f ca="1">ROUND(B2*10000/(IF(B1="",'数据-汇总表'!E3,INDIRECT("'数据-取费表'!k"&amp;$G$1))),0)</f>
        <v>4103</v>
      </c>
      <c r="C3" s="392" t="s">
        <v>998</v>
      </c>
      <c r="D3" s="392"/>
      <c r="E3" s="392"/>
      <c r="F3" s="392"/>
      <c r="G3" s="392"/>
    </row>
    <row r="4" s="382" customFormat="1" ht="15.5" spans="1:7">
      <c r="A4" s="398" t="s">
        <v>999</v>
      </c>
      <c r="B4" s="399"/>
      <c r="C4" s="399"/>
      <c r="D4" s="399"/>
      <c r="E4" s="399"/>
      <c r="F4" s="399"/>
      <c r="G4" s="400"/>
    </row>
    <row r="5" s="383" customFormat="1" ht="13.5" customHeight="1" spans="1:7">
      <c r="A5" s="401" t="s">
        <v>1000</v>
      </c>
      <c r="B5" s="402" t="s">
        <v>1001</v>
      </c>
      <c r="C5" s="403">
        <f ca="1">C6+C7+C8</f>
        <v>602600</v>
      </c>
      <c r="D5" s="403" t="s">
        <v>1002</v>
      </c>
      <c r="E5" s="404" t="s">
        <v>1003</v>
      </c>
      <c r="F5" s="404" t="s">
        <v>898</v>
      </c>
      <c r="G5" s="405"/>
    </row>
    <row r="6" s="383" customFormat="1" ht="13.5" customHeight="1" spans="1:7">
      <c r="A6" s="406" t="s">
        <v>1004</v>
      </c>
      <c r="B6" s="407" t="s">
        <v>1005</v>
      </c>
      <c r="C6" s="408"/>
      <c r="D6" s="409"/>
      <c r="E6" s="410"/>
      <c r="F6" s="410"/>
      <c r="G6" s="411"/>
    </row>
    <row r="7" s="383" customFormat="1" ht="13.5" customHeight="1" spans="1:7">
      <c r="A7" s="406" t="s">
        <v>1006</v>
      </c>
      <c r="B7" s="407" t="s">
        <v>1007</v>
      </c>
      <c r="C7" s="412">
        <f>ROUND(C6*F7,0)</f>
        <v>0</v>
      </c>
      <c r="D7" s="412"/>
      <c r="E7" s="410"/>
      <c r="F7" s="413">
        <f>IF(项目基本情况!B8="出让",0,'数据-取费表'!B48+'数据-取费表'!B49)</f>
        <v>0.0305</v>
      </c>
      <c r="G7" s="411"/>
    </row>
    <row r="8" s="384" customFormat="1" ht="13" spans="1:7">
      <c r="A8" s="406" t="s">
        <v>1008</v>
      </c>
      <c r="B8" s="407" t="s">
        <v>1009</v>
      </c>
      <c r="C8" s="412">
        <f ca="1">IF(G8="已包含在土地购买价格中",0,C9+C10)</f>
        <v>602600</v>
      </c>
      <c r="D8" s="414"/>
      <c r="E8" s="412"/>
      <c r="F8" s="413"/>
      <c r="G8" s="2484"/>
    </row>
    <row r="9" s="383" customFormat="1" ht="13.5" customHeight="1" spans="1:7">
      <c r="A9" s="416" t="s">
        <v>1011</v>
      </c>
      <c r="B9" s="417" t="s">
        <v>1012</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1014</v>
      </c>
      <c r="B10" s="417" t="s">
        <v>1015</v>
      </c>
      <c r="C10" s="418">
        <f ca="1">ROUND(D10*E10,0)</f>
        <v>602600</v>
      </c>
      <c r="D10" s="419">
        <f ca="1">IF(B1="",'数据-汇总表'!E6,IF(INDIRECT("'数据-取费表'!c"&amp;$G$1)="住宅",INDIRECT("'数据-取费表'!s"&amp;$G$1),INDIRECT("'数据-取费表'!k"&amp;$G$1)+INDIRECT("'数据-取费表'!s"&amp;$G$1)))</f>
        <v>3013</v>
      </c>
      <c r="E10" s="418">
        <f>'数据-取费表'!B28</f>
        <v>200</v>
      </c>
      <c r="F10" s="413"/>
      <c r="G10" s="420"/>
    </row>
    <row r="11" s="383" customFormat="1" ht="13.5" hidden="1" customHeight="1" spans="1:7">
      <c r="A11" s="421" t="s">
        <v>1016</v>
      </c>
      <c r="B11" s="407" t="s">
        <v>1017</v>
      </c>
      <c r="C11" s="403"/>
      <c r="D11" s="422"/>
      <c r="E11" s="410"/>
      <c r="F11" s="410"/>
      <c r="G11" s="411"/>
    </row>
    <row r="12" s="383" customFormat="1" ht="13.5" hidden="1" customHeight="1" spans="1:7">
      <c r="A12" s="421" t="s">
        <v>1018</v>
      </c>
      <c r="B12" s="407" t="s">
        <v>935</v>
      </c>
      <c r="C12" s="403">
        <v>0</v>
      </c>
      <c r="D12" s="422"/>
      <c r="E12" s="423"/>
      <c r="F12" s="413">
        <v>0.0305</v>
      </c>
      <c r="G12" s="411"/>
    </row>
    <row r="13" s="383" customFormat="1" ht="13.5" hidden="1" customHeight="1" spans="1:7">
      <c r="A13" s="421" t="s">
        <v>1019</v>
      </c>
      <c r="B13" s="407" t="s">
        <v>1020</v>
      </c>
      <c r="C13" s="403"/>
      <c r="D13" s="422"/>
      <c r="E13" s="410"/>
      <c r="F13" s="410"/>
      <c r="G13" s="411"/>
    </row>
    <row r="14" s="383" customFormat="1" ht="13.5" hidden="1" customHeight="1" spans="1:7">
      <c r="A14" s="421" t="s">
        <v>1021</v>
      </c>
      <c r="B14" s="407" t="s">
        <v>1009</v>
      </c>
      <c r="C14" s="403"/>
      <c r="D14" s="422"/>
      <c r="E14" s="410"/>
      <c r="F14" s="410"/>
      <c r="G14" s="411" t="s">
        <v>1022</v>
      </c>
    </row>
    <row r="15" s="383" customFormat="1" ht="13.5" hidden="1" customHeight="1" spans="1:7">
      <c r="A15" s="421" t="s">
        <v>1023</v>
      </c>
      <c r="B15" s="407" t="s">
        <v>1024</v>
      </c>
      <c r="C15" s="412"/>
      <c r="D15" s="422"/>
      <c r="E15" s="410"/>
      <c r="F15" s="410"/>
      <c r="G15" s="411" t="s">
        <v>1025</v>
      </c>
    </row>
    <row r="16" s="383" customFormat="1" ht="13.5" hidden="1" customHeight="1" spans="1:7">
      <c r="A16" s="421" t="s">
        <v>1026</v>
      </c>
      <c r="B16" s="407" t="s">
        <v>1009</v>
      </c>
      <c r="C16" s="412"/>
      <c r="D16" s="422"/>
      <c r="E16" s="410"/>
      <c r="F16" s="410"/>
      <c r="G16" s="411"/>
    </row>
    <row r="17" s="383" customFormat="1" ht="13.5" hidden="1" customHeight="1" spans="1:7">
      <c r="A17" s="421" t="s">
        <v>1027</v>
      </c>
      <c r="B17" s="407" t="s">
        <v>1028</v>
      </c>
      <c r="C17" s="424"/>
      <c r="D17" s="425"/>
      <c r="E17" s="424"/>
      <c r="F17" s="424"/>
      <c r="G17" s="411" t="s">
        <v>1025</v>
      </c>
    </row>
    <row r="18" s="383" customFormat="1" ht="13.5" hidden="1" customHeight="1" spans="1:7">
      <c r="A18" s="421" t="s">
        <v>1029</v>
      </c>
      <c r="B18" s="407" t="s">
        <v>1030</v>
      </c>
      <c r="C18" s="412">
        <v>0</v>
      </c>
      <c r="D18" s="422"/>
      <c r="E18" s="410"/>
      <c r="F18" s="413">
        <v>0.0305</v>
      </c>
      <c r="G18" s="411" t="s">
        <v>1031</v>
      </c>
    </row>
    <row r="19" s="384" customFormat="1" ht="13.5" customHeight="1" spans="1:7">
      <c r="A19" s="401" t="s">
        <v>1032</v>
      </c>
      <c r="B19" s="402" t="s">
        <v>1033</v>
      </c>
      <c r="C19" s="403">
        <f ca="1">IF(G19="已包含在土地取得成本中","0",ROUND(D19*E19,0))</f>
        <v>602600</v>
      </c>
      <c r="D19" s="427">
        <f ca="1">D9+D10</f>
        <v>3013</v>
      </c>
      <c r="E19" s="403">
        <f>'数据-取费表'!B31</f>
        <v>200</v>
      </c>
      <c r="F19" s="428"/>
      <c r="G19" s="2484"/>
    </row>
    <row r="20" s="383" customFormat="1" ht="13.5" customHeight="1" spans="1:7">
      <c r="A20" s="401" t="s">
        <v>1035</v>
      </c>
      <c r="B20" s="402" t="s">
        <v>1036</v>
      </c>
      <c r="C20" s="429">
        <f ca="1">ROUND((C5+C19)*F20,0)</f>
        <v>24104</v>
      </c>
      <c r="D20" s="429"/>
      <c r="E20" s="429"/>
      <c r="F20" s="430">
        <f>'数据-取费表'!B37</f>
        <v>0.02</v>
      </c>
      <c r="G20" s="434" t="s">
        <v>1037</v>
      </c>
    </row>
    <row r="21" s="383" customFormat="1" ht="13.5" customHeight="1" spans="1:7">
      <c r="A21" s="401" t="s">
        <v>1038</v>
      </c>
      <c r="B21" s="402" t="s">
        <v>1039</v>
      </c>
      <c r="C21" s="432">
        <f>F21</f>
        <v>0.02</v>
      </c>
      <c r="D21" s="433" t="s">
        <v>1040</v>
      </c>
      <c r="E21" s="429"/>
      <c r="F21" s="430">
        <f>'数据-取费表'!B38</f>
        <v>0.02</v>
      </c>
      <c r="G21" s="434" t="s">
        <v>1041</v>
      </c>
    </row>
    <row r="22" s="383" customFormat="1" ht="13.5" customHeight="1" spans="1:7">
      <c r="A22" s="401" t="s">
        <v>1042</v>
      </c>
      <c r="B22" s="402" t="s">
        <v>1043</v>
      </c>
      <c r="C22" s="2485">
        <f ca="1">ROUND(SUM(C23:C25),0)</f>
        <v>82907</v>
      </c>
      <c r="D22" s="432">
        <f ca="1">C26</f>
        <v>0.0007</v>
      </c>
      <c r="E22" s="433" t="s">
        <v>1040</v>
      </c>
      <c r="F22" s="436">
        <f ca="1">'数据-取费表'!B40</f>
        <v>0.0335</v>
      </c>
      <c r="G22" s="434" t="str">
        <f>IF('数据-取费表'!B22&lt;=1,"单利计息","复利计息")</f>
        <v>复利计息</v>
      </c>
    </row>
    <row r="23" s="383" customFormat="1" ht="13.5" customHeight="1" spans="1:7">
      <c r="A23" s="437" t="s">
        <v>1004</v>
      </c>
      <c r="B23" s="407" t="s">
        <v>1044</v>
      </c>
      <c r="C23" s="2486">
        <f ca="1">ROUND(IF('数据-取费表'!B22&lt;=1,C5*F22*'数据-取费表'!B22,C5*(POWER((1+F22),'数据-取费表'!B22)-1)),0)</f>
        <v>41050</v>
      </c>
      <c r="D23" s="439"/>
      <c r="E23" s="439"/>
      <c r="F23" s="440"/>
      <c r="G23" s="441" t="s">
        <v>1045</v>
      </c>
    </row>
    <row r="24" s="383" customFormat="1" ht="13.5" customHeight="1" spans="1:7">
      <c r="A24" s="437" t="s">
        <v>1006</v>
      </c>
      <c r="B24" s="407" t="s">
        <v>1046</v>
      </c>
      <c r="C24" s="2486">
        <f ca="1">ROUND(IF('数据-取费表'!B22&lt;=1,C19*F22*('数据-取费表'!B19/2+'数据-取费表'!B20),C19*(POWER((1+F22),('数据-取费表'!B19/2+'数据-取费表'!B20))-1)),0)</f>
        <v>41050</v>
      </c>
      <c r="D24" s="439"/>
      <c r="E24" s="439"/>
      <c r="F24" s="440"/>
      <c r="G24" s="441" t="s">
        <v>1047</v>
      </c>
    </row>
    <row r="25" s="383" customFormat="1" ht="26" spans="1:7">
      <c r="A25" s="437" t="s">
        <v>1008</v>
      </c>
      <c r="B25" s="407" t="s">
        <v>1048</v>
      </c>
      <c r="C25" s="2486">
        <f ca="1">ROUND(IF('数据-取费表'!B22&lt;=1,C20*F22*'数据-取费表'!B22/2,C20*(POWER((1+F22),'数据-取费表'!B22/2)-1)),0)</f>
        <v>807</v>
      </c>
      <c r="D25" s="439"/>
      <c r="E25" s="442"/>
      <c r="F25" s="440"/>
      <c r="G25" s="443" t="s">
        <v>1049</v>
      </c>
    </row>
    <row r="26" s="383" customFormat="1" ht="13" spans="1:7">
      <c r="A26" s="437" t="s">
        <v>1050</v>
      </c>
      <c r="B26" s="407" t="s">
        <v>1051</v>
      </c>
      <c r="C26" s="439">
        <f ca="1">ROUND(IF('数据-取费表'!B22&lt;=1,F21*F22*'数据-取费表'!B22/2,F21*(POWER((1+F22),'数据-取费表'!B22/2)-1)),4)</f>
        <v>0.0007</v>
      </c>
      <c r="D26" s="439"/>
      <c r="E26" s="442"/>
      <c r="F26" s="440"/>
      <c r="G26" s="444"/>
    </row>
    <row r="27" s="383" customFormat="1" ht="26" spans="1:7">
      <c r="A27" s="401" t="s">
        <v>1052</v>
      </c>
      <c r="B27" s="445" t="s">
        <v>1053</v>
      </c>
      <c r="C27" s="446">
        <f ca="1">C28</f>
        <v>122930</v>
      </c>
      <c r="D27" s="432">
        <f ca="1">C29</f>
        <v>0.002</v>
      </c>
      <c r="E27" s="433" t="s">
        <v>1040</v>
      </c>
      <c r="F27" s="447">
        <f ca="1">IF(B1="",'数据-取费表'!Q16,INDIRECT("'数据-取费表'!q"&amp;$G$1))</f>
        <v>0.1</v>
      </c>
      <c r="G27" s="448" t="s">
        <v>1054</v>
      </c>
    </row>
    <row r="28" s="383" customFormat="1" ht="13.5" customHeight="1" spans="1:7">
      <c r="A28" s="437" t="s">
        <v>1004</v>
      </c>
      <c r="B28" s="449" t="s">
        <v>1055</v>
      </c>
      <c r="C28" s="450">
        <f ca="1">ROUND((C5+C19+C20)*F27,0)</f>
        <v>122930</v>
      </c>
      <c r="D28" s="432"/>
      <c r="E28" s="433"/>
      <c r="F28" s="447"/>
      <c r="G28" s="448"/>
    </row>
    <row r="29" s="383" customFormat="1" ht="13.5" customHeight="1" spans="1:7">
      <c r="A29" s="437" t="s">
        <v>1006</v>
      </c>
      <c r="B29" s="449" t="s">
        <v>1056</v>
      </c>
      <c r="C29" s="439">
        <f ca="1">ROUND(C21*F27,4)</f>
        <v>0.002</v>
      </c>
      <c r="D29" s="432"/>
      <c r="E29" s="433"/>
      <c r="F29" s="447"/>
      <c r="G29" s="448"/>
    </row>
    <row r="30" s="383" customFormat="1" ht="13.5" customHeight="1" spans="1:7">
      <c r="A30" s="401" t="s">
        <v>1057</v>
      </c>
      <c r="B30" s="402" t="s">
        <v>1058</v>
      </c>
      <c r="C30" s="432">
        <f>ROUND(F30/(1+'数据-取费表'!C42),4)</f>
        <v>0.0533</v>
      </c>
      <c r="D30" s="433" t="s">
        <v>1040</v>
      </c>
      <c r="E30" s="442"/>
      <c r="F30" s="436">
        <f>'数据-取费表'!B41</f>
        <v>0.056</v>
      </c>
      <c r="G30" s="434" t="s">
        <v>1059</v>
      </c>
    </row>
    <row r="31" ht="16.5" customHeight="1" spans="1:7">
      <c r="A31" s="451">
        <v>1</v>
      </c>
      <c r="B31" s="402" t="s">
        <v>1060</v>
      </c>
      <c r="C31" s="403">
        <f ca="1">ROUND((C5+C19+C20+C22+C27)/(1-C21-D22-D27-C30),0)</f>
        <v>1553183</v>
      </c>
      <c r="D31" s="452"/>
      <c r="E31" s="403"/>
      <c r="F31" s="453"/>
      <c r="G31" s="434" t="s">
        <v>1061</v>
      </c>
    </row>
    <row r="32" s="382" customFormat="1" ht="15.5" spans="1:7">
      <c r="A32" s="454" t="s">
        <v>1094</v>
      </c>
      <c r="B32" s="455"/>
      <c r="C32" s="455"/>
      <c r="D32" s="455"/>
      <c r="E32" s="455"/>
      <c r="F32" s="455"/>
      <c r="G32" s="456"/>
    </row>
    <row r="33" s="383" customFormat="1" ht="13.5" customHeight="1" spans="1:7">
      <c r="A33" s="401" t="s">
        <v>1000</v>
      </c>
      <c r="B33" s="402" t="s">
        <v>1095</v>
      </c>
      <c r="C33" s="457">
        <f ca="1">SUM(C34:C38)</f>
        <v>11675375</v>
      </c>
      <c r="D33" s="429"/>
      <c r="E33" s="404"/>
      <c r="F33" s="442"/>
      <c r="G33" s="434"/>
    </row>
    <row r="34" s="385" customFormat="1" ht="13.5" customHeight="1" spans="1:7">
      <c r="A34" s="437" t="s">
        <v>1004</v>
      </c>
      <c r="B34" s="407" t="s">
        <v>1064</v>
      </c>
      <c r="C34" s="412">
        <f ca="1">ROUND(IF(B1="",SUMPRODUCT('数据-取费表'!K6:K14,'数据-取费表'!L6:L14),INDIRECT("'数据-取费表'!l"&amp;$G$1)*INDIRECT("'数据-取费表'!k"&amp;$G$1)+'数据-取费表'!L14*INDIRECT("'数据-取费表'!S"&amp;$G$1)),0)</f>
        <v>10545500</v>
      </c>
      <c r="D34" s="409"/>
      <c r="E34" s="412"/>
      <c r="F34" s="458"/>
      <c r="G34" s="411"/>
    </row>
    <row r="35" ht="13.5" customHeight="1" spans="1:7">
      <c r="A35" s="437" t="s">
        <v>1006</v>
      </c>
      <c r="B35" s="407" t="s">
        <v>1066</v>
      </c>
      <c r="C35" s="412">
        <f ca="1">ROUND(C34*F35,0)</f>
        <v>316365</v>
      </c>
      <c r="D35" s="412"/>
      <c r="E35" s="412"/>
      <c r="F35" s="459">
        <f>'数据-取费表'!B33</f>
        <v>0.03</v>
      </c>
      <c r="G35" s="411" t="s">
        <v>1067</v>
      </c>
    </row>
    <row r="36" ht="26" spans="1:7">
      <c r="A36" s="437" t="s">
        <v>1008</v>
      </c>
      <c r="B36" s="407" t="s">
        <v>1068</v>
      </c>
      <c r="C36" s="412">
        <f ca="1">ROUND(IF(B1="",SUM('数据-取费表'!AP6:AP13)*F36,IF(INDIRECT("'数据-取费表'!c"&amp;$G$1)="住宅",INDIRECT("'数据-取费表'!k"&amp;$G$1)*INDIRECT("'数据-取费表'!l"&amp;$G$1)*F36,0)),0)</f>
        <v>0</v>
      </c>
      <c r="D36" s="412"/>
      <c r="E36" s="412"/>
      <c r="F36" s="459">
        <f>'数据-取费表'!B34</f>
        <v>0</v>
      </c>
      <c r="G36" s="460" t="s">
        <v>1069</v>
      </c>
    </row>
    <row r="37" s="385" customFormat="1" ht="13.5" customHeight="1" spans="1:7">
      <c r="A37" s="437" t="s">
        <v>1050</v>
      </c>
      <c r="B37" s="407" t="s">
        <v>1070</v>
      </c>
      <c r="C37" s="450">
        <f ca="1">ROUND(E37*D37,0)</f>
        <v>602600</v>
      </c>
      <c r="D37" s="409">
        <f ca="1">D19</f>
        <v>3013</v>
      </c>
      <c r="E37" s="450">
        <f>'数据-取费表'!B35</f>
        <v>200</v>
      </c>
      <c r="F37" s="459"/>
      <c r="G37" s="461"/>
    </row>
    <row r="38" ht="13.5" customHeight="1" spans="1:7">
      <c r="A38" s="437" t="s">
        <v>1072</v>
      </c>
      <c r="B38" s="407" t="s">
        <v>935</v>
      </c>
      <c r="C38" s="412">
        <f ca="1">ROUND(C34*F38,0)</f>
        <v>210910</v>
      </c>
      <c r="D38" s="412"/>
      <c r="E38" s="412"/>
      <c r="F38" s="459">
        <f>'数据-取费表'!B36</f>
        <v>0.02</v>
      </c>
      <c r="G38" s="411" t="s">
        <v>1067</v>
      </c>
    </row>
    <row r="39" s="383" customFormat="1" ht="13.5" customHeight="1" spans="1:7">
      <c r="A39" s="401" t="s">
        <v>1032</v>
      </c>
      <c r="B39" s="402" t="s">
        <v>1036</v>
      </c>
      <c r="C39" s="429">
        <f ca="1">ROUND(C33*F20,0)</f>
        <v>233508</v>
      </c>
      <c r="D39" s="429"/>
      <c r="E39" s="429"/>
      <c r="F39" s="430">
        <f>F20</f>
        <v>0.02</v>
      </c>
      <c r="G39" s="434" t="s">
        <v>1073</v>
      </c>
    </row>
    <row r="40" s="383" customFormat="1" ht="13.5" customHeight="1" spans="1:7">
      <c r="A40" s="401" t="s">
        <v>1035</v>
      </c>
      <c r="B40" s="402" t="s">
        <v>1039</v>
      </c>
      <c r="C40" s="2487">
        <f>F21</f>
        <v>0.02</v>
      </c>
      <c r="D40" s="433" t="s">
        <v>1074</v>
      </c>
      <c r="E40" s="429"/>
      <c r="F40" s="430">
        <f>F21</f>
        <v>0.02</v>
      </c>
      <c r="G40" s="434" t="s">
        <v>1075</v>
      </c>
    </row>
    <row r="41" s="383" customFormat="1" ht="13.5" customHeight="1" spans="1:7">
      <c r="A41" s="401" t="s">
        <v>1038</v>
      </c>
      <c r="B41" s="402" t="s">
        <v>1043</v>
      </c>
      <c r="C41" s="429">
        <f ca="1">ROUND(SUM(C42:C43),0)</f>
        <v>398948</v>
      </c>
      <c r="D41" s="432">
        <f ca="1">C44</f>
        <v>0.0007</v>
      </c>
      <c r="E41" s="433" t="s">
        <v>1074</v>
      </c>
      <c r="F41" s="436">
        <f ca="1">F22</f>
        <v>0.0335</v>
      </c>
      <c r="G41" s="434" t="str">
        <f>IF('数据-取费表'!B22&lt;=1,"单利计息","复利计息")</f>
        <v>复利计息</v>
      </c>
    </row>
    <row r="42" ht="13.5" customHeight="1" spans="1:7">
      <c r="A42" s="437" t="s">
        <v>1004</v>
      </c>
      <c r="B42" s="407" t="s">
        <v>1044</v>
      </c>
      <c r="C42" s="439">
        <f ca="1">ROUND(IF('数据-取费表'!B22&lt;=1,C33*F22*'数据-取费表'!B20/2,C33*(POWER((1+F22),'数据-取费表'!B20/2)-1)),0)</f>
        <v>391125</v>
      </c>
      <c r="D42" s="439"/>
      <c r="E42" s="439"/>
      <c r="F42" s="440"/>
      <c r="G42" s="463" t="s">
        <v>1096</v>
      </c>
    </row>
    <row r="43" ht="13.5" customHeight="1" spans="1:7">
      <c r="A43" s="437" t="s">
        <v>1006</v>
      </c>
      <c r="B43" s="407" t="s">
        <v>1046</v>
      </c>
      <c r="C43" s="439">
        <f ca="1">ROUND(IF('数据-取费表'!B22&lt;=1,C39*F22*'数据-取费表'!B20/2,C39*(POWER((1+F22),'数据-取费表'!B20/2)-1)),0)</f>
        <v>7823</v>
      </c>
      <c r="D43" s="439"/>
      <c r="E43" s="439"/>
      <c r="F43" s="440"/>
      <c r="G43" s="464"/>
    </row>
    <row r="44" ht="13.5" customHeight="1" spans="1:7">
      <c r="A44" s="437" t="s">
        <v>1008</v>
      </c>
      <c r="B44" s="407" t="s">
        <v>1048</v>
      </c>
      <c r="C44" s="439">
        <f ca="1">ROUND(IF('数据-取费表'!B22&lt;=1,C40*F22*'数据-取费表'!B20/2,C40*(POWER((1+F22),'数据-取费表'!B20/2)-1)),4)</f>
        <v>0.0007</v>
      </c>
      <c r="D44" s="439"/>
      <c r="E44" s="439"/>
      <c r="F44" s="440"/>
      <c r="G44" s="465"/>
    </row>
    <row r="45" s="383" customFormat="1" ht="13.5" customHeight="1" spans="1:7">
      <c r="A45" s="401" t="s">
        <v>1042</v>
      </c>
      <c r="B45" s="445" t="s">
        <v>1053</v>
      </c>
      <c r="C45" s="446">
        <f ca="1">C46</f>
        <v>1190888</v>
      </c>
      <c r="D45" s="432">
        <f ca="1">C47</f>
        <v>0.002</v>
      </c>
      <c r="E45" s="433" t="s">
        <v>1074</v>
      </c>
      <c r="F45" s="447">
        <f ca="1">F27</f>
        <v>0.1</v>
      </c>
      <c r="G45" s="448" t="s">
        <v>1077</v>
      </c>
    </row>
    <row r="46" s="383" customFormat="1" ht="13.5" customHeight="1" spans="1:7">
      <c r="A46" s="437" t="s">
        <v>1004</v>
      </c>
      <c r="B46" s="449" t="s">
        <v>1078</v>
      </c>
      <c r="C46" s="450">
        <f ca="1">ROUND((C33+C39)*F27,0)</f>
        <v>1190888</v>
      </c>
      <c r="D46" s="466"/>
      <c r="E46" s="433"/>
      <c r="F46" s="447"/>
      <c r="G46" s="448"/>
    </row>
    <row r="47" s="383" customFormat="1" ht="13.5" customHeight="1" spans="1:7">
      <c r="A47" s="437" t="s">
        <v>1006</v>
      </c>
      <c r="B47" s="449" t="s">
        <v>1079</v>
      </c>
      <c r="C47" s="439">
        <f ca="1">ROUND(C40*F27,4)</f>
        <v>0.002</v>
      </c>
      <c r="D47" s="466"/>
      <c r="E47" s="433"/>
      <c r="F47" s="447"/>
      <c r="G47" s="448"/>
    </row>
    <row r="48" s="383" customFormat="1" ht="13.5" customHeight="1" spans="1:7">
      <c r="A48" s="401" t="s">
        <v>1052</v>
      </c>
      <c r="B48" s="402" t="s">
        <v>1058</v>
      </c>
      <c r="C48" s="462">
        <f>ROUND(F30/(1+'数据-取费表'!C42),4)</f>
        <v>0.0533</v>
      </c>
      <c r="D48" s="433" t="s">
        <v>1074</v>
      </c>
      <c r="E48" s="429"/>
      <c r="F48" s="436">
        <f>F30</f>
        <v>0.056</v>
      </c>
      <c r="G48" s="434" t="s">
        <v>1080</v>
      </c>
    </row>
    <row r="49" ht="16.5" customHeight="1" spans="1:7">
      <c r="A49" s="401" t="s">
        <v>1057</v>
      </c>
      <c r="B49" s="402" t="s">
        <v>1097</v>
      </c>
      <c r="C49" s="429">
        <f ca="1">ROUND((C33+C39+C41+C45)/(1-C40-D41-D45-C48),0)</f>
        <v>14609003</v>
      </c>
      <c r="D49" s="429"/>
      <c r="E49" s="429"/>
      <c r="F49" s="467"/>
      <c r="G49" s="434" t="s">
        <v>1082</v>
      </c>
    </row>
    <row r="50" s="385" customFormat="1" ht="13" spans="1:7">
      <c r="A50" s="401" t="s">
        <v>1083</v>
      </c>
      <c r="B50" s="402" t="s">
        <v>1084</v>
      </c>
      <c r="C50" s="429"/>
      <c r="D50" s="429"/>
      <c r="E50" s="429"/>
      <c r="F50" s="467">
        <f>IF('数据-取费表'!B24=0,'数据-取费表'!N16,1)</f>
        <v>0.74</v>
      </c>
      <c r="G50" s="448"/>
    </row>
    <row r="51" ht="16.5" customHeight="1" spans="1:7">
      <c r="A51" s="401" t="s">
        <v>1086</v>
      </c>
      <c r="B51" s="402" t="s">
        <v>1098</v>
      </c>
      <c r="C51" s="429">
        <f ca="1">ROUND(C49*F50,0)</f>
        <v>10810662</v>
      </c>
      <c r="D51" s="429"/>
      <c r="E51" s="429"/>
      <c r="F51" s="467"/>
      <c r="G51" s="434" t="s">
        <v>1088</v>
      </c>
    </row>
    <row r="52" s="382" customFormat="1" ht="16.25" spans="1:7">
      <c r="A52" s="468" t="s">
        <v>1089</v>
      </c>
      <c r="B52" s="469"/>
      <c r="C52" s="470">
        <f ca="1">C31+C51</f>
        <v>12363845</v>
      </c>
      <c r="D52" s="469"/>
      <c r="E52" s="469"/>
      <c r="F52" s="469"/>
      <c r="G52" s="471"/>
    </row>
    <row r="55" ht="15.5" spans="2:3">
      <c r="B55" s="472" t="s">
        <v>1090</v>
      </c>
      <c r="C55" s="473"/>
    </row>
    <row r="56" ht="13" spans="2:3">
      <c r="B56" s="474" t="s">
        <v>1091</v>
      </c>
      <c r="C56" s="476">
        <f ca="1">1-C57</f>
        <v>0.126</v>
      </c>
    </row>
    <row r="57" ht="13" spans="2:3">
      <c r="B57" s="474" t="s">
        <v>1092</v>
      </c>
      <c r="C57" s="475">
        <f ca="1">ROUND(C51/C52,3)</f>
        <v>0.874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727272727273" defaultRowHeight="12.5"/>
  <cols>
    <col min="1" max="1" width="9.75454545454545" style="1470" customWidth="1"/>
    <col min="2" max="2" width="25.7545454545455" style="2390" customWidth="1"/>
    <col min="3" max="3" width="10.3727272727273" style="2391" customWidth="1"/>
    <col min="4" max="4" width="9.87272727272727" style="2390" customWidth="1"/>
    <col min="5" max="5" width="9.5" style="1470" customWidth="1"/>
    <col min="6" max="6" width="10.1272727272727" style="2390" customWidth="1"/>
    <col min="7" max="7" width="10.7545454545455" style="2390" customWidth="1"/>
    <col min="8" max="8" width="10" style="2390" customWidth="1"/>
    <col min="9" max="11" width="9.5" style="2390" customWidth="1"/>
    <col min="12" max="12" width="9" style="2390" customWidth="1"/>
    <col min="13" max="13" width="10.5" style="2390" customWidth="1"/>
    <col min="14" max="254" width="9" style="2390" customWidth="1"/>
    <col min="255" max="16384" width="6.62727272727273" style="2390"/>
  </cols>
  <sheetData>
    <row r="1" ht="21" spans="1:11">
      <c r="A1" s="389" t="s">
        <v>1099</v>
      </c>
      <c r="B1" s="2198"/>
      <c r="C1" s="2392"/>
      <c r="D1" s="2393"/>
      <c r="E1" s="2394"/>
      <c r="F1" s="2394"/>
      <c r="G1" s="2395"/>
      <c r="H1" s="2394"/>
      <c r="I1" s="2394"/>
      <c r="J1" s="2394"/>
      <c r="K1" s="2463">
        <f>MATCH(C1,'数据-取费表'!A6:A16,0)+5</f>
        <v>7</v>
      </c>
    </row>
    <row r="2" ht="18" customHeight="1" spans="1:11">
      <c r="A2" s="393" t="s">
        <v>995</v>
      </c>
      <c r="B2" s="397">
        <f ca="1">C32</f>
        <v>0</v>
      </c>
      <c r="C2" s="2396" t="s">
        <v>1100</v>
      </c>
      <c r="D2" s="2396"/>
      <c r="E2" s="2394"/>
      <c r="F2" s="2394"/>
      <c r="G2" s="2394"/>
      <c r="H2" s="2394"/>
      <c r="I2" s="2394"/>
      <c r="J2" s="2394"/>
      <c r="K2" s="2394"/>
    </row>
    <row r="3" ht="18" customHeight="1" spans="1:11">
      <c r="A3" s="396" t="s">
        <v>997</v>
      </c>
      <c r="B3" s="397">
        <f ca="1">ROUND(B2*10000/IF(C1="",'数据-汇总表'!E3,INDIRECT("'数据-取费表'!K"&amp;$K$1)),0)</f>
        <v>0</v>
      </c>
      <c r="C3" s="2396" t="s">
        <v>1101</v>
      </c>
      <c r="D3" s="2396"/>
      <c r="E3" s="2394"/>
      <c r="F3" s="2394"/>
      <c r="G3" s="2394"/>
      <c r="H3" s="2394"/>
      <c r="I3" s="2394"/>
      <c r="J3" s="2394"/>
      <c r="K3" s="2394"/>
    </row>
    <row r="4" s="2381" customFormat="1" ht="16.5" customHeight="1" spans="1:11">
      <c r="A4" s="2397" t="s">
        <v>1102</v>
      </c>
      <c r="B4" s="2398"/>
      <c r="C4" s="2399">
        <f>SUM(C8:K8)</f>
        <v>0</v>
      </c>
      <c r="D4" s="2398"/>
      <c r="E4" s="2398"/>
      <c r="F4" s="2398"/>
      <c r="G4" s="2398"/>
      <c r="H4" s="2398"/>
      <c r="I4" s="2398"/>
      <c r="J4" s="2398"/>
      <c r="K4" s="2464"/>
    </row>
    <row r="5" s="2382" customFormat="1" ht="14" spans="1:33">
      <c r="A5" s="2400" t="s">
        <v>1103</v>
      </c>
      <c r="B5" s="2401" t="s">
        <v>1104</v>
      </c>
      <c r="C5" s="2402"/>
      <c r="D5" s="2402"/>
      <c r="E5" s="2402"/>
      <c r="F5" s="2402"/>
      <c r="G5" s="2402"/>
      <c r="H5" s="2402"/>
      <c r="I5" s="2402"/>
      <c r="J5" s="2402"/>
      <c r="K5" s="2402"/>
      <c r="L5" s="2465"/>
      <c r="M5" s="2465"/>
      <c r="N5" s="2465"/>
      <c r="O5" s="2465"/>
      <c r="P5" s="2465"/>
      <c r="Q5" s="2465"/>
      <c r="R5" s="2465"/>
      <c r="S5" s="2465"/>
      <c r="T5" s="2465"/>
      <c r="U5" s="2465"/>
      <c r="V5" s="2465"/>
      <c r="W5" s="2465"/>
      <c r="X5" s="2465"/>
      <c r="Y5" s="2465"/>
      <c r="Z5" s="2465"/>
      <c r="AA5" s="2465"/>
      <c r="AB5" s="2465"/>
      <c r="AC5" s="2465"/>
      <c r="AD5" s="2465"/>
      <c r="AE5" s="2465"/>
      <c r="AF5" s="2465"/>
      <c r="AG5" s="2465"/>
    </row>
    <row r="6" s="2383" customFormat="1" ht="13.5" customHeight="1" spans="1:33">
      <c r="A6" s="2403" t="s">
        <v>903</v>
      </c>
      <c r="B6" s="2161" t="s">
        <v>1105</v>
      </c>
      <c r="C6" s="2404"/>
      <c r="D6" s="2404"/>
      <c r="E6" s="2404"/>
      <c r="F6" s="2404"/>
      <c r="G6" s="2404"/>
      <c r="H6" s="2404"/>
      <c r="I6" s="2404"/>
      <c r="J6" s="2404"/>
      <c r="K6" s="2466"/>
      <c r="L6" s="2467"/>
      <c r="M6" s="2467"/>
      <c r="N6" s="2467"/>
      <c r="O6" s="2467"/>
      <c r="P6" s="2467"/>
      <c r="Q6" s="2467"/>
      <c r="R6" s="2467"/>
      <c r="S6" s="2467"/>
      <c r="T6" s="2467"/>
      <c r="U6" s="2467"/>
      <c r="V6" s="2467"/>
      <c r="W6" s="2467"/>
      <c r="X6" s="2467"/>
      <c r="Y6" s="2467"/>
      <c r="Z6" s="2467"/>
      <c r="AA6" s="2467"/>
      <c r="AB6" s="2467"/>
      <c r="AC6" s="2467"/>
      <c r="AD6" s="2467"/>
      <c r="AE6" s="2467"/>
      <c r="AF6" s="2467"/>
      <c r="AG6" s="2467"/>
    </row>
    <row r="7" s="2383" customFormat="1" ht="13.5" customHeight="1" spans="1:33">
      <c r="A7" s="2403" t="s">
        <v>907</v>
      </c>
      <c r="B7" s="2161" t="s">
        <v>456</v>
      </c>
      <c r="C7" s="2405">
        <f>SUMIF('数据-汇总表'!$C19:$C33,假设开发法!C5,'数据-汇总表'!$E19:$E33)</f>
        <v>0</v>
      </c>
      <c r="D7" s="2405">
        <f>SUMIF('数据-汇总表'!$C19:$C33,假设开发法!D5,'数据-汇总表'!$E19:$E33)</f>
        <v>0</v>
      </c>
      <c r="E7" s="2405">
        <f>SUMIF('数据-汇总表'!$C19:$C33,假设开发法!E5,'数据-汇总表'!$E19:$E33)</f>
        <v>0</v>
      </c>
      <c r="F7" s="2405">
        <f>SUMIF('数据-汇总表'!$C19:$C33,假设开发法!F5,'数据-汇总表'!$E19:$E33)</f>
        <v>0</v>
      </c>
      <c r="G7" s="2405">
        <f>SUMIF('数据-汇总表'!$C19:$C33,假设开发法!G5,'数据-汇总表'!$E19:$E33)</f>
        <v>0</v>
      </c>
      <c r="H7" s="2405">
        <f>SUMIF('数据-汇总表'!$C19:$C33,假设开发法!H5,'数据-汇总表'!$E19:$E33)</f>
        <v>0</v>
      </c>
      <c r="I7" s="2405">
        <f>SUMIF('数据-汇总表'!$C19:$C33,假设开发法!I5,'数据-汇总表'!$E19:$E33)</f>
        <v>0</v>
      </c>
      <c r="J7" s="2405">
        <f>SUMIF('数据-汇总表'!$C19:$C33,假设开发法!J5,'数据-汇总表'!$E19:$E33)</f>
        <v>0</v>
      </c>
      <c r="K7" s="2468">
        <f>SUMIF('数据-汇总表'!$C19:$C33,假设开发法!K5,'数据-汇总表'!$E19:$E33)</f>
        <v>0</v>
      </c>
      <c r="L7" s="2467"/>
      <c r="M7" s="2467"/>
      <c r="N7" s="2467"/>
      <c r="O7" s="2467"/>
      <c r="P7" s="2467"/>
      <c r="Q7" s="2467"/>
      <c r="R7" s="2467"/>
      <c r="S7" s="2467"/>
      <c r="T7" s="2467"/>
      <c r="U7" s="2467"/>
      <c r="V7" s="2467"/>
      <c r="W7" s="2467"/>
      <c r="X7" s="2467"/>
      <c r="Y7" s="2467"/>
      <c r="Z7" s="2467"/>
      <c r="AA7" s="2467"/>
      <c r="AB7" s="2467"/>
      <c r="AC7" s="2467"/>
      <c r="AD7" s="2467"/>
      <c r="AE7" s="2467"/>
      <c r="AF7" s="2467"/>
      <c r="AG7" s="2467"/>
    </row>
    <row r="8" s="2383" customFormat="1" ht="13.5" customHeight="1" spans="1:33">
      <c r="A8" s="2406" t="s">
        <v>954</v>
      </c>
      <c r="B8" s="2407" t="s">
        <v>1106</v>
      </c>
      <c r="C8" s="2408"/>
      <c r="D8" s="2408"/>
      <c r="E8" s="2408"/>
      <c r="F8" s="2409"/>
      <c r="G8" s="2409"/>
      <c r="H8" s="2409"/>
      <c r="I8" s="2409"/>
      <c r="J8" s="2409"/>
      <c r="K8" s="2469"/>
      <c r="L8" s="2467"/>
      <c r="M8" s="2467"/>
      <c r="N8" s="2467"/>
      <c r="O8" s="2467"/>
      <c r="P8" s="2467"/>
      <c r="Q8" s="2467"/>
      <c r="R8" s="2467"/>
      <c r="S8" s="2467"/>
      <c r="T8" s="2467"/>
      <c r="U8" s="2467"/>
      <c r="V8" s="2467"/>
      <c r="W8" s="2467"/>
      <c r="X8" s="2467"/>
      <c r="Y8" s="2467"/>
      <c r="Z8" s="2467"/>
      <c r="AA8" s="2467"/>
      <c r="AB8" s="2467"/>
      <c r="AC8" s="2467"/>
      <c r="AD8" s="2467"/>
      <c r="AE8" s="2467"/>
      <c r="AF8" s="2467"/>
      <c r="AG8" s="2467"/>
    </row>
    <row r="9" s="2381" customFormat="1" ht="16.5" customHeight="1" spans="1:11">
      <c r="A9" s="2397" t="s">
        <v>1107</v>
      </c>
      <c r="B9" s="2398"/>
      <c r="C9" s="2398"/>
      <c r="D9" s="2398"/>
      <c r="E9" s="2398"/>
      <c r="F9" s="2398"/>
      <c r="G9" s="2398"/>
      <c r="H9" s="2398"/>
      <c r="I9" s="2398"/>
      <c r="J9" s="2398"/>
      <c r="K9" s="2464"/>
    </row>
    <row r="10" s="2384" customFormat="1" ht="13.5" customHeight="1" spans="1:11">
      <c r="A10" s="2400" t="s">
        <v>1103</v>
      </c>
      <c r="B10" s="2410" t="s">
        <v>1104</v>
      </c>
      <c r="C10" s="2411" t="s">
        <v>1108</v>
      </c>
      <c r="D10" s="2412" t="s">
        <v>1109</v>
      </c>
      <c r="E10" s="2412" t="s">
        <v>1110</v>
      </c>
      <c r="F10" s="2412" t="s">
        <v>1111</v>
      </c>
      <c r="G10" s="2410"/>
      <c r="H10" s="2413"/>
      <c r="I10" s="2413"/>
      <c r="J10" s="2413"/>
      <c r="K10" s="2470"/>
    </row>
    <row r="11" s="2385" customFormat="1" ht="13.5" customHeight="1" spans="1:11">
      <c r="A11" s="2414" t="s">
        <v>1011</v>
      </c>
      <c r="B11" s="2415" t="s">
        <v>1112</v>
      </c>
      <c r="C11" s="2416">
        <f ca="1">IF(C1="",'数据-取费表'!P16,INDIRECT("'数据-取费表'!p"&amp;$K$1)+INDIRECT("'数据-取费表'!ar"&amp;$K$1))</f>
        <v>0</v>
      </c>
      <c r="D11" s="2417"/>
      <c r="E11" s="2164"/>
      <c r="F11" s="2418">
        <f ca="1">1-IF('数据-取费表'!B24=0,1,IF(C1="",'数据-取费表'!N16,INDIRECT("'数据-取费表'!n"&amp;$K$1)))</f>
        <v>0</v>
      </c>
      <c r="G11" s="2410"/>
      <c r="H11" s="2413"/>
      <c r="I11" s="2413"/>
      <c r="J11" s="2413"/>
      <c r="K11" s="2470"/>
    </row>
    <row r="12" s="2385" customFormat="1" ht="13.5" customHeight="1" spans="1:11">
      <c r="A12" s="2414" t="s">
        <v>1014</v>
      </c>
      <c r="B12" s="2415" t="s">
        <v>1113</v>
      </c>
      <c r="C12" s="1428">
        <f ca="1">ROUND(C11*F12,0)</f>
        <v>0</v>
      </c>
      <c r="D12" s="2417"/>
      <c r="E12" s="2164"/>
      <c r="F12" s="2418">
        <f>'数据-取费表'!B33</f>
        <v>0.03</v>
      </c>
      <c r="G12" s="2410" t="s">
        <v>1114</v>
      </c>
      <c r="H12" s="2413"/>
      <c r="I12" s="2413"/>
      <c r="J12" s="2413"/>
      <c r="K12" s="2470"/>
    </row>
    <row r="13" s="2385" customFormat="1" ht="13.5" customHeight="1" spans="1:11">
      <c r="A13" s="2414" t="s">
        <v>1115</v>
      </c>
      <c r="B13" s="2415" t="s">
        <v>1116</v>
      </c>
      <c r="C13" s="1428">
        <f ca="1">ROUND(IF(C1="",SUMIF('数据-取费表'!C:C,"住宅",'数据-取费表'!P:P)*F13,IF(INDIRECT("'数据-取费表'!c"&amp;$K$1)="住宅",INDIRECT("'数据-取费表'!P"&amp;$K$1)*F13,0)),0)</f>
        <v>0</v>
      </c>
      <c r="D13" s="2419"/>
      <c r="E13" s="2164"/>
      <c r="F13" s="2418">
        <f>'数据-取费表'!B34</f>
        <v>0</v>
      </c>
      <c r="G13" s="2410" t="s">
        <v>1117</v>
      </c>
      <c r="H13" s="2413"/>
      <c r="I13" s="2413"/>
      <c r="J13" s="2413"/>
      <c r="K13" s="2470"/>
    </row>
    <row r="14" s="2386" customFormat="1" ht="13.5" customHeight="1" spans="1:33">
      <c r="A14" s="2414" t="s">
        <v>1118</v>
      </c>
      <c r="B14" s="2415" t="s">
        <v>1119</v>
      </c>
      <c r="C14" s="1428">
        <f ca="1">ROUND(D14*E14*F11/10000,0)</f>
        <v>0</v>
      </c>
      <c r="D14" s="2419">
        <f ca="1">IF(C1="",'数据-汇总表'!E3,INDIRECT("'数据-取费表'!K"&amp;$K$1)+INDIRECT("'数据-取费表'!S"&amp;$K$1))</f>
        <v>3013</v>
      </c>
      <c r="E14" s="1428">
        <f>'数据-取费表'!B35</f>
        <v>200</v>
      </c>
      <c r="F14" s="2420"/>
      <c r="G14" s="2410" t="s">
        <v>1120</v>
      </c>
      <c r="H14" s="2413"/>
      <c r="I14" s="2413"/>
      <c r="J14" s="2413"/>
      <c r="K14" s="2470"/>
      <c r="L14" s="2385"/>
      <c r="M14" s="2385"/>
      <c r="N14" s="2385"/>
      <c r="O14" s="2385"/>
      <c r="P14" s="2385"/>
      <c r="Q14" s="2385"/>
      <c r="R14" s="2385"/>
      <c r="S14" s="2385"/>
      <c r="T14" s="2385"/>
      <c r="U14" s="2385"/>
      <c r="V14" s="2385"/>
      <c r="W14" s="2385"/>
      <c r="X14" s="2385"/>
      <c r="Y14" s="2385"/>
      <c r="Z14" s="2385"/>
      <c r="AA14" s="2385"/>
      <c r="AB14" s="2385"/>
      <c r="AC14" s="2385"/>
      <c r="AD14" s="2385"/>
      <c r="AE14" s="2385"/>
      <c r="AF14" s="2385"/>
      <c r="AG14" s="2385"/>
    </row>
    <row r="15" s="2386" customFormat="1" ht="13.5" customHeight="1" spans="1:33">
      <c r="A15" s="2414" t="s">
        <v>1121</v>
      </c>
      <c r="B15" s="2415" t="s">
        <v>1122</v>
      </c>
      <c r="C15" s="2421">
        <f ca="1">ROUND(C11*F15,0)</f>
        <v>0</v>
      </c>
      <c r="D15" s="2422"/>
      <c r="E15" s="2421"/>
      <c r="F15" s="2418">
        <f>'数据-取费表'!B36</f>
        <v>0.02</v>
      </c>
      <c r="G15" s="2161" t="s">
        <v>1123</v>
      </c>
      <c r="H15" s="2276"/>
      <c r="I15" s="2276"/>
      <c r="J15" s="2276"/>
      <c r="K15" s="2277"/>
      <c r="L15" s="2385"/>
      <c r="M15" s="2385"/>
      <c r="N15" s="2385"/>
      <c r="O15" s="2385"/>
      <c r="P15" s="2385"/>
      <c r="Q15" s="2385"/>
      <c r="R15" s="2385"/>
      <c r="S15" s="2385"/>
      <c r="T15" s="2385"/>
      <c r="U15" s="2385"/>
      <c r="V15" s="2385"/>
      <c r="W15" s="2385"/>
      <c r="X15" s="2385"/>
      <c r="Y15" s="2385"/>
      <c r="Z15" s="2385"/>
      <c r="AA15" s="2385"/>
      <c r="AB15" s="2385"/>
      <c r="AC15" s="2385"/>
      <c r="AD15" s="2385"/>
      <c r="AE15" s="2385"/>
      <c r="AF15" s="2385"/>
      <c r="AG15" s="2385"/>
    </row>
    <row r="16" s="2386" customFormat="1" ht="13.5" customHeight="1" spans="1:33">
      <c r="A16" s="2414" t="s">
        <v>926</v>
      </c>
      <c r="B16" s="2415" t="s">
        <v>1124</v>
      </c>
      <c r="C16" s="2421">
        <f ca="1">SUM(C11:C15)</f>
        <v>0</v>
      </c>
      <c r="D16" s="2422"/>
      <c r="E16" s="2421"/>
      <c r="F16" s="2418"/>
      <c r="G16" s="2161"/>
      <c r="H16" s="2423"/>
      <c r="I16" s="2276"/>
      <c r="J16" s="2276"/>
      <c r="K16" s="2277"/>
      <c r="L16" s="2385"/>
      <c r="M16" s="2385"/>
      <c r="N16" s="2385"/>
      <c r="O16" s="2385"/>
      <c r="P16" s="2385"/>
      <c r="Q16" s="2385"/>
      <c r="R16" s="2385"/>
      <c r="S16" s="2385"/>
      <c r="T16" s="2385"/>
      <c r="U16" s="2385"/>
      <c r="V16" s="2385"/>
      <c r="W16" s="2385"/>
      <c r="X16" s="2385"/>
      <c r="Y16" s="2385"/>
      <c r="Z16" s="2385"/>
      <c r="AA16" s="2385"/>
      <c r="AB16" s="2385"/>
      <c r="AC16" s="2385"/>
      <c r="AD16" s="2385"/>
      <c r="AE16" s="2385"/>
      <c r="AF16" s="2385"/>
      <c r="AG16" s="2385"/>
    </row>
    <row r="17" s="2386" customFormat="1" ht="13.5" customHeight="1" spans="1:33">
      <c r="A17" s="2414" t="s">
        <v>931</v>
      </c>
      <c r="B17" s="2415" t="s">
        <v>1125</v>
      </c>
      <c r="C17" s="1428">
        <f ca="1">ROUND(D17*E17/10000,0)</f>
        <v>0</v>
      </c>
      <c r="D17" s="2419">
        <f ca="1">D14</f>
        <v>3013</v>
      </c>
      <c r="E17" s="1428">
        <f>'数据-取费表'!B32</f>
        <v>0</v>
      </c>
      <c r="F17" s="2422"/>
      <c r="G17" s="2161" t="s">
        <v>1126</v>
      </c>
      <c r="H17" s="2423"/>
      <c r="I17" s="2276"/>
      <c r="J17" s="2276"/>
      <c r="K17" s="2277"/>
      <c r="L17" s="2385"/>
      <c r="M17" s="2385"/>
      <c r="N17" s="2385"/>
      <c r="O17" s="2385"/>
      <c r="P17" s="2385"/>
      <c r="Q17" s="2385"/>
      <c r="R17" s="2385"/>
      <c r="S17" s="2385"/>
      <c r="T17" s="2385"/>
      <c r="U17" s="2385"/>
      <c r="V17" s="2385"/>
      <c r="W17" s="2385"/>
      <c r="X17" s="2385"/>
      <c r="Y17" s="2385"/>
      <c r="Z17" s="2385"/>
      <c r="AA17" s="2385"/>
      <c r="AB17" s="2385"/>
      <c r="AC17" s="2385"/>
      <c r="AD17" s="2385"/>
      <c r="AE17" s="2385"/>
      <c r="AF17" s="2385"/>
      <c r="AG17" s="2385"/>
    </row>
    <row r="18" s="2385" customFormat="1" ht="13.5" customHeight="1" spans="1:11">
      <c r="A18" s="2414" t="s">
        <v>1127</v>
      </c>
      <c r="B18" s="2415" t="s">
        <v>1128</v>
      </c>
      <c r="C18" s="1428">
        <f ca="1">C19+C20-IF(C1="",'数据-取费表'!B29,IF(G18="已全部缴纳",C19+C20,H18))</f>
        <v>0</v>
      </c>
      <c r="D18" s="2419"/>
      <c r="E18" s="1428"/>
      <c r="F18" s="2420"/>
      <c r="G18" s="2424"/>
      <c r="H18" s="2425"/>
      <c r="I18" s="2471" t="s">
        <v>1129</v>
      </c>
      <c r="J18" s="2276"/>
      <c r="K18" s="2277"/>
    </row>
    <row r="19" s="2385" customFormat="1" ht="13.5" customHeight="1" spans="1:11">
      <c r="A19" s="2414" t="s">
        <v>1011</v>
      </c>
      <c r="B19" s="2415" t="s">
        <v>443</v>
      </c>
      <c r="C19" s="1428">
        <f ca="1">ROUND(D19*E19/10000,0)</f>
        <v>0</v>
      </c>
      <c r="D19" s="2419">
        <f ca="1">IF(C1="",'数据-汇总表'!E5,IF(INDIRECT("'数据-取费表'!c"&amp;$K$1)="住宅",INDIRECT("'数据-取费表'!k"&amp;$K$1),0))</f>
        <v>0</v>
      </c>
      <c r="E19" s="1428">
        <f>'数据-取费表'!B27</f>
        <v>0</v>
      </c>
      <c r="F19" s="2420"/>
      <c r="G19" s="2275"/>
      <c r="H19" s="2426"/>
      <c r="I19" s="2427"/>
      <c r="J19" s="2427"/>
      <c r="K19" s="2472"/>
    </row>
    <row r="20" s="2385" customFormat="1" ht="13.5" customHeight="1" spans="1:11">
      <c r="A20" s="2414" t="s">
        <v>1014</v>
      </c>
      <c r="B20" s="2415" t="s">
        <v>1130</v>
      </c>
      <c r="C20" s="1428">
        <f ca="1">ROUND(D20*E20/10000,0)</f>
        <v>60</v>
      </c>
      <c r="D20" s="2419">
        <f ca="1">IF(C1="",'数据-汇总表'!E6,IF(INDIRECT("'数据-取费表'!c"&amp;$K$1)="住宅",INDIRECT("'数据-取费表'!s"&amp;$K$1),INDIRECT("'数据-取费表'!k"&amp;$K$1)+INDIRECT("'数据-取费表'!s"&amp;$K$1)))</f>
        <v>3013</v>
      </c>
      <c r="E20" s="1428">
        <f>'数据-取费表'!B28</f>
        <v>200</v>
      </c>
      <c r="F20" s="2420"/>
      <c r="G20" s="2275"/>
      <c r="H20" s="2427"/>
      <c r="I20" s="2427"/>
      <c r="J20" s="2427"/>
      <c r="K20" s="2472"/>
    </row>
    <row r="21" s="2385" customFormat="1" ht="13.5" customHeight="1" spans="1:11">
      <c r="A21" s="2403" t="s">
        <v>903</v>
      </c>
      <c r="B21" s="2428" t="s">
        <v>1131</v>
      </c>
      <c r="C21" s="2429">
        <f ca="1">C16+C17+C18</f>
        <v>0</v>
      </c>
      <c r="D21" s="2430"/>
      <c r="E21" s="2431"/>
      <c r="F21" s="2431"/>
      <c r="G21" s="2161" t="s">
        <v>1132</v>
      </c>
      <c r="H21" s="2276"/>
      <c r="I21" s="2276"/>
      <c r="J21" s="2276"/>
      <c r="K21" s="2277"/>
    </row>
    <row r="22" s="2385" customFormat="1" ht="13.5" customHeight="1" spans="1:11">
      <c r="A22" s="2403" t="s">
        <v>907</v>
      </c>
      <c r="B22" s="2428" t="s">
        <v>1133</v>
      </c>
      <c r="C22" s="2429">
        <f ca="1">ROUND(C21*F22,0)</f>
        <v>0</v>
      </c>
      <c r="D22" s="2431"/>
      <c r="E22" s="2431"/>
      <c r="F22" s="2432">
        <f>'数据-取费表'!B37</f>
        <v>0.02</v>
      </c>
      <c r="G22" s="2410" t="s">
        <v>1134</v>
      </c>
      <c r="H22" s="2413"/>
      <c r="I22" s="2413"/>
      <c r="J22" s="2413"/>
      <c r="K22" s="2470"/>
    </row>
    <row r="23" s="2385" customFormat="1" ht="13.5" customHeight="1" spans="1:11">
      <c r="A23" s="2403" t="s">
        <v>954</v>
      </c>
      <c r="B23" s="2428" t="s">
        <v>1135</v>
      </c>
      <c r="C23" s="2429">
        <f ca="1">ROUND(C4*F23*F11,0)</f>
        <v>0</v>
      </c>
      <c r="D23" s="2431"/>
      <c r="E23" s="2431"/>
      <c r="F23" s="2432">
        <f>'数据-取费表'!B38</f>
        <v>0.02</v>
      </c>
      <c r="G23" s="2410" t="s">
        <v>1136</v>
      </c>
      <c r="H23" s="2413"/>
      <c r="I23" s="2413"/>
      <c r="J23" s="2413"/>
      <c r="K23" s="2470"/>
    </row>
    <row r="24" s="2385" customFormat="1" ht="13.5" customHeight="1" spans="1:11">
      <c r="A24" s="2403" t="s">
        <v>957</v>
      </c>
      <c r="B24" s="2428" t="s">
        <v>1137</v>
      </c>
      <c r="C24" s="2433">
        <f>ROUND(F24/(1+'数据-取费表'!C42),4)</f>
        <v>0.029</v>
      </c>
      <c r="D24" s="2431" t="s">
        <v>1138</v>
      </c>
      <c r="E24" s="2431"/>
      <c r="F24" s="2432">
        <f>IF(项目基本情况!B8="出让",0,'数据-取费表'!B48+'数据-取费表'!B49)</f>
        <v>0.0305</v>
      </c>
      <c r="G24" s="2410" t="s">
        <v>1139</v>
      </c>
      <c r="H24" s="2434"/>
      <c r="I24" s="2434"/>
      <c r="J24" s="2434"/>
      <c r="K24" s="2473"/>
    </row>
    <row r="25" s="2385" customFormat="1" ht="13.5" customHeight="1" spans="1:11">
      <c r="A25" s="2403" t="s">
        <v>961</v>
      </c>
      <c r="B25" s="2430" t="s">
        <v>1140</v>
      </c>
      <c r="C25" s="2435">
        <f ca="1">C27</f>
        <v>0</v>
      </c>
      <c r="D25" s="2433">
        <f ca="1">C26</f>
        <v>0</v>
      </c>
      <c r="E25" s="2436" t="s">
        <v>1138</v>
      </c>
      <c r="F25" s="2437">
        <f ca="1">'数据-取费表'!B40</f>
        <v>0.0335</v>
      </c>
      <c r="G25" s="2161" t="str">
        <f>IF('数据-取费表'!B22&lt;=1,"单利计息。","复利计息。")&amp;"后续开发成本、管理费用及销售费用产生的利息。"</f>
        <v>复利计息。后续开发成本、管理费用及销售费用产生的利息。</v>
      </c>
      <c r="H25" s="2434"/>
      <c r="I25" s="2434"/>
      <c r="J25" s="2434"/>
      <c r="K25" s="2473"/>
    </row>
    <row r="26" s="2387" customFormat="1" ht="13.5" customHeight="1" spans="1:11">
      <c r="A26" s="2414" t="s">
        <v>926</v>
      </c>
      <c r="B26" s="2438" t="s">
        <v>1141</v>
      </c>
      <c r="C26" s="2439">
        <f ca="1">ROUND(IF('数据-取费表'!B22&lt;=1,(1+C24)*F25*'数据-取费表'!B24,(1+C24)*(POWER((1+F25),'数据-取费表'!B24)-1)),4)</f>
        <v>0</v>
      </c>
      <c r="D26" s="2440"/>
      <c r="E26" s="2441"/>
      <c r="F26" s="2442"/>
      <c r="G26" s="2443" t="str">
        <f>IF('数据-取费表'!B22&lt;=1,"（(1)+取得税费率/(1+5%)）×年利率×建设期","（(1)+取得税费率）/(1+5%)×((1+年利率)^建设期-1)")</f>
        <v>（(1)+取得税费率）/(1+5%)×((1+年利率)^建设期-1)</v>
      </c>
      <c r="H26" s="2276"/>
      <c r="I26" s="2276"/>
      <c r="J26" s="2276"/>
      <c r="K26" s="2277"/>
    </row>
    <row r="27" s="2387" customFormat="1" ht="13.5" customHeight="1" spans="1:11">
      <c r="A27" s="2414" t="s">
        <v>931</v>
      </c>
      <c r="B27" s="2438" t="s">
        <v>1142</v>
      </c>
      <c r="C27" s="2444">
        <f ca="1">ROUND(IF('数据-取费表'!B22&lt;=1,(C21+C22+C23)*F25*'数据-取费表'!B24/2,(C21+C22+C23)*(POWER((1+F25),'数据-取费表'!B24/2)-1)),0)</f>
        <v>0</v>
      </c>
      <c r="D27" s="2440"/>
      <c r="E27" s="2441"/>
      <c r="F27" s="2442"/>
      <c r="G27" s="2443" t="str">
        <f>IF('数据-取费表'!B22&lt;=1,"（1）-（3）项×年利率×建设期÷2","（1）-（3）项×((1+年利率)^(建设期÷2)-1)")</f>
        <v>（1）-（3）项×((1+年利率)^(建设期÷2)-1)</v>
      </c>
      <c r="H27" s="2276"/>
      <c r="I27" s="2276"/>
      <c r="J27" s="2276"/>
      <c r="K27" s="2277"/>
    </row>
    <row r="28" s="2388" customFormat="1" ht="13.5" customHeight="1" spans="1:11">
      <c r="A28" s="2403" t="s">
        <v>962</v>
      </c>
      <c r="B28" s="2445" t="s">
        <v>1143</v>
      </c>
      <c r="C28" s="2446">
        <f ca="1">C30</f>
        <v>0</v>
      </c>
      <c r="D28" s="2433">
        <f ca="1">C29</f>
        <v>0</v>
      </c>
      <c r="E28" s="2436" t="s">
        <v>1138</v>
      </c>
      <c r="F28" s="1607">
        <f ca="1">IF(C1="",'数据-取费表'!Q16,INDIRECT("'数据-取费表'!q"&amp;$K$1))</f>
        <v>0.1</v>
      </c>
      <c r="G28" s="2447"/>
      <c r="H28" s="2434"/>
      <c r="I28" s="2434"/>
      <c r="J28" s="2434"/>
      <c r="K28" s="2473"/>
    </row>
    <row r="29" s="2389" customFormat="1" ht="13.5" customHeight="1" spans="1:11">
      <c r="A29" s="2414" t="s">
        <v>926</v>
      </c>
      <c r="B29" s="2448" t="s">
        <v>1144</v>
      </c>
      <c r="C29" s="2440">
        <f ca="1">ROUND((1+C24)*F28*'数据-取费表'!B24/'数据-取费表'!B20,4)</f>
        <v>0</v>
      </c>
      <c r="D29" s="2440"/>
      <c r="E29" s="2441"/>
      <c r="F29" s="2449"/>
      <c r="G29" s="2161" t="s">
        <v>1145</v>
      </c>
      <c r="H29" s="2276"/>
      <c r="I29" s="2276"/>
      <c r="J29" s="2276"/>
      <c r="K29" s="2277"/>
    </row>
    <row r="30" s="2389" customFormat="1" ht="13.5" customHeight="1" spans="1:11">
      <c r="A30" s="2414" t="s">
        <v>931</v>
      </c>
      <c r="B30" s="2448" t="s">
        <v>1146</v>
      </c>
      <c r="C30" s="2450">
        <f ca="1">ROUND((C21+C22+C23)*F28,0)</f>
        <v>0</v>
      </c>
      <c r="D30" s="2440"/>
      <c r="E30" s="2441"/>
      <c r="F30" s="2449"/>
      <c r="G30" s="2161"/>
      <c r="H30" s="2276"/>
      <c r="I30" s="2276"/>
      <c r="J30" s="2276"/>
      <c r="K30" s="2277"/>
    </row>
    <row r="31" s="2385" customFormat="1" ht="13.5" customHeight="1" spans="1:11">
      <c r="A31" s="2451" t="s">
        <v>1147</v>
      </c>
      <c r="B31" s="2452" t="s">
        <v>1148</v>
      </c>
      <c r="C31" s="2453">
        <f>ROUND(C4*F31/(1+'数据-取费表'!C42),0)</f>
        <v>0</v>
      </c>
      <c r="D31" s="2454"/>
      <c r="E31" s="2455"/>
      <c r="F31" s="2456">
        <f>'数据-取费表'!B41</f>
        <v>0.056</v>
      </c>
      <c r="G31" s="2457" t="s">
        <v>1149</v>
      </c>
      <c r="H31" s="2458"/>
      <c r="I31" s="2458"/>
      <c r="J31" s="2458"/>
      <c r="K31" s="2474"/>
    </row>
    <row r="32" s="2384" customFormat="1" ht="13.5" customHeight="1" spans="1:11">
      <c r="A32" s="2459" t="s">
        <v>1150</v>
      </c>
      <c r="B32" s="2460"/>
      <c r="C32" s="2461">
        <f ca="1">ROUND((C4-C21-C22-C23-C25-C28-C31)/(1+C24+D25+D28),0)</f>
        <v>0</v>
      </c>
      <c r="D32" s="2460"/>
      <c r="E32" s="2460"/>
      <c r="F32" s="2460"/>
      <c r="G32" s="2462" t="s">
        <v>1151</v>
      </c>
      <c r="H32" s="2460"/>
      <c r="I32" s="2460"/>
      <c r="J32" s="2460"/>
      <c r="K32" s="2475"/>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22" workbookViewId="0">
      <selection activeCell="J36" sqref="J36"/>
    </sheetView>
  </sheetViews>
  <sheetFormatPr defaultColWidth="9" defaultRowHeight="14"/>
  <cols>
    <col min="1" max="1" width="10.5" style="573" customWidth="1"/>
    <col min="2" max="2" width="15.7545454545455" style="573" customWidth="1"/>
    <col min="3" max="3" width="15.6272727272727" style="573" customWidth="1"/>
    <col min="4" max="4" width="12.2545454545455" style="573" customWidth="1"/>
    <col min="5" max="5" width="14.3727272727273" style="573" customWidth="1"/>
    <col min="6" max="6" width="12.2545454545455" style="573" customWidth="1"/>
    <col min="7" max="7" width="14.5" style="573" customWidth="1"/>
    <col min="8" max="8" width="12.2545454545455" style="573" customWidth="1"/>
    <col min="9" max="9" width="14.5" style="573" customWidth="1"/>
    <col min="10" max="10" width="12.2545454545455" style="573" customWidth="1"/>
    <col min="11" max="11" width="12.2545454545455" style="574" customWidth="1"/>
    <col min="12" max="12" width="12.2545454545455" style="575" customWidth="1"/>
    <col min="13" max="15" width="12.2545454545455" style="573" customWidth="1"/>
    <col min="16" max="16" width="4.75454545454545" style="576" customWidth="1"/>
    <col min="17" max="17" width="19.5" style="573" customWidth="1"/>
    <col min="18" max="22" width="6.12727272727273" style="573" customWidth="1"/>
    <col min="23" max="23" width="5.75454545454545" style="573" customWidth="1"/>
    <col min="24" max="24" width="4.25454545454545" style="573" customWidth="1"/>
    <col min="25" max="25" width="3.5" style="573" customWidth="1"/>
    <col min="26" max="26" width="19.7545454545455" style="573" customWidth="1"/>
    <col min="27" max="28" width="9.37272727272727" style="573" customWidth="1"/>
    <col min="29" max="16384" width="9" style="573"/>
  </cols>
  <sheetData>
    <row r="1" s="566" customFormat="1" ht="28.5" customHeight="1" spans="1:29">
      <c r="A1" s="577" t="s">
        <v>1152</v>
      </c>
      <c r="B1" s="578" t="s">
        <v>1153</v>
      </c>
      <c r="C1" s="579" t="s">
        <v>1154</v>
      </c>
      <c r="D1" s="580" t="s">
        <v>553</v>
      </c>
      <c r="E1" s="581" t="s">
        <v>1155</v>
      </c>
      <c r="F1" s="582" t="s">
        <v>1156</v>
      </c>
      <c r="G1" s="583" t="s">
        <v>1157</v>
      </c>
      <c r="H1" s="584"/>
      <c r="I1" s="584"/>
      <c r="J1" s="584"/>
      <c r="K1" s="746"/>
      <c r="L1" s="747"/>
      <c r="M1" s="748"/>
      <c r="N1" s="748"/>
      <c r="O1" s="748"/>
      <c r="P1" s="579"/>
      <c r="Q1" s="579"/>
      <c r="R1" s="579"/>
      <c r="S1" s="579"/>
      <c r="T1" s="579"/>
      <c r="U1" s="579"/>
      <c r="V1" s="579"/>
      <c r="W1" s="579"/>
      <c r="X1" s="579"/>
      <c r="Y1" s="579"/>
      <c r="Z1" s="579"/>
      <c r="AA1" s="579"/>
      <c r="AB1" s="579"/>
      <c r="AC1" s="846"/>
    </row>
    <row r="2" s="567" customFormat="1" ht="28.5" customHeight="1" spans="1:29">
      <c r="A2" s="585" t="s">
        <v>995</v>
      </c>
      <c r="B2" s="586">
        <f ca="1">IF(E1="项目模式",IF(C2="——",ROUND(C50*D3/10000,0),ROUND(C50*D3/10000,0)-D2),IF(E1="单套模式",IF(C2="——",ROUND(C50*D3/10000,4),ROUND(C50*D3/10000,4)-D2)))</f>
        <v>7633.4355</v>
      </c>
      <c r="C2" s="587" t="s">
        <v>124</v>
      </c>
      <c r="D2" s="588" t="e">
        <f ca="1">IF(E1="项目模式",SUMIF(INDIRECT("'"&amp;F2&amp;"'"&amp;"!A:A"),"承租人权益价值",INDIRECT("'"&amp;F2&amp;"'"&amp;"!c:c")),SUMIF(INDIRECT("'"&amp;F2&amp;"'"&amp;"!A:A"),"承租人权益价值（单套）",INDIRECT("'"&amp;F2&amp;"'"&amp;"!c:c")))</f>
        <v>#REF!</v>
      </c>
      <c r="E2" s="589" t="s">
        <v>996</v>
      </c>
      <c r="F2" s="590"/>
      <c r="G2" s="591"/>
      <c r="H2" s="591"/>
      <c r="I2" s="591"/>
      <c r="J2" s="591"/>
      <c r="K2" s="591"/>
      <c r="L2" s="749"/>
      <c r="M2" s="750"/>
      <c r="N2" s="750"/>
      <c r="O2" s="750"/>
      <c r="P2" s="751"/>
      <c r="Q2" s="751"/>
      <c r="R2" s="751"/>
      <c r="S2" s="751"/>
      <c r="T2" s="751"/>
      <c r="U2" s="751"/>
      <c r="V2" s="751"/>
      <c r="W2" s="751"/>
      <c r="X2" s="751"/>
      <c r="Y2" s="751"/>
      <c r="Z2" s="751"/>
      <c r="AA2" s="751"/>
      <c r="AB2" s="751"/>
      <c r="AC2" s="847"/>
    </row>
    <row r="3" s="567" customFormat="1" ht="28.5" customHeight="1" spans="1:29">
      <c r="A3" s="396" t="s">
        <v>997</v>
      </c>
      <c r="B3" s="592">
        <f ca="1">IF(C2="——",C50,ROUND(B2*10000/D3,0))</f>
        <v>25335</v>
      </c>
      <c r="C3" s="593" t="s">
        <v>1158</v>
      </c>
      <c r="D3" s="594">
        <f>IF(D1="",'数据-汇总表'!E3,SUMIF('数据-汇总表'!$C19:$C33,D1,'数据-汇总表'!$E19:$E33))</f>
        <v>3013</v>
      </c>
      <c r="E3" s="595"/>
      <c r="F3" s="596"/>
      <c r="G3" s="591"/>
      <c r="H3" s="591"/>
      <c r="I3" s="591"/>
      <c r="J3" s="591"/>
      <c r="K3" s="752"/>
      <c r="L3" s="749"/>
      <c r="M3" s="750"/>
      <c r="N3" s="750"/>
      <c r="O3" s="750"/>
      <c r="P3" s="751"/>
      <c r="Q3" s="751"/>
      <c r="R3" s="751"/>
      <c r="S3" s="751"/>
      <c r="T3" s="751"/>
      <c r="U3" s="751"/>
      <c r="V3" s="751"/>
      <c r="W3" s="751"/>
      <c r="X3" s="751"/>
      <c r="Y3" s="751"/>
      <c r="Z3" s="751"/>
      <c r="AA3" s="751"/>
      <c r="AB3" s="751"/>
      <c r="AC3" s="847"/>
    </row>
    <row r="4" spans="1:29">
      <c r="A4" s="597" t="s">
        <v>1159</v>
      </c>
      <c r="B4" s="598"/>
      <c r="C4" s="599" t="s">
        <v>1160</v>
      </c>
      <c r="D4" s="600"/>
      <c r="E4" s="601" t="s">
        <v>1161</v>
      </c>
      <c r="F4" s="602"/>
      <c r="G4" s="599" t="s">
        <v>1162</v>
      </c>
      <c r="H4" s="600"/>
      <c r="I4" s="599" t="s">
        <v>1163</v>
      </c>
      <c r="J4" s="600"/>
      <c r="K4" s="753" t="s">
        <v>1164</v>
      </c>
      <c r="L4" s="754"/>
      <c r="M4" s="755"/>
      <c r="N4" s="755"/>
      <c r="O4" s="755"/>
      <c r="P4" s="756" t="s">
        <v>1165</v>
      </c>
      <c r="Q4" s="812"/>
      <c r="R4" s="813" t="s">
        <v>1161</v>
      </c>
      <c r="S4" s="814"/>
      <c r="T4" s="813" t="s">
        <v>1162</v>
      </c>
      <c r="U4" s="814"/>
      <c r="V4" s="815" t="s">
        <v>1163</v>
      </c>
      <c r="W4" s="815"/>
      <c r="X4" s="816"/>
      <c r="Y4" s="813" t="s">
        <v>1165</v>
      </c>
      <c r="Z4" s="814"/>
      <c r="AA4" s="816" t="s">
        <v>1161</v>
      </c>
      <c r="AB4" s="816" t="s">
        <v>1162</v>
      </c>
      <c r="AC4" s="848" t="s">
        <v>1163</v>
      </c>
    </row>
    <row r="5" spans="1:29">
      <c r="A5" s="603"/>
      <c r="B5" s="604"/>
      <c r="C5" s="605" t="s">
        <v>1166</v>
      </c>
      <c r="D5" s="606"/>
      <c r="E5" s="609" t="s">
        <v>1167</v>
      </c>
      <c r="F5" s="608"/>
      <c r="G5" s="2380" t="s">
        <v>1168</v>
      </c>
      <c r="H5" s="606"/>
      <c r="I5" s="2380" t="s">
        <v>1169</v>
      </c>
      <c r="J5" s="606"/>
      <c r="K5" s="753"/>
      <c r="L5" s="754"/>
      <c r="M5" s="755"/>
      <c r="N5" s="755"/>
      <c r="O5" s="755"/>
      <c r="P5" s="757"/>
      <c r="Q5" s="817"/>
      <c r="R5" s="818"/>
      <c r="S5" s="819"/>
      <c r="T5" s="818"/>
      <c r="U5" s="819"/>
      <c r="V5" s="820"/>
      <c r="W5" s="820"/>
      <c r="X5" s="821"/>
      <c r="Y5" s="818"/>
      <c r="Z5" s="819"/>
      <c r="AA5" s="821"/>
      <c r="AB5" s="821"/>
      <c r="AC5" s="849"/>
    </row>
    <row r="6" ht="14.75" spans="1:29">
      <c r="A6" s="610"/>
      <c r="B6" s="611"/>
      <c r="C6" s="612" t="s">
        <v>1170</v>
      </c>
      <c r="D6" s="613"/>
      <c r="E6" s="614" t="s">
        <v>1170</v>
      </c>
      <c r="F6" s="615"/>
      <c r="G6" s="612" t="s">
        <v>1170</v>
      </c>
      <c r="H6" s="613"/>
      <c r="I6" s="612" t="s">
        <v>1170</v>
      </c>
      <c r="J6" s="613"/>
      <c r="K6" s="753" t="s">
        <v>1171</v>
      </c>
      <c r="L6" s="754"/>
      <c r="M6" s="755"/>
      <c r="N6" s="755"/>
      <c r="O6" s="755"/>
      <c r="P6" s="758"/>
      <c r="Q6" s="822"/>
      <c r="R6" s="818"/>
      <c r="S6" s="819"/>
      <c r="T6" s="823"/>
      <c r="U6" s="824"/>
      <c r="V6" s="820"/>
      <c r="W6" s="820"/>
      <c r="X6" s="821"/>
      <c r="Y6" s="823"/>
      <c r="Z6" s="824"/>
      <c r="AA6" s="850"/>
      <c r="AB6" s="850"/>
      <c r="AC6" s="851"/>
    </row>
    <row r="7" s="568" customFormat="1" ht="14.75" spans="1:29">
      <c r="A7" s="616" t="s">
        <v>1172</v>
      </c>
      <c r="B7" s="617"/>
      <c r="C7" s="618">
        <f>'数据-取费表'!B2</f>
        <v>45538</v>
      </c>
      <c r="D7" s="619">
        <v>100</v>
      </c>
      <c r="E7" s="620">
        <f>C7</f>
        <v>45538</v>
      </c>
      <c r="F7" s="621">
        <f>SUMIF(59:59,YEAR(E7)&amp;"-"&amp;MONTH(E7),60:60)</f>
        <v>100</v>
      </c>
      <c r="G7" s="620">
        <v>45380</v>
      </c>
      <c r="H7" s="619">
        <f>SUMIF(59:59,YEAR(G7)&amp;"-"&amp;MONTH(G7),60:60)</f>
        <v>100</v>
      </c>
      <c r="I7" s="620">
        <f>C7</f>
        <v>45538</v>
      </c>
      <c r="J7" s="619">
        <f>SUMIF(59:59,YEAR(I7)&amp;"-"&amp;MONTH(I7),60:60)</f>
        <v>100</v>
      </c>
      <c r="K7" s="759"/>
      <c r="L7" s="760"/>
      <c r="M7" s="761"/>
      <c r="N7" s="761"/>
      <c r="O7" s="761"/>
      <c r="P7" s="762" t="s">
        <v>1173</v>
      </c>
      <c r="Q7" s="825"/>
      <c r="R7" s="826" t="s">
        <v>1174</v>
      </c>
      <c r="S7" s="827">
        <f t="shared" ref="S7:S15" si="0">F7</f>
        <v>100</v>
      </c>
      <c r="T7" s="826" t="s">
        <v>1174</v>
      </c>
      <c r="U7" s="827">
        <f t="shared" ref="U7:U15" si="1">H7</f>
        <v>100</v>
      </c>
      <c r="V7" s="826" t="s">
        <v>1174</v>
      </c>
      <c r="W7" s="827">
        <f t="shared" ref="W7:W15" si="2">J7</f>
        <v>100</v>
      </c>
      <c r="X7" s="828"/>
      <c r="Y7" s="852" t="s">
        <v>1173</v>
      </c>
      <c r="Z7" s="829"/>
      <c r="AA7" s="853">
        <f>D7/F7</f>
        <v>1</v>
      </c>
      <c r="AB7" s="853">
        <f>D7/H7</f>
        <v>1</v>
      </c>
      <c r="AC7" s="854">
        <f>D7/J7</f>
        <v>1</v>
      </c>
    </row>
    <row r="8" s="568" customFormat="1" ht="14.75" spans="1:29">
      <c r="A8" s="616" t="s">
        <v>1175</v>
      </c>
      <c r="B8" s="617"/>
      <c r="C8" s="622" t="s">
        <v>881</v>
      </c>
      <c r="D8" s="619">
        <v>100</v>
      </c>
      <c r="E8" s="622" t="s">
        <v>1176</v>
      </c>
      <c r="F8" s="621">
        <f>SUMIF(62:62,E8,63:63)-SUMIF(62:62,C8,63:63)+100</f>
        <v>101</v>
      </c>
      <c r="G8" s="622" t="s">
        <v>1176</v>
      </c>
      <c r="H8" s="619">
        <f>SUMIF(62:62,G8,63:63)-SUMIF(62:62,C8,63:63)+100</f>
        <v>101</v>
      </c>
      <c r="I8" s="622" t="s">
        <v>1176</v>
      </c>
      <c r="J8" s="619">
        <f>SUMIF(62:62,I8,63:63)-SUMIF(62:62,C8,63:63)+100</f>
        <v>101</v>
      </c>
      <c r="K8" s="759"/>
      <c r="L8" s="760"/>
      <c r="M8" s="761"/>
      <c r="N8" s="761"/>
      <c r="O8" s="761"/>
      <c r="P8" s="762" t="s">
        <v>1177</v>
      </c>
      <c r="Q8" s="829"/>
      <c r="R8" s="826" t="s">
        <v>1174</v>
      </c>
      <c r="S8" s="827">
        <f t="shared" si="0"/>
        <v>101</v>
      </c>
      <c r="T8" s="826" t="s">
        <v>1174</v>
      </c>
      <c r="U8" s="827">
        <f t="shared" si="1"/>
        <v>101</v>
      </c>
      <c r="V8" s="826" t="s">
        <v>1174</v>
      </c>
      <c r="W8" s="827">
        <f t="shared" si="2"/>
        <v>101</v>
      </c>
      <c r="X8" s="828"/>
      <c r="Y8" s="852" t="s">
        <v>1177</v>
      </c>
      <c r="Z8" s="829"/>
      <c r="AA8" s="853">
        <f t="shared" ref="AA8:AA47" si="3">D8/F8</f>
        <v>0.99009900990099</v>
      </c>
      <c r="AB8" s="853">
        <f t="shared" ref="AB8:AB47" si="4">D8/H8</f>
        <v>0.99009900990099</v>
      </c>
      <c r="AC8" s="854">
        <f t="shared" ref="AC8:AC47" si="5">D8/J8</f>
        <v>0.99009900990099</v>
      </c>
    </row>
    <row r="9" s="568" customFormat="1" spans="1:29">
      <c r="A9" s="623" t="s">
        <v>1178</v>
      </c>
      <c r="B9" s="624" t="s">
        <v>1179</v>
      </c>
      <c r="C9" s="625" t="s">
        <v>1180</v>
      </c>
      <c r="D9" s="626">
        <v>100</v>
      </c>
      <c r="E9" s="627" t="s">
        <v>1180</v>
      </c>
      <c r="F9" s="626">
        <f>SUMIF(64:64,E9,65:65)-SUMIF(64:64,C9,65:65)+100</f>
        <v>100</v>
      </c>
      <c r="G9" s="628" t="s">
        <v>1180</v>
      </c>
      <c r="H9" s="626">
        <f>SUMIF(64:64,G9,65:65)-SUMIF(64:64,C9,65:65)+100</f>
        <v>100</v>
      </c>
      <c r="I9" s="628" t="s">
        <v>1181</v>
      </c>
      <c r="J9" s="626">
        <f>SUMIF(64:64,I9,65:65)-SUMIF(64:64,C9,65:65)+100</f>
        <v>102</v>
      </c>
      <c r="K9" s="759"/>
      <c r="L9" s="760"/>
      <c r="M9" s="761"/>
      <c r="N9" s="761"/>
      <c r="O9" s="761"/>
      <c r="P9" s="763" t="s">
        <v>1182</v>
      </c>
      <c r="Q9" s="830" t="str">
        <f t="shared" ref="Q9:Q15" si="6">B9</f>
        <v>用途</v>
      </c>
      <c r="R9" s="826" t="s">
        <v>1174</v>
      </c>
      <c r="S9" s="827">
        <f t="shared" si="0"/>
        <v>100</v>
      </c>
      <c r="T9" s="826" t="s">
        <v>1174</v>
      </c>
      <c r="U9" s="827">
        <f t="shared" si="1"/>
        <v>100</v>
      </c>
      <c r="V9" s="826" t="s">
        <v>1174</v>
      </c>
      <c r="W9" s="827">
        <f t="shared" si="2"/>
        <v>102</v>
      </c>
      <c r="X9" s="828"/>
      <c r="Y9" s="830" t="s">
        <v>1183</v>
      </c>
      <c r="Z9" s="855" t="str">
        <f t="shared" ref="Z9:Z15" si="7">Q9</f>
        <v>用途</v>
      </c>
      <c r="AA9" s="853">
        <f t="shared" si="3"/>
        <v>1</v>
      </c>
      <c r="AB9" s="853">
        <f t="shared" si="4"/>
        <v>1</v>
      </c>
      <c r="AC9" s="854">
        <f t="shared" si="5"/>
        <v>0.980392156862745</v>
      </c>
    </row>
    <row r="10" s="569" customFormat="1" ht="28" spans="1:29">
      <c r="A10" s="629"/>
      <c r="B10" s="630" t="s">
        <v>1184</v>
      </c>
      <c r="C10" s="631"/>
      <c r="D10" s="632">
        <v>100</v>
      </c>
      <c r="E10" s="631"/>
      <c r="F10" s="632">
        <f>SUMIF(66:66,E10,67:67)-SUMIF(66:66,C10,67:67)+100</f>
        <v>100</v>
      </c>
      <c r="G10" s="633"/>
      <c r="H10" s="632">
        <f>SUMIF(66:66,G10,67:67)-SUMIF(66:66,C10,67:67)+100</f>
        <v>100</v>
      </c>
      <c r="I10" s="631"/>
      <c r="J10" s="632">
        <f>SUMIF(66:66,I10,67:67)-SUMIF(66:66,C10,67:67)+100</f>
        <v>100</v>
      </c>
      <c r="K10" s="759"/>
      <c r="L10" s="764"/>
      <c r="M10" s="765"/>
      <c r="N10" s="765"/>
      <c r="O10" s="765"/>
      <c r="P10" s="763"/>
      <c r="Q10" s="830" t="str">
        <f t="shared" si="6"/>
        <v>土地使用年限（年）</v>
      </c>
      <c r="R10" s="826" t="s">
        <v>1174</v>
      </c>
      <c r="S10" s="827">
        <f t="shared" si="0"/>
        <v>100</v>
      </c>
      <c r="T10" s="826" t="s">
        <v>1174</v>
      </c>
      <c r="U10" s="827">
        <f t="shared" si="1"/>
        <v>100</v>
      </c>
      <c r="V10" s="826" t="s">
        <v>1174</v>
      </c>
      <c r="W10" s="827">
        <f t="shared" si="2"/>
        <v>100</v>
      </c>
      <c r="X10" s="828"/>
      <c r="Y10" s="830"/>
      <c r="Z10" s="855" t="str">
        <f t="shared" si="7"/>
        <v>土地使用年限（年）</v>
      </c>
      <c r="AA10" s="853">
        <f t="shared" si="3"/>
        <v>1</v>
      </c>
      <c r="AB10" s="853">
        <f t="shared" si="4"/>
        <v>1</v>
      </c>
      <c r="AC10" s="854">
        <f t="shared" si="5"/>
        <v>1</v>
      </c>
    </row>
    <row r="11" ht="15.5" spans="1:29">
      <c r="A11" s="634"/>
      <c r="B11" s="630" t="s">
        <v>1185</v>
      </c>
      <c r="C11" s="635"/>
      <c r="D11" s="632">
        <v>100</v>
      </c>
      <c r="E11" s="635"/>
      <c r="F11" s="632">
        <f>LOOKUP(E11,69:69,70:70)-LOOKUP(C11,69:69,70:70)+100</f>
        <v>100</v>
      </c>
      <c r="G11" s="636"/>
      <c r="H11" s="632">
        <f>LOOKUP(G11,69:69,70:70)-LOOKUP(C11,69:69,70:70)+100</f>
        <v>100</v>
      </c>
      <c r="I11" s="635"/>
      <c r="J11" s="632">
        <f>LOOKUP(I11,69:69,70:70)-LOOKUP(C11,69:69,70:70)+100</f>
        <v>100</v>
      </c>
      <c r="K11" s="766"/>
      <c r="L11" s="767"/>
      <c r="M11" s="755"/>
      <c r="N11" s="755"/>
      <c r="O11" s="755"/>
      <c r="P11" s="763"/>
      <c r="Q11" s="830" t="str">
        <f t="shared" si="6"/>
        <v>容积率</v>
      </c>
      <c r="R11" s="826" t="s">
        <v>1174</v>
      </c>
      <c r="S11" s="827">
        <f t="shared" si="0"/>
        <v>100</v>
      </c>
      <c r="T11" s="826" t="s">
        <v>1174</v>
      </c>
      <c r="U11" s="827">
        <f t="shared" si="1"/>
        <v>100</v>
      </c>
      <c r="V11" s="826" t="s">
        <v>1174</v>
      </c>
      <c r="W11" s="827">
        <f t="shared" si="2"/>
        <v>100</v>
      </c>
      <c r="X11" s="828"/>
      <c r="Y11" s="830"/>
      <c r="Z11" s="855" t="str">
        <f t="shared" si="7"/>
        <v>容积率</v>
      </c>
      <c r="AA11" s="853">
        <f t="shared" si="3"/>
        <v>1</v>
      </c>
      <c r="AB11" s="853">
        <f t="shared" si="4"/>
        <v>1</v>
      </c>
      <c r="AC11" s="854">
        <f t="shared" si="5"/>
        <v>1</v>
      </c>
    </row>
    <row r="12" s="568" customFormat="1" ht="15.5" spans="1:29">
      <c r="A12" s="637"/>
      <c r="B12" s="638">
        <v>111</v>
      </c>
      <c r="C12" s="639"/>
      <c r="D12" s="640">
        <v>100</v>
      </c>
      <c r="E12" s="639"/>
      <c r="F12" s="632">
        <f>SUMIF(71:71,E12,72:72)-SUMIF(71:71,C12,72:72)+100</f>
        <v>100</v>
      </c>
      <c r="G12" s="641"/>
      <c r="H12" s="632">
        <f>SUMIF(71:71,G12,72:72)-SUMIF(71:71,C12,72:72)+100</f>
        <v>100</v>
      </c>
      <c r="I12" s="639"/>
      <c r="J12" s="632">
        <f>SUMIF(71:71,I12,72:72)-SUMIF(71:71,C12,72:72)+100</f>
        <v>100</v>
      </c>
      <c r="K12" s="768"/>
      <c r="L12" s="760"/>
      <c r="M12" s="761"/>
      <c r="N12" s="761"/>
      <c r="O12" s="761"/>
      <c r="P12" s="763"/>
      <c r="Q12" s="830">
        <f t="shared" si="6"/>
        <v>111</v>
      </c>
      <c r="R12" s="826" t="s">
        <v>1174</v>
      </c>
      <c r="S12" s="827">
        <f t="shared" si="0"/>
        <v>100</v>
      </c>
      <c r="T12" s="826" t="s">
        <v>1174</v>
      </c>
      <c r="U12" s="827">
        <f t="shared" si="1"/>
        <v>100</v>
      </c>
      <c r="V12" s="826" t="s">
        <v>1174</v>
      </c>
      <c r="W12" s="827">
        <f t="shared" si="2"/>
        <v>100</v>
      </c>
      <c r="X12" s="828"/>
      <c r="Y12" s="830"/>
      <c r="Z12" s="855">
        <f t="shared" si="7"/>
        <v>111</v>
      </c>
      <c r="AA12" s="853">
        <f t="shared" si="3"/>
        <v>1</v>
      </c>
      <c r="AB12" s="853">
        <f t="shared" si="4"/>
        <v>1</v>
      </c>
      <c r="AC12" s="854">
        <f t="shared" si="5"/>
        <v>1</v>
      </c>
    </row>
    <row r="13" ht="15.5" spans="1:29">
      <c r="A13" s="634"/>
      <c r="B13" s="638">
        <v>111</v>
      </c>
      <c r="C13" s="642"/>
      <c r="D13" s="643">
        <v>100</v>
      </c>
      <c r="E13" s="639"/>
      <c r="F13" s="632">
        <f>SUMIF(73:73,E13,74:74)-SUMIF(73:73,C13,74:74)+100</f>
        <v>100</v>
      </c>
      <c r="G13" s="641"/>
      <c r="H13" s="643">
        <f>SUMIF(73:73,G13,74:74)-SUMIF(73:73,C13,74:74)+100</f>
        <v>100</v>
      </c>
      <c r="I13" s="639"/>
      <c r="J13" s="643">
        <f>SUMIF(73:73,I13,74:74)-SUMIF(73:73,C13,74:74)+100</f>
        <v>100</v>
      </c>
      <c r="K13" s="768"/>
      <c r="L13" s="769"/>
      <c r="M13" s="755"/>
      <c r="N13" s="755"/>
      <c r="O13" s="755"/>
      <c r="P13" s="763"/>
      <c r="Q13" s="830">
        <f t="shared" si="6"/>
        <v>111</v>
      </c>
      <c r="R13" s="826" t="s">
        <v>1174</v>
      </c>
      <c r="S13" s="827">
        <f t="shared" si="0"/>
        <v>100</v>
      </c>
      <c r="T13" s="826" t="s">
        <v>1174</v>
      </c>
      <c r="U13" s="827">
        <f t="shared" si="1"/>
        <v>100</v>
      </c>
      <c r="V13" s="826" t="s">
        <v>1174</v>
      </c>
      <c r="W13" s="827">
        <f t="shared" si="2"/>
        <v>100</v>
      </c>
      <c r="X13" s="828"/>
      <c r="Y13" s="830"/>
      <c r="Z13" s="855">
        <f t="shared" si="7"/>
        <v>111</v>
      </c>
      <c r="AA13" s="853">
        <f t="shared" si="3"/>
        <v>1</v>
      </c>
      <c r="AB13" s="853">
        <f t="shared" si="4"/>
        <v>1</v>
      </c>
      <c r="AC13" s="854">
        <f t="shared" si="5"/>
        <v>1</v>
      </c>
    </row>
    <row r="14" ht="16.25" spans="1:29">
      <c r="A14" s="644"/>
      <c r="B14" s="645">
        <v>111</v>
      </c>
      <c r="C14" s="646"/>
      <c r="D14" s="647">
        <v>100</v>
      </c>
      <c r="E14" s="648"/>
      <c r="F14" s="647">
        <f>SUMIF(75:75,E14,76:76)-SUMIF(75:75,C14,76:76)+100</f>
        <v>100</v>
      </c>
      <c r="G14" s="641"/>
      <c r="H14" s="647">
        <f>SUMIF(75:75,G14,76:76)-SUMIF(75:75,C14,76:76)+100</f>
        <v>100</v>
      </c>
      <c r="I14" s="639"/>
      <c r="J14" s="647">
        <f>SUMIF(75:75,I14,76:76)-SUMIF(75:75,C14,76:76)+100</f>
        <v>100</v>
      </c>
      <c r="K14" s="768"/>
      <c r="L14" s="769"/>
      <c r="M14" s="755"/>
      <c r="N14" s="755"/>
      <c r="O14" s="755"/>
      <c r="P14" s="763"/>
      <c r="Q14" s="830">
        <f t="shared" si="6"/>
        <v>111</v>
      </c>
      <c r="R14" s="826" t="s">
        <v>1174</v>
      </c>
      <c r="S14" s="827">
        <f t="shared" si="0"/>
        <v>100</v>
      </c>
      <c r="T14" s="826" t="s">
        <v>1174</v>
      </c>
      <c r="U14" s="827">
        <f t="shared" si="1"/>
        <v>100</v>
      </c>
      <c r="V14" s="826" t="s">
        <v>1174</v>
      </c>
      <c r="W14" s="827">
        <f t="shared" si="2"/>
        <v>100</v>
      </c>
      <c r="X14" s="828"/>
      <c r="Y14" s="830"/>
      <c r="Z14" s="855">
        <f t="shared" si="7"/>
        <v>111</v>
      </c>
      <c r="AA14" s="853">
        <f t="shared" si="3"/>
        <v>1</v>
      </c>
      <c r="AB14" s="853">
        <f t="shared" si="4"/>
        <v>1</v>
      </c>
      <c r="AC14" s="854">
        <f t="shared" si="5"/>
        <v>1</v>
      </c>
    </row>
    <row r="15" ht="70" spans="1:29">
      <c r="A15" s="649" t="s">
        <v>1186</v>
      </c>
      <c r="B15" s="650" t="s">
        <v>1187</v>
      </c>
      <c r="C15" s="651" t="str">
        <f>估价对象房地状况!C5</f>
        <v>估价对象位于XX商圈，周边办公楼项目较多，入驻率高，办公集聚程度较好</v>
      </c>
      <c r="D15" s="652">
        <v>100</v>
      </c>
      <c r="E15" s="653"/>
      <c r="F15" s="652">
        <f>SUMIF(77:77,E16,78:78)-SUMIF(77:77,C16,78:78)+100</f>
        <v>100</v>
      </c>
      <c r="G15" s="654"/>
      <c r="H15" s="652">
        <f>SUMIF(77:77,G16,78:78)-SUMIF(77:77,C16,78:78)+100</f>
        <v>100</v>
      </c>
      <c r="I15" s="654"/>
      <c r="J15" s="652">
        <f>SUMIF(77:77,I16,78:78)-SUMIF(77:77,C16,78:78)+100</f>
        <v>100</v>
      </c>
      <c r="K15" s="770">
        <v>2</v>
      </c>
      <c r="L15" s="771" t="s">
        <v>1188</v>
      </c>
      <c r="M15" s="755"/>
      <c r="N15" s="755"/>
      <c r="O15" s="755"/>
      <c r="P15" s="772" t="s">
        <v>1189</v>
      </c>
      <c r="Q15" s="831" t="str">
        <f t="shared" si="6"/>
        <v>办公集聚程度</v>
      </c>
      <c r="R15" s="832" t="s">
        <v>1174</v>
      </c>
      <c r="S15" s="833">
        <f t="shared" si="0"/>
        <v>100</v>
      </c>
      <c r="T15" s="832" t="s">
        <v>1174</v>
      </c>
      <c r="U15" s="833">
        <f t="shared" si="1"/>
        <v>100</v>
      </c>
      <c r="V15" s="832" t="s">
        <v>1174</v>
      </c>
      <c r="W15" s="833">
        <f t="shared" si="2"/>
        <v>100</v>
      </c>
      <c r="X15" s="821"/>
      <c r="Y15" s="856" t="s">
        <v>1189</v>
      </c>
      <c r="Z15" s="820" t="str">
        <f t="shared" si="7"/>
        <v>办公集聚程度</v>
      </c>
      <c r="AA15" s="838">
        <f t="shared" si="3"/>
        <v>1</v>
      </c>
      <c r="AB15" s="838">
        <f t="shared" si="4"/>
        <v>1</v>
      </c>
      <c r="AC15" s="857">
        <f t="shared" si="5"/>
        <v>1</v>
      </c>
    </row>
    <row r="16" ht="15.5" spans="1:29">
      <c r="A16" s="634"/>
      <c r="B16" s="655"/>
      <c r="C16" s="656" t="s">
        <v>1190</v>
      </c>
      <c r="D16" s="657"/>
      <c r="E16" s="656" t="s">
        <v>1190</v>
      </c>
      <c r="F16" s="657"/>
      <c r="G16" s="656" t="s">
        <v>1190</v>
      </c>
      <c r="H16" s="658"/>
      <c r="I16" s="656" t="s">
        <v>1190</v>
      </c>
      <c r="J16" s="657"/>
      <c r="K16" s="773"/>
      <c r="L16" s="769"/>
      <c r="M16" s="755"/>
      <c r="N16" s="755"/>
      <c r="O16" s="755"/>
      <c r="P16" s="774"/>
      <c r="Q16" s="831"/>
      <c r="R16" s="832"/>
      <c r="S16" s="833"/>
      <c r="T16" s="832"/>
      <c r="U16" s="833"/>
      <c r="V16" s="832"/>
      <c r="W16" s="833"/>
      <c r="X16" s="821"/>
      <c r="Y16" s="858"/>
      <c r="Z16" s="820"/>
      <c r="AA16" s="838">
        <v>1</v>
      </c>
      <c r="AB16" s="838">
        <v>1</v>
      </c>
      <c r="AC16" s="857">
        <v>1</v>
      </c>
    </row>
    <row r="17" ht="84" spans="1:29">
      <c r="A17" s="634"/>
      <c r="B17" s="659" t="s">
        <v>1191</v>
      </c>
      <c r="C17" s="660" t="str">
        <f>估价对象房地状况!C6</f>
        <v>估价对象周边道路状况、公共交通通达情况、停车便捷程度，综合评价交通便捷度较好</v>
      </c>
      <c r="D17" s="658">
        <v>100</v>
      </c>
      <c r="E17" s="661"/>
      <c r="F17" s="658">
        <f>SUMIF(79:79,E18,80:80)-SUMIF(79:79,C18,80:80)+100</f>
        <v>100</v>
      </c>
      <c r="G17" s="662"/>
      <c r="H17" s="663">
        <f>SUMIF(79:79,G18,80:80)-SUMIF(79:79,C18,80:80)+100</f>
        <v>100</v>
      </c>
      <c r="I17" s="662"/>
      <c r="J17" s="663">
        <f>SUMIF(79:79,I18,80:80)-SUMIF(79:79,C18,80:80)+100</f>
        <v>100</v>
      </c>
      <c r="K17" s="770">
        <v>2</v>
      </c>
      <c r="L17" s="769"/>
      <c r="M17" s="755"/>
      <c r="N17" s="755"/>
      <c r="O17" s="755"/>
      <c r="P17" s="774"/>
      <c r="Q17" s="831" t="str">
        <f>B17</f>
        <v>交通便捷度</v>
      </c>
      <c r="R17" s="832" t="s">
        <v>1174</v>
      </c>
      <c r="S17" s="833">
        <f>F17</f>
        <v>100</v>
      </c>
      <c r="T17" s="832" t="s">
        <v>1174</v>
      </c>
      <c r="U17" s="833">
        <f>H17</f>
        <v>100</v>
      </c>
      <c r="V17" s="832" t="s">
        <v>1174</v>
      </c>
      <c r="W17" s="833">
        <f>J17</f>
        <v>100</v>
      </c>
      <c r="X17" s="821"/>
      <c r="Y17" s="858"/>
      <c r="Z17" s="820" t="str">
        <f>Q17</f>
        <v>交通便捷度</v>
      </c>
      <c r="AA17" s="838">
        <f t="shared" si="3"/>
        <v>1</v>
      </c>
      <c r="AB17" s="838">
        <f t="shared" si="4"/>
        <v>1</v>
      </c>
      <c r="AC17" s="857">
        <f t="shared" si="5"/>
        <v>1</v>
      </c>
    </row>
    <row r="18" ht="15.5" spans="1:29">
      <c r="A18" s="634"/>
      <c r="B18" s="664"/>
      <c r="C18" s="656" t="s">
        <v>1190</v>
      </c>
      <c r="D18" s="658"/>
      <c r="E18" s="656" t="s">
        <v>1190</v>
      </c>
      <c r="F18" s="658"/>
      <c r="G18" s="656" t="s">
        <v>1190</v>
      </c>
      <c r="H18" s="657"/>
      <c r="I18" s="656" t="s">
        <v>1190</v>
      </c>
      <c r="J18" s="657"/>
      <c r="K18" s="773"/>
      <c r="L18" s="769"/>
      <c r="M18" s="755"/>
      <c r="N18" s="755"/>
      <c r="O18" s="755"/>
      <c r="P18" s="774"/>
      <c r="Q18" s="831"/>
      <c r="R18" s="832"/>
      <c r="S18" s="833"/>
      <c r="T18" s="832"/>
      <c r="U18" s="833"/>
      <c r="V18" s="832"/>
      <c r="W18" s="833"/>
      <c r="X18" s="821"/>
      <c r="Y18" s="858"/>
      <c r="Z18" s="820"/>
      <c r="AA18" s="838">
        <v>1</v>
      </c>
      <c r="AB18" s="838">
        <v>1</v>
      </c>
      <c r="AC18" s="857">
        <v>1</v>
      </c>
    </row>
    <row r="19" ht="42" spans="1:29">
      <c r="A19" s="634"/>
      <c r="B19" s="659" t="s">
        <v>1192</v>
      </c>
      <c r="C19" s="660" t="str">
        <f>估价对象房地状况!C7</f>
        <v>估价对象所在区域公共配套设施齐备情况</v>
      </c>
      <c r="D19" s="663">
        <v>100</v>
      </c>
      <c r="E19" s="665"/>
      <c r="F19" s="663">
        <f>SUMIF(81:81,E20,82:82)-SUMIF(81:81,C20,82:82)+100</f>
        <v>100</v>
      </c>
      <c r="G19" s="666"/>
      <c r="H19" s="658">
        <f>SUMIF(81:81,G20,82:82)-SUMIF(81:81,C20,82:82)+100</f>
        <v>100</v>
      </c>
      <c r="I19" s="666"/>
      <c r="J19" s="658">
        <f>SUMIF(81:81,I20,82:82)-SUMIF(81:81,C20,82:82)+100</f>
        <v>100</v>
      </c>
      <c r="K19" s="770">
        <v>2</v>
      </c>
      <c r="L19" s="769"/>
      <c r="M19" s="755"/>
      <c r="N19" s="755"/>
      <c r="O19" s="755"/>
      <c r="P19" s="774"/>
      <c r="Q19" s="831" t="str">
        <f>B19</f>
        <v>公共配套设施</v>
      </c>
      <c r="R19" s="832" t="s">
        <v>1174</v>
      </c>
      <c r="S19" s="833">
        <f>F19</f>
        <v>100</v>
      </c>
      <c r="T19" s="832" t="s">
        <v>1174</v>
      </c>
      <c r="U19" s="833">
        <f>H19</f>
        <v>100</v>
      </c>
      <c r="V19" s="832" t="s">
        <v>1174</v>
      </c>
      <c r="W19" s="833">
        <f>J19</f>
        <v>100</v>
      </c>
      <c r="X19" s="821"/>
      <c r="Y19" s="858"/>
      <c r="Z19" s="820" t="str">
        <f>Q19</f>
        <v>公共配套设施</v>
      </c>
      <c r="AA19" s="838">
        <f t="shared" si="3"/>
        <v>1</v>
      </c>
      <c r="AB19" s="838">
        <f t="shared" si="4"/>
        <v>1</v>
      </c>
      <c r="AC19" s="857">
        <f t="shared" si="5"/>
        <v>1</v>
      </c>
    </row>
    <row r="20" ht="15.5" spans="1:29">
      <c r="A20" s="634"/>
      <c r="B20" s="664"/>
      <c r="C20" s="656" t="s">
        <v>1190</v>
      </c>
      <c r="D20" s="657"/>
      <c r="E20" s="656" t="s">
        <v>1190</v>
      </c>
      <c r="F20" s="657"/>
      <c r="G20" s="656" t="s">
        <v>1190</v>
      </c>
      <c r="H20" s="657"/>
      <c r="I20" s="656" t="s">
        <v>1190</v>
      </c>
      <c r="J20" s="657"/>
      <c r="K20" s="773"/>
      <c r="L20" s="769"/>
      <c r="M20" s="755"/>
      <c r="N20" s="755"/>
      <c r="O20" s="755"/>
      <c r="P20" s="774"/>
      <c r="Q20" s="831"/>
      <c r="R20" s="832"/>
      <c r="S20" s="833"/>
      <c r="T20" s="832"/>
      <c r="U20" s="833"/>
      <c r="V20" s="832"/>
      <c r="W20" s="833"/>
      <c r="X20" s="821"/>
      <c r="Y20" s="858"/>
      <c r="Z20" s="820"/>
      <c r="AA20" s="838">
        <v>1</v>
      </c>
      <c r="AB20" s="838">
        <v>1</v>
      </c>
      <c r="AC20" s="857">
        <v>1</v>
      </c>
    </row>
    <row r="21" ht="28" spans="1:29">
      <c r="A21" s="634"/>
      <c r="B21" s="667" t="s">
        <v>1193</v>
      </c>
      <c r="C21" s="660" t="str">
        <f>估价对象房地状况!C8</f>
        <v>估价对象所在区域基础设施水平</v>
      </c>
      <c r="D21" s="658">
        <v>100</v>
      </c>
      <c r="E21" s="665"/>
      <c r="F21" s="663">
        <f>SUMIF(83:83,E22,84:84)-SUMIF(83:83,C22,84:84)+100</f>
        <v>100</v>
      </c>
      <c r="G21" s="666"/>
      <c r="H21" s="658">
        <f>SUMIF(83:83,G22,84:84)-SUMIF(83:83,C22,84:84)+100</f>
        <v>100</v>
      </c>
      <c r="I21" s="666"/>
      <c r="J21" s="658">
        <f>SUMIF(83:83,I22,84:84)-SUMIF(83:83,C22,84:84)+100</f>
        <v>100</v>
      </c>
      <c r="K21" s="770">
        <v>2</v>
      </c>
      <c r="L21" s="769"/>
      <c r="M21" s="755"/>
      <c r="N21" s="755"/>
      <c r="O21" s="755"/>
      <c r="P21" s="774"/>
      <c r="Q21" s="831" t="str">
        <f>B21</f>
        <v>基础设施水平</v>
      </c>
      <c r="R21" s="832" t="s">
        <v>1174</v>
      </c>
      <c r="S21" s="833">
        <f>F21</f>
        <v>100</v>
      </c>
      <c r="T21" s="832" t="s">
        <v>1174</v>
      </c>
      <c r="U21" s="833">
        <f>H21</f>
        <v>100</v>
      </c>
      <c r="V21" s="832" t="s">
        <v>1174</v>
      </c>
      <c r="W21" s="833">
        <f>J21</f>
        <v>100</v>
      </c>
      <c r="X21" s="821"/>
      <c r="Y21" s="858"/>
      <c r="Z21" s="820" t="str">
        <f>Q21</f>
        <v>基础设施水平</v>
      </c>
      <c r="AA21" s="838">
        <f t="shared" ref="AA21" si="8">D21/F21</f>
        <v>1</v>
      </c>
      <c r="AB21" s="838">
        <f t="shared" ref="AB21" si="9">D21/H21</f>
        <v>1</v>
      </c>
      <c r="AC21" s="857">
        <f t="shared" ref="AC21" si="10">D21/J21</f>
        <v>1</v>
      </c>
    </row>
    <row r="22" ht="15.5" spans="1:29">
      <c r="A22" s="634"/>
      <c r="B22" s="667"/>
      <c r="C22" s="668"/>
      <c r="D22" s="657"/>
      <c r="E22" s="669"/>
      <c r="F22" s="657"/>
      <c r="G22" s="656"/>
      <c r="H22" s="657"/>
      <c r="I22" s="656"/>
      <c r="J22" s="657"/>
      <c r="K22" s="775"/>
      <c r="L22" s="769"/>
      <c r="M22" s="755"/>
      <c r="N22" s="755"/>
      <c r="O22" s="755"/>
      <c r="P22" s="774"/>
      <c r="Q22" s="831"/>
      <c r="R22" s="832"/>
      <c r="S22" s="833"/>
      <c r="T22" s="832"/>
      <c r="U22" s="833"/>
      <c r="V22" s="832"/>
      <c r="W22" s="833"/>
      <c r="X22" s="821"/>
      <c r="Y22" s="858"/>
      <c r="Z22" s="820"/>
      <c r="AA22" s="838">
        <v>1</v>
      </c>
      <c r="AB22" s="838">
        <v>1</v>
      </c>
      <c r="AC22" s="857">
        <v>1</v>
      </c>
    </row>
    <row r="23" ht="56" spans="1:29">
      <c r="A23" s="634"/>
      <c r="B23" s="659" t="s">
        <v>1194</v>
      </c>
      <c r="C23" s="660" t="str">
        <f>估价对象房地状况!C9</f>
        <v>区域自然环境：；人文环境；综合评价环境状况一般</v>
      </c>
      <c r="D23" s="658">
        <v>100</v>
      </c>
      <c r="E23" s="661"/>
      <c r="F23" s="658">
        <f>SUMIF(85:85,E24,86:86)-SUMIF(85:85,C24,86:86)+100</f>
        <v>100</v>
      </c>
      <c r="G23" s="662"/>
      <c r="H23" s="658">
        <f>SUMIF(85:85,G24,86:86)-SUMIF(85:85,C24,86:86)+100</f>
        <v>100</v>
      </c>
      <c r="I23" s="662"/>
      <c r="J23" s="658">
        <f>SUMIF(85:85,I24,86:86)-SUMIF(85:85,C24,86:86)+100</f>
        <v>100</v>
      </c>
      <c r="K23" s="770">
        <v>2</v>
      </c>
      <c r="L23" s="769"/>
      <c r="M23" s="755"/>
      <c r="N23" s="755"/>
      <c r="O23" s="755"/>
      <c r="P23" s="774"/>
      <c r="Q23" s="831" t="str">
        <f>B23</f>
        <v>环境质量</v>
      </c>
      <c r="R23" s="832" t="s">
        <v>1174</v>
      </c>
      <c r="S23" s="833">
        <f>F23</f>
        <v>100</v>
      </c>
      <c r="T23" s="832" t="s">
        <v>1174</v>
      </c>
      <c r="U23" s="833">
        <f>H23</f>
        <v>100</v>
      </c>
      <c r="V23" s="832" t="s">
        <v>1174</v>
      </c>
      <c r="W23" s="833">
        <f>J23</f>
        <v>100</v>
      </c>
      <c r="X23" s="821"/>
      <c r="Y23" s="858"/>
      <c r="Z23" s="820" t="str">
        <f>Q23</f>
        <v>环境质量</v>
      </c>
      <c r="AA23" s="838">
        <f t="shared" si="3"/>
        <v>1</v>
      </c>
      <c r="AB23" s="838">
        <f t="shared" si="4"/>
        <v>1</v>
      </c>
      <c r="AC23" s="857">
        <f t="shared" si="5"/>
        <v>1</v>
      </c>
    </row>
    <row r="24" ht="15.5" spans="1:29">
      <c r="A24" s="634"/>
      <c r="B24" s="667"/>
      <c r="C24" s="656" t="s">
        <v>1190</v>
      </c>
      <c r="D24" s="657"/>
      <c r="E24" s="656" t="s">
        <v>1190</v>
      </c>
      <c r="F24" s="657"/>
      <c r="G24" s="656" t="s">
        <v>1190</v>
      </c>
      <c r="H24" s="657"/>
      <c r="I24" s="656" t="s">
        <v>1190</v>
      </c>
      <c r="J24" s="657"/>
      <c r="K24" s="773"/>
      <c r="L24" s="769"/>
      <c r="M24" s="755"/>
      <c r="N24" s="755"/>
      <c r="O24" s="755"/>
      <c r="P24" s="774"/>
      <c r="Q24" s="831"/>
      <c r="R24" s="832"/>
      <c r="S24" s="833"/>
      <c r="T24" s="832"/>
      <c r="U24" s="833"/>
      <c r="V24" s="832"/>
      <c r="W24" s="833"/>
      <c r="X24" s="821"/>
      <c r="Y24" s="858"/>
      <c r="Z24" s="820"/>
      <c r="AA24" s="838">
        <v>1</v>
      </c>
      <c r="AB24" s="838">
        <v>1</v>
      </c>
      <c r="AC24" s="857">
        <v>1</v>
      </c>
    </row>
    <row r="25" ht="28" spans="1:29">
      <c r="A25" s="603"/>
      <c r="B25" s="659" t="s">
        <v>1195</v>
      </c>
      <c r="C25" s="670"/>
      <c r="D25" s="643">
        <v>100</v>
      </c>
      <c r="E25" s="642"/>
      <c r="F25" s="643">
        <f>SUMIF(87:87,E26,88:88)-SUMIF(87:87,C26,88:88)+100</f>
        <v>100</v>
      </c>
      <c r="G25" s="670"/>
      <c r="H25" s="643">
        <f>SUMIF(87:87,G26,88:88)-SUMIF(87:87,C26,88:88)+100</f>
        <v>100</v>
      </c>
      <c r="I25" s="642"/>
      <c r="J25" s="643">
        <f>SUMIF(87:87,I26,88:88)-SUMIF(87:87,C26,88:88)+100</f>
        <v>100</v>
      </c>
      <c r="K25" s="770"/>
      <c r="L25" s="769"/>
      <c r="M25" s="755"/>
      <c r="N25" s="755"/>
      <c r="O25" s="755"/>
      <c r="P25" s="774"/>
      <c r="Q25" s="831" t="str">
        <f>B25</f>
        <v>毗邻道路的类型与等级</v>
      </c>
      <c r="R25" s="832" t="s">
        <v>1174</v>
      </c>
      <c r="S25" s="833">
        <f>F25</f>
        <v>100</v>
      </c>
      <c r="T25" s="832" t="s">
        <v>1174</v>
      </c>
      <c r="U25" s="833">
        <f>H25</f>
        <v>100</v>
      </c>
      <c r="V25" s="832" t="s">
        <v>1174</v>
      </c>
      <c r="W25" s="833">
        <f>J25</f>
        <v>100</v>
      </c>
      <c r="X25" s="821"/>
      <c r="Y25" s="858"/>
      <c r="Z25" s="820" t="str">
        <f>Q25</f>
        <v>毗邻道路的类型与等级</v>
      </c>
      <c r="AA25" s="838">
        <f t="shared" si="3"/>
        <v>1</v>
      </c>
      <c r="AB25" s="838">
        <f t="shared" si="4"/>
        <v>1</v>
      </c>
      <c r="AC25" s="857">
        <f t="shared" si="5"/>
        <v>1</v>
      </c>
    </row>
    <row r="26" ht="15.5" spans="1:29">
      <c r="A26" s="603"/>
      <c r="B26" s="664"/>
      <c r="C26" s="671"/>
      <c r="D26" s="643"/>
      <c r="E26" s="672"/>
      <c r="F26" s="643"/>
      <c r="G26" s="671"/>
      <c r="H26" s="643"/>
      <c r="I26" s="672"/>
      <c r="J26" s="643"/>
      <c r="K26" s="773"/>
      <c r="L26" s="769"/>
      <c r="M26" s="755"/>
      <c r="N26" s="755"/>
      <c r="O26" s="755"/>
      <c r="P26" s="774"/>
      <c r="Q26" s="831"/>
      <c r="R26" s="832"/>
      <c r="S26" s="833"/>
      <c r="T26" s="832"/>
      <c r="U26" s="833"/>
      <c r="V26" s="832"/>
      <c r="W26" s="833"/>
      <c r="X26" s="821"/>
      <c r="Y26" s="858"/>
      <c r="Z26" s="820"/>
      <c r="AA26" s="838">
        <v>1</v>
      </c>
      <c r="AB26" s="838">
        <v>1</v>
      </c>
      <c r="AC26" s="857">
        <v>1</v>
      </c>
    </row>
    <row r="27" ht="15.5" spans="1:29">
      <c r="A27" s="634"/>
      <c r="B27" s="664" t="s">
        <v>1196</v>
      </c>
      <c r="C27" s="671"/>
      <c r="D27" s="643">
        <v>100</v>
      </c>
      <c r="E27" s="672"/>
      <c r="F27" s="643">
        <f>SUMIF(89:89,E27,90:90)-SUMIF(89:89,C27,90:90)+100</f>
        <v>100</v>
      </c>
      <c r="G27" s="671"/>
      <c r="H27" s="643">
        <f>SUMIF(89:89,G27,90:90)-SUMIF(89:89,C27,90:90)+100</f>
        <v>100</v>
      </c>
      <c r="I27" s="672"/>
      <c r="J27" s="643">
        <f>SUMIF(89:89,I27,90:90)-SUMIF(89:89,C27,90:90)+100</f>
        <v>100</v>
      </c>
      <c r="K27" s="766"/>
      <c r="L27" s="769"/>
      <c r="M27" s="755"/>
      <c r="N27" s="755"/>
      <c r="O27" s="755"/>
      <c r="P27" s="774"/>
      <c r="Q27" s="831" t="str">
        <f t="shared" ref="Q27:Q47" si="11">B27</f>
        <v>楼层</v>
      </c>
      <c r="R27" s="832" t="s">
        <v>1174</v>
      </c>
      <c r="S27" s="833">
        <f>F27</f>
        <v>100</v>
      </c>
      <c r="T27" s="832" t="s">
        <v>1174</v>
      </c>
      <c r="U27" s="833">
        <f>H27</f>
        <v>100</v>
      </c>
      <c r="V27" s="832" t="s">
        <v>1174</v>
      </c>
      <c r="W27" s="833">
        <f>J27</f>
        <v>100</v>
      </c>
      <c r="X27" s="821"/>
      <c r="Y27" s="858"/>
      <c r="Z27" s="820" t="str">
        <f>Q27</f>
        <v>楼层</v>
      </c>
      <c r="AA27" s="838">
        <f t="shared" si="3"/>
        <v>1</v>
      </c>
      <c r="AB27" s="838">
        <f t="shared" si="4"/>
        <v>1</v>
      </c>
      <c r="AC27" s="857">
        <f t="shared" si="5"/>
        <v>1</v>
      </c>
    </row>
    <row r="28" s="568" customFormat="1" ht="15.5" spans="1:29">
      <c r="A28" s="637"/>
      <c r="B28" s="659" t="s">
        <v>1197</v>
      </c>
      <c r="C28" s="673"/>
      <c r="D28" s="674">
        <v>100</v>
      </c>
      <c r="E28" s="675"/>
      <c r="F28" s="674">
        <f>SUMIF(91:91,E28,92:92)-SUMIF(91:91,C28,92:92)+100</f>
        <v>100</v>
      </c>
      <c r="G28" s="673"/>
      <c r="H28" s="674">
        <f>SUMIF(91:91,G28,92:92)-SUMIF(91:91,C28,92:92)+100</f>
        <v>100</v>
      </c>
      <c r="I28" s="675"/>
      <c r="J28" s="674">
        <f>SUMIF(91:91,I28,92:92)-SUMIF(91:91,C28,92:92)+100</f>
        <v>100</v>
      </c>
      <c r="K28" s="766"/>
      <c r="L28" s="760"/>
      <c r="M28" s="761"/>
      <c r="N28" s="761"/>
      <c r="O28" s="761"/>
      <c r="P28" s="774"/>
      <c r="Q28" s="830" t="str">
        <f t="shared" si="11"/>
        <v>朝向</v>
      </c>
      <c r="R28" s="826" t="s">
        <v>1174</v>
      </c>
      <c r="S28" s="827">
        <f>F28</f>
        <v>100</v>
      </c>
      <c r="T28" s="826" t="s">
        <v>1174</v>
      </c>
      <c r="U28" s="827">
        <f>H28</f>
        <v>100</v>
      </c>
      <c r="V28" s="826" t="s">
        <v>1174</v>
      </c>
      <c r="W28" s="827">
        <f>J28</f>
        <v>100</v>
      </c>
      <c r="X28" s="828"/>
      <c r="Y28" s="858"/>
      <c r="Z28" s="855" t="str">
        <f>Q28</f>
        <v>朝向</v>
      </c>
      <c r="AA28" s="838">
        <f t="shared" si="3"/>
        <v>1</v>
      </c>
      <c r="AB28" s="838">
        <f t="shared" si="4"/>
        <v>1</v>
      </c>
      <c r="AC28" s="857">
        <f t="shared" si="5"/>
        <v>1</v>
      </c>
    </row>
    <row r="29" ht="15.5" spans="1:29">
      <c r="A29" s="634"/>
      <c r="B29" s="676">
        <v>111</v>
      </c>
      <c r="C29" s="670"/>
      <c r="D29" s="643">
        <v>100</v>
      </c>
      <c r="E29" s="639"/>
      <c r="F29" s="643">
        <f>SUMIF(93:93,E29,94:94)-SUMIF(93:93,C29,94:94)+100</f>
        <v>100</v>
      </c>
      <c r="G29" s="641"/>
      <c r="H29" s="643">
        <f>SUMIF(93:93,G29,94:94)-SUMIF(93:93,C29,94:94)+100</f>
        <v>100</v>
      </c>
      <c r="I29" s="639"/>
      <c r="J29" s="643">
        <f>SUMIF(93:93,I29,94:94)-SUMIF(93:93,C29,94:94)+100</f>
        <v>100</v>
      </c>
      <c r="K29" s="768"/>
      <c r="L29" s="769"/>
      <c r="M29" s="755"/>
      <c r="N29" s="755"/>
      <c r="O29" s="755"/>
      <c r="P29" s="774"/>
      <c r="Q29" s="831">
        <f t="shared" si="11"/>
        <v>111</v>
      </c>
      <c r="R29" s="832" t="s">
        <v>1174</v>
      </c>
      <c r="S29" s="833">
        <f t="shared" ref="S29:S47" si="12">F29</f>
        <v>100</v>
      </c>
      <c r="T29" s="832" t="s">
        <v>1174</v>
      </c>
      <c r="U29" s="833">
        <f t="shared" ref="U29:U47" si="13">H29</f>
        <v>100</v>
      </c>
      <c r="V29" s="832" t="s">
        <v>1174</v>
      </c>
      <c r="W29" s="833">
        <f t="shared" ref="W29:W47" si="14">J29</f>
        <v>100</v>
      </c>
      <c r="X29" s="821"/>
      <c r="Y29" s="858"/>
      <c r="Z29" s="820">
        <f t="shared" ref="Z29:Z47" si="15">Q29</f>
        <v>111</v>
      </c>
      <c r="AA29" s="838">
        <f t="shared" si="3"/>
        <v>1</v>
      </c>
      <c r="AB29" s="838">
        <f t="shared" si="4"/>
        <v>1</v>
      </c>
      <c r="AC29" s="857">
        <f t="shared" si="5"/>
        <v>1</v>
      </c>
    </row>
    <row r="30" ht="15.5" spans="1:29">
      <c r="A30" s="634"/>
      <c r="B30" s="676">
        <v>111</v>
      </c>
      <c r="C30" s="670"/>
      <c r="D30" s="643">
        <v>100</v>
      </c>
      <c r="E30" s="639"/>
      <c r="F30" s="643">
        <f>SUMIF(95:95,E30,96:96)-SUMIF(95:95,C30,96:96)+100</f>
        <v>100</v>
      </c>
      <c r="G30" s="641"/>
      <c r="H30" s="643">
        <f>SUMIF(95:95,G30,96:96)-SUMIF(95:95,C30,96:96)+100</f>
        <v>100</v>
      </c>
      <c r="I30" s="639"/>
      <c r="J30" s="643">
        <f>SUMIF(95:95,I30,96:96)-SUMIF(95:95,C30,96:96)+100</f>
        <v>100</v>
      </c>
      <c r="K30" s="768"/>
      <c r="L30" s="769"/>
      <c r="M30" s="755"/>
      <c r="N30" s="755"/>
      <c r="O30" s="755"/>
      <c r="P30" s="774"/>
      <c r="Q30" s="831">
        <f t="shared" si="11"/>
        <v>111</v>
      </c>
      <c r="R30" s="832" t="s">
        <v>1174</v>
      </c>
      <c r="S30" s="833">
        <f t="shared" si="12"/>
        <v>100</v>
      </c>
      <c r="T30" s="832" t="s">
        <v>1174</v>
      </c>
      <c r="U30" s="833">
        <f t="shared" si="13"/>
        <v>100</v>
      </c>
      <c r="V30" s="832" t="s">
        <v>1174</v>
      </c>
      <c r="W30" s="833">
        <f t="shared" si="14"/>
        <v>100</v>
      </c>
      <c r="X30" s="821"/>
      <c r="Y30" s="858"/>
      <c r="Z30" s="820">
        <f t="shared" si="15"/>
        <v>111</v>
      </c>
      <c r="AA30" s="838">
        <f t="shared" si="3"/>
        <v>1</v>
      </c>
      <c r="AB30" s="838">
        <f t="shared" si="4"/>
        <v>1</v>
      </c>
      <c r="AC30" s="857">
        <f t="shared" si="5"/>
        <v>1</v>
      </c>
    </row>
    <row r="31" ht="15.5" spans="1:29">
      <c r="A31" s="634"/>
      <c r="B31" s="676">
        <v>111</v>
      </c>
      <c r="C31" s="670"/>
      <c r="D31" s="643">
        <v>100</v>
      </c>
      <c r="E31" s="639"/>
      <c r="F31" s="643">
        <f>SUMIF(97:97,E31,98:98)-SUMIF(97:97,C31,98:98)+100</f>
        <v>100</v>
      </c>
      <c r="G31" s="641"/>
      <c r="H31" s="643">
        <f>SUMIF(97:97,G31,98:98)-SUMIF(97:97,C31,98:98)+100</f>
        <v>100</v>
      </c>
      <c r="I31" s="639"/>
      <c r="J31" s="643">
        <f>SUMIF(97:97,I31,98:98)-SUMIF(97:97,C31,98:98)+100</f>
        <v>100</v>
      </c>
      <c r="K31" s="768"/>
      <c r="L31" s="769"/>
      <c r="M31" s="755"/>
      <c r="N31" s="755"/>
      <c r="O31" s="755"/>
      <c r="P31" s="774"/>
      <c r="Q31" s="831">
        <f t="shared" si="11"/>
        <v>111</v>
      </c>
      <c r="R31" s="832" t="s">
        <v>1174</v>
      </c>
      <c r="S31" s="833">
        <f t="shared" si="12"/>
        <v>100</v>
      </c>
      <c r="T31" s="832" t="s">
        <v>1174</v>
      </c>
      <c r="U31" s="833">
        <f t="shared" si="13"/>
        <v>100</v>
      </c>
      <c r="V31" s="832" t="s">
        <v>1174</v>
      </c>
      <c r="W31" s="833">
        <f t="shared" si="14"/>
        <v>100</v>
      </c>
      <c r="X31" s="821"/>
      <c r="Y31" s="858"/>
      <c r="Z31" s="820">
        <f t="shared" si="15"/>
        <v>111</v>
      </c>
      <c r="AA31" s="838">
        <f t="shared" si="3"/>
        <v>1</v>
      </c>
      <c r="AB31" s="838">
        <f t="shared" si="4"/>
        <v>1</v>
      </c>
      <c r="AC31" s="857">
        <f t="shared" si="5"/>
        <v>1</v>
      </c>
    </row>
    <row r="32" ht="16.25" spans="1:29">
      <c r="A32" s="644"/>
      <c r="B32" s="677">
        <v>111</v>
      </c>
      <c r="C32" s="678"/>
      <c r="D32" s="647">
        <v>100</v>
      </c>
      <c r="E32" s="648"/>
      <c r="F32" s="647">
        <f>SUMIF(99:99,E32,100:100)-SUMIF(99:99,C32,100:100)+100</f>
        <v>100</v>
      </c>
      <c r="G32" s="641"/>
      <c r="H32" s="647">
        <f>SUMIF(99:99,G32,100:100)-SUMIF(99:99,C32,100:100)+100</f>
        <v>100</v>
      </c>
      <c r="I32" s="639"/>
      <c r="J32" s="647">
        <f>SUMIF(99:99,I32,100:100)-SUMIF(99:99,C32,100:100)+100</f>
        <v>100</v>
      </c>
      <c r="K32" s="768"/>
      <c r="L32" s="769"/>
      <c r="M32" s="755"/>
      <c r="N32" s="755"/>
      <c r="O32" s="755"/>
      <c r="P32" s="774"/>
      <c r="Q32" s="831">
        <f t="shared" si="11"/>
        <v>111</v>
      </c>
      <c r="R32" s="832" t="s">
        <v>1174</v>
      </c>
      <c r="S32" s="833">
        <f t="shared" si="12"/>
        <v>100</v>
      </c>
      <c r="T32" s="832" t="s">
        <v>1174</v>
      </c>
      <c r="U32" s="833">
        <f t="shared" si="13"/>
        <v>100</v>
      </c>
      <c r="V32" s="832" t="s">
        <v>1174</v>
      </c>
      <c r="W32" s="833">
        <f t="shared" si="14"/>
        <v>100</v>
      </c>
      <c r="X32" s="821"/>
      <c r="Y32" s="858"/>
      <c r="Z32" s="820">
        <f t="shared" si="15"/>
        <v>111</v>
      </c>
      <c r="AA32" s="838">
        <f t="shared" si="3"/>
        <v>1</v>
      </c>
      <c r="AB32" s="838">
        <f t="shared" si="4"/>
        <v>1</v>
      </c>
      <c r="AC32" s="857">
        <f t="shared" si="5"/>
        <v>1</v>
      </c>
    </row>
    <row r="33" ht="15.5" spans="1:29">
      <c r="A33" s="649" t="s">
        <v>1198</v>
      </c>
      <c r="B33" s="624" t="s">
        <v>1199</v>
      </c>
      <c r="C33" s="679" t="s">
        <v>1200</v>
      </c>
      <c r="D33" s="680">
        <v>100</v>
      </c>
      <c r="E33" s="679" t="s">
        <v>1200</v>
      </c>
      <c r="F33" s="681">
        <f>SUMIF(101:101,E33,102:102)-SUMIF(101:101,C33,102:102)+100</f>
        <v>100</v>
      </c>
      <c r="G33" s="679" t="s">
        <v>1200</v>
      </c>
      <c r="H33" s="643">
        <f>SUMIF(101:101,G33,102:102)-SUMIF(101:101,C33,102:102)+100</f>
        <v>100</v>
      </c>
      <c r="I33" s="679" t="s">
        <v>1201</v>
      </c>
      <c r="J33" s="680">
        <f>SUMIF(101:101,I33,102:102)-SUMIF(101:101,C33,102:102)+100</f>
        <v>102</v>
      </c>
      <c r="K33" s="766">
        <v>2</v>
      </c>
      <c r="L33" s="769"/>
      <c r="M33" s="755"/>
      <c r="N33" s="755"/>
      <c r="O33" s="755"/>
      <c r="P33" s="776" t="s">
        <v>1202</v>
      </c>
      <c r="Q33" s="831" t="str">
        <f t="shared" si="11"/>
        <v>建筑类型</v>
      </c>
      <c r="R33" s="832" t="s">
        <v>1174</v>
      </c>
      <c r="S33" s="833">
        <f t="shared" si="12"/>
        <v>100</v>
      </c>
      <c r="T33" s="832" t="s">
        <v>1174</v>
      </c>
      <c r="U33" s="833">
        <f t="shared" si="13"/>
        <v>100</v>
      </c>
      <c r="V33" s="832" t="s">
        <v>1174</v>
      </c>
      <c r="W33" s="833">
        <f t="shared" si="14"/>
        <v>102</v>
      </c>
      <c r="X33" s="821"/>
      <c r="Y33" s="859" t="s">
        <v>1202</v>
      </c>
      <c r="Z33" s="820" t="str">
        <f t="shared" si="15"/>
        <v>建筑类型</v>
      </c>
      <c r="AA33" s="838">
        <f t="shared" si="3"/>
        <v>1</v>
      </c>
      <c r="AB33" s="838">
        <f t="shared" si="4"/>
        <v>1</v>
      </c>
      <c r="AC33" s="857">
        <f t="shared" si="5"/>
        <v>0.980392156862745</v>
      </c>
    </row>
    <row r="34" s="570" customFormat="1" ht="15.5" spans="1:29">
      <c r="A34" s="682"/>
      <c r="B34" s="630" t="s">
        <v>1203</v>
      </c>
      <c r="C34" s="683">
        <f>'数据-汇总表'!F19</f>
        <v>3013</v>
      </c>
      <c r="D34" s="632">
        <v>100</v>
      </c>
      <c r="E34" s="636">
        <v>1900</v>
      </c>
      <c r="F34" s="684">
        <f>LOOKUP(E34,104:104,105:105)-LOOKUP(C34,104:104,105:105)+100</f>
        <v>101</v>
      </c>
      <c r="G34" s="635">
        <v>1000</v>
      </c>
      <c r="H34" s="632">
        <f>LOOKUP(G34,104:104,105:105)-LOOKUP(C34,104:104,105:105)+100</f>
        <v>101</v>
      </c>
      <c r="I34" s="635">
        <v>1200</v>
      </c>
      <c r="J34" s="632">
        <f>LOOKUP(I34,104:104,105:105)-LOOKUP(C34,104:104,105:105)+100</f>
        <v>101</v>
      </c>
      <c r="K34" s="768"/>
      <c r="L34" s="767"/>
      <c r="M34" s="777"/>
      <c r="N34" s="777"/>
      <c r="O34" s="777"/>
      <c r="P34" s="778"/>
      <c r="Q34" s="834" t="str">
        <f t="shared" si="11"/>
        <v>项目建筑规模</v>
      </c>
      <c r="R34" s="835" t="s">
        <v>1174</v>
      </c>
      <c r="S34" s="836">
        <f t="shared" si="12"/>
        <v>101</v>
      </c>
      <c r="T34" s="835" t="s">
        <v>1174</v>
      </c>
      <c r="U34" s="836">
        <f t="shared" si="13"/>
        <v>101</v>
      </c>
      <c r="V34" s="835" t="s">
        <v>1174</v>
      </c>
      <c r="W34" s="836">
        <f t="shared" si="14"/>
        <v>101</v>
      </c>
      <c r="X34" s="837"/>
      <c r="Y34" s="859"/>
      <c r="Z34" s="860" t="str">
        <f t="shared" si="15"/>
        <v>项目建筑规模</v>
      </c>
      <c r="AA34" s="838">
        <f t="shared" si="3"/>
        <v>0.99009900990099</v>
      </c>
      <c r="AB34" s="838">
        <f t="shared" si="4"/>
        <v>0.99009900990099</v>
      </c>
      <c r="AC34" s="857">
        <f t="shared" si="5"/>
        <v>0.99009900990099</v>
      </c>
    </row>
    <row r="35" ht="15.5" spans="1:29">
      <c r="A35" s="685"/>
      <c r="B35" s="630" t="s">
        <v>1204</v>
      </c>
      <c r="C35" s="686"/>
      <c r="D35" s="643">
        <v>100</v>
      </c>
      <c r="E35" s="686"/>
      <c r="F35" s="681">
        <f>SUMIF(106:106,E35,107:107)-SUMIF(106:106,C35,107:107)+100</f>
        <v>100</v>
      </c>
      <c r="G35" s="686"/>
      <c r="H35" s="643">
        <f>SUMIF(106:106,G35,107:107)-SUMIF(106:106,C35,107:107)+100</f>
        <v>100</v>
      </c>
      <c r="I35" s="686"/>
      <c r="J35" s="643">
        <f>SUMIF(106:106,I35,107:107)-SUMIF(106:106,C35,107:107)+100</f>
        <v>100</v>
      </c>
      <c r="K35" s="766"/>
      <c r="L35" s="769"/>
      <c r="M35" s="755"/>
      <c r="N35" s="755"/>
      <c r="O35" s="755"/>
      <c r="P35" s="778"/>
      <c r="Q35" s="831" t="str">
        <f t="shared" si="11"/>
        <v>建筑结构</v>
      </c>
      <c r="R35" s="832" t="s">
        <v>1174</v>
      </c>
      <c r="S35" s="833">
        <f t="shared" si="12"/>
        <v>100</v>
      </c>
      <c r="T35" s="832" t="s">
        <v>1174</v>
      </c>
      <c r="U35" s="833">
        <f t="shared" si="13"/>
        <v>100</v>
      </c>
      <c r="V35" s="832" t="s">
        <v>1174</v>
      </c>
      <c r="W35" s="833">
        <f t="shared" si="14"/>
        <v>100</v>
      </c>
      <c r="X35" s="821"/>
      <c r="Y35" s="859"/>
      <c r="Z35" s="820" t="str">
        <f t="shared" si="15"/>
        <v>建筑结构</v>
      </c>
      <c r="AA35" s="838">
        <f t="shared" si="3"/>
        <v>1</v>
      </c>
      <c r="AB35" s="838">
        <f t="shared" si="4"/>
        <v>1</v>
      </c>
      <c r="AC35" s="857">
        <f t="shared" si="5"/>
        <v>1</v>
      </c>
    </row>
    <row r="36" ht="15.5" spans="1:29">
      <c r="A36" s="685"/>
      <c r="B36" s="630" t="s">
        <v>1205</v>
      </c>
      <c r="C36" s="686"/>
      <c r="D36" s="643">
        <v>100</v>
      </c>
      <c r="E36" s="686"/>
      <c r="F36" s="681">
        <f>SUMIF(108:108,E36,109:109)-SUMIF(108:108,C36,109:109)+100</f>
        <v>100</v>
      </c>
      <c r="G36" s="686"/>
      <c r="H36" s="643">
        <f>SUMIF(108:108,G36,109:109)-SUMIF(108:108,C36,109:109)+100</f>
        <v>100</v>
      </c>
      <c r="I36" s="686"/>
      <c r="J36" s="643">
        <f>SUMIF(108:108,I36,109:109)-SUMIF(108:108,C36,109:109)+100</f>
        <v>100</v>
      </c>
      <c r="K36" s="766"/>
      <c r="L36" s="769"/>
      <c r="M36" s="755"/>
      <c r="N36" s="755"/>
      <c r="O36" s="755"/>
      <c r="P36" s="778"/>
      <c r="Q36" s="831" t="str">
        <f t="shared" si="11"/>
        <v>公共部分装修</v>
      </c>
      <c r="R36" s="832" t="s">
        <v>1174</v>
      </c>
      <c r="S36" s="833">
        <f t="shared" si="12"/>
        <v>100</v>
      </c>
      <c r="T36" s="832" t="s">
        <v>1174</v>
      </c>
      <c r="U36" s="833">
        <f t="shared" si="13"/>
        <v>100</v>
      </c>
      <c r="V36" s="832" t="s">
        <v>1174</v>
      </c>
      <c r="W36" s="833">
        <f t="shared" si="14"/>
        <v>100</v>
      </c>
      <c r="X36" s="821"/>
      <c r="Y36" s="859"/>
      <c r="Z36" s="820" t="str">
        <f t="shared" si="15"/>
        <v>公共部分装修</v>
      </c>
      <c r="AA36" s="838">
        <f t="shared" si="3"/>
        <v>1</v>
      </c>
      <c r="AB36" s="838">
        <f t="shared" si="4"/>
        <v>1</v>
      </c>
      <c r="AC36" s="857">
        <f t="shared" si="5"/>
        <v>1</v>
      </c>
    </row>
    <row r="37" ht="15.5" spans="1:29">
      <c r="A37" s="685"/>
      <c r="B37" s="630" t="s">
        <v>636</v>
      </c>
      <c r="C37" s="687">
        <v>0.74</v>
      </c>
      <c r="D37" s="643">
        <v>100</v>
      </c>
      <c r="E37" s="687">
        <v>0.74</v>
      </c>
      <c r="F37" s="681">
        <f>LOOKUP(E37,111:111,112:112)-LOOKUP(C37,111:111,112:112)+100</f>
        <v>100</v>
      </c>
      <c r="G37" s="687">
        <v>0.74</v>
      </c>
      <c r="H37" s="681">
        <f>LOOKUP(G37,111:111,112:112)-LOOKUP(C37,111:111,112:112)+100</f>
        <v>100</v>
      </c>
      <c r="I37" s="687">
        <v>0.74</v>
      </c>
      <c r="J37" s="643">
        <f>LOOKUP(I37,111:111,112:112)-LOOKUP(C37,111:111,112:112)+100</f>
        <v>100</v>
      </c>
      <c r="K37" s="766"/>
      <c r="L37" s="769"/>
      <c r="M37" s="755"/>
      <c r="N37" s="755"/>
      <c r="O37" s="755"/>
      <c r="P37" s="778"/>
      <c r="Q37" s="831" t="str">
        <f t="shared" si="11"/>
        <v>成新度</v>
      </c>
      <c r="R37" s="832" t="s">
        <v>1174</v>
      </c>
      <c r="S37" s="833">
        <f t="shared" si="12"/>
        <v>100</v>
      </c>
      <c r="T37" s="832" t="s">
        <v>1174</v>
      </c>
      <c r="U37" s="833">
        <f t="shared" si="13"/>
        <v>100</v>
      </c>
      <c r="V37" s="832" t="s">
        <v>1174</v>
      </c>
      <c r="W37" s="833">
        <f t="shared" si="14"/>
        <v>100</v>
      </c>
      <c r="X37" s="821"/>
      <c r="Y37" s="859"/>
      <c r="Z37" s="820" t="str">
        <f t="shared" si="15"/>
        <v>成新度</v>
      </c>
      <c r="AA37" s="838">
        <f t="shared" si="3"/>
        <v>1</v>
      </c>
      <c r="AB37" s="838">
        <f t="shared" si="4"/>
        <v>1</v>
      </c>
      <c r="AC37" s="857">
        <f t="shared" si="5"/>
        <v>1</v>
      </c>
    </row>
    <row r="38" s="568" customFormat="1" ht="15.5" spans="1:29">
      <c r="A38" s="688"/>
      <c r="B38" s="630" t="s">
        <v>1206</v>
      </c>
      <c r="C38" s="686"/>
      <c r="D38" s="632">
        <v>100</v>
      </c>
      <c r="E38" s="686"/>
      <c r="F38" s="681">
        <f>SUMIF(113:113,E38,114:114)-SUMIF(113:113,C38,114:114)+100</f>
        <v>100</v>
      </c>
      <c r="G38" s="686"/>
      <c r="H38" s="643">
        <f>SUMIF(113:113,G38,114:114)-SUMIF(113:113,C38,114:114)+100</f>
        <v>100</v>
      </c>
      <c r="I38" s="686"/>
      <c r="J38" s="643">
        <f>SUMIF(113:113,I38,114:114)-SUMIF(113:113,C38,114:114)+100</f>
        <v>100</v>
      </c>
      <c r="K38" s="766"/>
      <c r="L38" s="760"/>
      <c r="M38" s="761"/>
      <c r="N38" s="761"/>
      <c r="O38" s="761"/>
      <c r="P38" s="778"/>
      <c r="Q38" s="830" t="str">
        <f t="shared" si="11"/>
        <v>写字楼等级</v>
      </c>
      <c r="R38" s="826" t="s">
        <v>1174</v>
      </c>
      <c r="S38" s="827">
        <f t="shared" si="12"/>
        <v>100</v>
      </c>
      <c r="T38" s="826" t="s">
        <v>1174</v>
      </c>
      <c r="U38" s="827">
        <f t="shared" si="13"/>
        <v>100</v>
      </c>
      <c r="V38" s="826" t="s">
        <v>1174</v>
      </c>
      <c r="W38" s="827">
        <f t="shared" si="14"/>
        <v>100</v>
      </c>
      <c r="X38" s="828"/>
      <c r="Y38" s="859"/>
      <c r="Z38" s="855" t="str">
        <f t="shared" si="15"/>
        <v>写字楼等级</v>
      </c>
      <c r="AA38" s="853">
        <f t="shared" si="3"/>
        <v>1</v>
      </c>
      <c r="AB38" s="853">
        <f t="shared" si="4"/>
        <v>1</v>
      </c>
      <c r="AC38" s="854">
        <f t="shared" si="5"/>
        <v>1</v>
      </c>
    </row>
    <row r="39" ht="15.5" spans="1:29">
      <c r="A39" s="685"/>
      <c r="B39" s="630" t="s">
        <v>1207</v>
      </c>
      <c r="C39" s="686"/>
      <c r="D39" s="643">
        <v>100</v>
      </c>
      <c r="E39" s="686"/>
      <c r="F39" s="681">
        <f>SUMIF(115:115,E39,116:116)-SUMIF(115:115,C39,116:116)+100</f>
        <v>100</v>
      </c>
      <c r="G39" s="686"/>
      <c r="H39" s="643">
        <f>SUMIF(115:115,G39,116:116)-SUMIF(115:115,C39,116:116)+100</f>
        <v>100</v>
      </c>
      <c r="I39" s="686"/>
      <c r="J39" s="643">
        <f>SUMIF(115:115,I39,116:116)-SUMIF(115:115,C39,116:116)+100</f>
        <v>100</v>
      </c>
      <c r="K39" s="766"/>
      <c r="L39" s="769"/>
      <c r="M39" s="755"/>
      <c r="N39" s="755"/>
      <c r="O39" s="755"/>
      <c r="P39" s="778" t="s">
        <v>1202</v>
      </c>
      <c r="Q39" s="831" t="str">
        <f t="shared" si="11"/>
        <v>物业管理</v>
      </c>
      <c r="R39" s="832" t="s">
        <v>1174</v>
      </c>
      <c r="S39" s="833">
        <f t="shared" si="12"/>
        <v>100</v>
      </c>
      <c r="T39" s="832" t="s">
        <v>1174</v>
      </c>
      <c r="U39" s="833">
        <f t="shared" si="13"/>
        <v>100</v>
      </c>
      <c r="V39" s="832" t="s">
        <v>1174</v>
      </c>
      <c r="W39" s="833">
        <f t="shared" si="14"/>
        <v>100</v>
      </c>
      <c r="X39" s="821"/>
      <c r="Y39" s="859" t="s">
        <v>1202</v>
      </c>
      <c r="Z39" s="820" t="str">
        <f t="shared" si="15"/>
        <v>物业管理</v>
      </c>
      <c r="AA39" s="838">
        <f t="shared" si="3"/>
        <v>1</v>
      </c>
      <c r="AB39" s="838">
        <f t="shared" si="4"/>
        <v>1</v>
      </c>
      <c r="AC39" s="857">
        <f t="shared" si="5"/>
        <v>1</v>
      </c>
    </row>
    <row r="40" ht="15.5" spans="1:29">
      <c r="A40" s="685"/>
      <c r="B40" s="630" t="s">
        <v>1208</v>
      </c>
      <c r="C40" s="686"/>
      <c r="D40" s="643">
        <v>100</v>
      </c>
      <c r="E40" s="686"/>
      <c r="F40" s="681">
        <f>SUMIF(117:117,E40,118:118)-SUMIF(117:117,C40,118:118)+100</f>
        <v>100</v>
      </c>
      <c r="G40" s="686"/>
      <c r="H40" s="643">
        <f>SUMIF(117:117,G40,118:118)-SUMIF(117:117,C40,118:118)+100</f>
        <v>100</v>
      </c>
      <c r="I40" s="686"/>
      <c r="J40" s="643">
        <f>SUMIF(117:117,I40,118:118)-SUMIF(117:117,C40,118:118)+100</f>
        <v>100</v>
      </c>
      <c r="K40" s="766"/>
      <c r="L40" s="769"/>
      <c r="M40" s="755"/>
      <c r="N40" s="755"/>
      <c r="O40" s="755"/>
      <c r="P40" s="778"/>
      <c r="Q40" s="831" t="str">
        <f t="shared" si="11"/>
        <v>市政基础设施</v>
      </c>
      <c r="R40" s="832" t="s">
        <v>1174</v>
      </c>
      <c r="S40" s="833">
        <f t="shared" si="12"/>
        <v>100</v>
      </c>
      <c r="T40" s="832" t="s">
        <v>1174</v>
      </c>
      <c r="U40" s="833">
        <f t="shared" si="13"/>
        <v>100</v>
      </c>
      <c r="V40" s="832" t="s">
        <v>1174</v>
      </c>
      <c r="W40" s="833">
        <f t="shared" si="14"/>
        <v>100</v>
      </c>
      <c r="X40" s="821"/>
      <c r="Y40" s="859"/>
      <c r="Z40" s="820" t="str">
        <f t="shared" si="15"/>
        <v>市政基础设施</v>
      </c>
      <c r="AA40" s="838">
        <f t="shared" si="3"/>
        <v>1</v>
      </c>
      <c r="AB40" s="838">
        <f t="shared" si="4"/>
        <v>1</v>
      </c>
      <c r="AC40" s="857">
        <f t="shared" si="5"/>
        <v>1</v>
      </c>
    </row>
    <row r="41" ht="15.5" spans="1:29">
      <c r="A41" s="685"/>
      <c r="B41" s="630" t="s">
        <v>1209</v>
      </c>
      <c r="C41" s="672"/>
      <c r="D41" s="643">
        <v>100</v>
      </c>
      <c r="E41" s="672"/>
      <c r="F41" s="681">
        <f>SUMIF(119:119,E41,120:120)-SUMIF(119:119,C41,120:120)+100</f>
        <v>100</v>
      </c>
      <c r="G41" s="672"/>
      <c r="H41" s="643">
        <f>SUMIF(119:119,G41,120:120)-SUMIF(119:119,C41,120:120)+100</f>
        <v>100</v>
      </c>
      <c r="I41" s="672"/>
      <c r="J41" s="643">
        <f>SUMIF(119:119,I41,120:120)-SUMIF(119:119,C41,120:120)+100</f>
        <v>100</v>
      </c>
      <c r="K41" s="766"/>
      <c r="L41" s="769"/>
      <c r="M41" s="755"/>
      <c r="N41" s="755"/>
      <c r="O41" s="755"/>
      <c r="P41" s="778"/>
      <c r="Q41" s="831" t="str">
        <f t="shared" si="11"/>
        <v>层高</v>
      </c>
      <c r="R41" s="832" t="s">
        <v>1174</v>
      </c>
      <c r="S41" s="833">
        <f t="shared" si="12"/>
        <v>100</v>
      </c>
      <c r="T41" s="832" t="s">
        <v>1174</v>
      </c>
      <c r="U41" s="833">
        <f t="shared" si="13"/>
        <v>100</v>
      </c>
      <c r="V41" s="832" t="s">
        <v>1174</v>
      </c>
      <c r="W41" s="833">
        <f t="shared" si="14"/>
        <v>100</v>
      </c>
      <c r="X41" s="821"/>
      <c r="Y41" s="859"/>
      <c r="Z41" s="820" t="str">
        <f t="shared" si="15"/>
        <v>层高</v>
      </c>
      <c r="AA41" s="838">
        <f t="shared" si="3"/>
        <v>1</v>
      </c>
      <c r="AB41" s="838">
        <f t="shared" si="4"/>
        <v>1</v>
      </c>
      <c r="AC41" s="857">
        <f t="shared" si="5"/>
        <v>1</v>
      </c>
    </row>
    <row r="42" s="570" customFormat="1" ht="15.5" spans="1:29">
      <c r="A42" s="682"/>
      <c r="B42" s="689" t="s">
        <v>1210</v>
      </c>
      <c r="C42" s="642"/>
      <c r="D42" s="643">
        <v>100</v>
      </c>
      <c r="E42" s="642"/>
      <c r="F42" s="681">
        <f>SUMIF(121:121,E42,122:122)-SUMIF(121:121,C42,122:122)+100</f>
        <v>100</v>
      </c>
      <c r="G42" s="642"/>
      <c r="H42" s="643">
        <f>SUMIF(121:121,G42,122:122)-SUMIF(121:121,C42,122:122)+100</f>
        <v>100</v>
      </c>
      <c r="I42" s="642"/>
      <c r="J42" s="643">
        <f>SUMIF(121:121,I42,122:122)-SUMIF(121:121,C42,122:122)+100</f>
        <v>100</v>
      </c>
      <c r="K42" s="768"/>
      <c r="L42" s="767"/>
      <c r="M42" s="777"/>
      <c r="N42" s="777"/>
      <c r="O42" s="777"/>
      <c r="P42" s="778"/>
      <c r="Q42" s="834" t="str">
        <f t="shared" si="11"/>
        <v>单套建筑面积</v>
      </c>
      <c r="R42" s="835" t="s">
        <v>1174</v>
      </c>
      <c r="S42" s="836">
        <f t="shared" si="12"/>
        <v>100</v>
      </c>
      <c r="T42" s="835" t="s">
        <v>1174</v>
      </c>
      <c r="U42" s="836">
        <f t="shared" si="13"/>
        <v>100</v>
      </c>
      <c r="V42" s="835" t="s">
        <v>1174</v>
      </c>
      <c r="W42" s="836">
        <f t="shared" si="14"/>
        <v>100</v>
      </c>
      <c r="X42" s="837"/>
      <c r="Y42" s="859"/>
      <c r="Z42" s="860" t="str">
        <f t="shared" si="15"/>
        <v>单套建筑面积</v>
      </c>
      <c r="AA42" s="838">
        <f t="shared" si="3"/>
        <v>1</v>
      </c>
      <c r="AB42" s="838">
        <f t="shared" si="4"/>
        <v>1</v>
      </c>
      <c r="AC42" s="857">
        <f t="shared" si="5"/>
        <v>1</v>
      </c>
    </row>
    <row r="43" ht="15.5" spans="1:29">
      <c r="A43" s="685"/>
      <c r="B43" s="630" t="s">
        <v>1211</v>
      </c>
      <c r="C43" s="686" t="s">
        <v>1212</v>
      </c>
      <c r="D43" s="643">
        <v>100</v>
      </c>
      <c r="E43" s="686" t="s">
        <v>1212</v>
      </c>
      <c r="F43" s="681">
        <f>SUMIF(123:123,E43,124:124)-SUMIF(123:123,C43,124:124)+100</f>
        <v>100</v>
      </c>
      <c r="G43" s="686" t="s">
        <v>1212</v>
      </c>
      <c r="H43" s="643">
        <f>SUMIF(123:123,G43,124:124)-SUMIF(123:123,C43,124:124)+100</f>
        <v>100</v>
      </c>
      <c r="I43" s="686" t="s">
        <v>1212</v>
      </c>
      <c r="J43" s="643">
        <f>SUMIF(123:123,I43,124:124)-SUMIF(123:123,C43,124:124)+100</f>
        <v>100</v>
      </c>
      <c r="K43" s="766">
        <v>2</v>
      </c>
      <c r="L43" s="769"/>
      <c r="M43" s="755"/>
      <c r="N43" s="755"/>
      <c r="O43" s="755"/>
      <c r="P43" s="778"/>
      <c r="Q43" s="831" t="str">
        <f t="shared" si="11"/>
        <v>内部装修</v>
      </c>
      <c r="R43" s="832" t="s">
        <v>1174</v>
      </c>
      <c r="S43" s="833">
        <f t="shared" si="12"/>
        <v>100</v>
      </c>
      <c r="T43" s="832" t="s">
        <v>1174</v>
      </c>
      <c r="U43" s="833">
        <f t="shared" si="13"/>
        <v>100</v>
      </c>
      <c r="V43" s="832" t="s">
        <v>1174</v>
      </c>
      <c r="W43" s="833">
        <f t="shared" si="14"/>
        <v>100</v>
      </c>
      <c r="X43" s="821"/>
      <c r="Y43" s="859"/>
      <c r="Z43" s="820" t="str">
        <f t="shared" si="15"/>
        <v>内部装修</v>
      </c>
      <c r="AA43" s="838">
        <f t="shared" si="3"/>
        <v>1</v>
      </c>
      <c r="AB43" s="838">
        <f t="shared" si="4"/>
        <v>1</v>
      </c>
      <c r="AC43" s="857">
        <f t="shared" si="5"/>
        <v>1</v>
      </c>
    </row>
    <row r="44" ht="28" spans="1:29">
      <c r="A44" s="685"/>
      <c r="B44" s="630" t="s">
        <v>1213</v>
      </c>
      <c r="C44" s="686" t="s">
        <v>1190</v>
      </c>
      <c r="D44" s="643">
        <v>100</v>
      </c>
      <c r="E44" s="686" t="s">
        <v>1190</v>
      </c>
      <c r="F44" s="681">
        <f>SUMIF(125:125,E44,126:126)-SUMIF(125:125,C44,126:126)+100</f>
        <v>100</v>
      </c>
      <c r="G44" s="686" t="s">
        <v>1190</v>
      </c>
      <c r="H44" s="643">
        <f>SUMIF(125:125,G44,126:126)-SUMIF(125:125,C44,126:126)+100</f>
        <v>100</v>
      </c>
      <c r="I44" s="686" t="s">
        <v>1190</v>
      </c>
      <c r="J44" s="643">
        <f>SUMIF(125:125,I44,126:126)-SUMIF(125:125,C44,126:126)+100</f>
        <v>100</v>
      </c>
      <c r="K44" s="766">
        <v>2</v>
      </c>
      <c r="L44" s="769"/>
      <c r="M44" s="755"/>
      <c r="N44" s="755"/>
      <c r="O44" s="755"/>
      <c r="P44" s="778"/>
      <c r="Q44" s="831" t="str">
        <f t="shared" si="11"/>
        <v>内部装修维护情况</v>
      </c>
      <c r="R44" s="832" t="s">
        <v>1174</v>
      </c>
      <c r="S44" s="833">
        <f t="shared" si="12"/>
        <v>100</v>
      </c>
      <c r="T44" s="832" t="s">
        <v>1174</v>
      </c>
      <c r="U44" s="833">
        <f t="shared" si="13"/>
        <v>100</v>
      </c>
      <c r="V44" s="832" t="s">
        <v>1174</v>
      </c>
      <c r="W44" s="833">
        <f t="shared" si="14"/>
        <v>100</v>
      </c>
      <c r="X44" s="821"/>
      <c r="Y44" s="859"/>
      <c r="Z44" s="820" t="str">
        <f t="shared" si="15"/>
        <v>内部装修维护情况</v>
      </c>
      <c r="AA44" s="838">
        <f t="shared" si="3"/>
        <v>1</v>
      </c>
      <c r="AB44" s="838">
        <f t="shared" si="4"/>
        <v>1</v>
      </c>
      <c r="AC44" s="857">
        <f t="shared" si="5"/>
        <v>1</v>
      </c>
    </row>
    <row r="45" s="568" customFormat="1" ht="15.5" spans="1:29">
      <c r="A45" s="688"/>
      <c r="B45" s="690">
        <v>111</v>
      </c>
      <c r="C45" s="683"/>
      <c r="D45" s="632">
        <v>100</v>
      </c>
      <c r="E45" s="639"/>
      <c r="F45" s="684">
        <f>SUMIF(127:127,E45,128:128)-SUMIF(127:127,C45,128:128)+100</f>
        <v>100</v>
      </c>
      <c r="G45" s="639"/>
      <c r="H45" s="632">
        <f>SUMIF(127:127,G45,128:128)-SUMIF(127:127,C45,128:128)+100</f>
        <v>100</v>
      </c>
      <c r="I45" s="639"/>
      <c r="J45" s="632">
        <f>SUMIF(127:127,I45,128:128)-SUMIF(127:127,C45,128:128)+100</f>
        <v>100</v>
      </c>
      <c r="K45" s="768"/>
      <c r="L45" s="760"/>
      <c r="M45" s="761"/>
      <c r="N45" s="761"/>
      <c r="O45" s="761"/>
      <c r="P45" s="778"/>
      <c r="Q45" s="830">
        <f t="shared" si="11"/>
        <v>111</v>
      </c>
      <c r="R45" s="826" t="s">
        <v>1174</v>
      </c>
      <c r="S45" s="827">
        <f t="shared" si="12"/>
        <v>100</v>
      </c>
      <c r="T45" s="826" t="s">
        <v>1174</v>
      </c>
      <c r="U45" s="827">
        <f t="shared" si="13"/>
        <v>100</v>
      </c>
      <c r="V45" s="826" t="s">
        <v>1174</v>
      </c>
      <c r="W45" s="827">
        <f t="shared" si="14"/>
        <v>100</v>
      </c>
      <c r="X45" s="828"/>
      <c r="Y45" s="859"/>
      <c r="Z45" s="855">
        <f t="shared" si="15"/>
        <v>111</v>
      </c>
      <c r="AA45" s="853">
        <f t="shared" si="3"/>
        <v>1</v>
      </c>
      <c r="AB45" s="853">
        <f t="shared" si="4"/>
        <v>1</v>
      </c>
      <c r="AC45" s="854">
        <f t="shared" si="5"/>
        <v>1</v>
      </c>
    </row>
    <row r="46" ht="15.5" spans="1:29">
      <c r="A46" s="685"/>
      <c r="B46" s="690">
        <v>111</v>
      </c>
      <c r="C46" s="642"/>
      <c r="D46" s="643">
        <v>100</v>
      </c>
      <c r="E46" s="639"/>
      <c r="F46" s="681">
        <f>SUMIF(129:129,E46,130:130)-SUMIF(129:129,C46,130:130)+100</f>
        <v>100</v>
      </c>
      <c r="G46" s="639"/>
      <c r="H46" s="643">
        <f>SUMIF(129:129,G46,130:130)-SUMIF(129:129,C46,130:130)+100</f>
        <v>100</v>
      </c>
      <c r="I46" s="639"/>
      <c r="J46" s="643">
        <f>SUMIF(129:129,I46,130:130)-SUMIF(129:129,C46,130:130)+100</f>
        <v>100</v>
      </c>
      <c r="K46" s="768"/>
      <c r="L46" s="769"/>
      <c r="M46" s="755"/>
      <c r="N46" s="755"/>
      <c r="O46" s="755"/>
      <c r="P46" s="778"/>
      <c r="Q46" s="831">
        <f t="shared" si="11"/>
        <v>111</v>
      </c>
      <c r="R46" s="832" t="s">
        <v>1174</v>
      </c>
      <c r="S46" s="833">
        <f t="shared" si="12"/>
        <v>100</v>
      </c>
      <c r="T46" s="832" t="s">
        <v>1174</v>
      </c>
      <c r="U46" s="833">
        <f t="shared" si="13"/>
        <v>100</v>
      </c>
      <c r="V46" s="832" t="s">
        <v>1174</v>
      </c>
      <c r="W46" s="833">
        <f t="shared" si="14"/>
        <v>100</v>
      </c>
      <c r="X46" s="821"/>
      <c r="Y46" s="859"/>
      <c r="Z46" s="820">
        <f t="shared" si="15"/>
        <v>111</v>
      </c>
      <c r="AA46" s="838">
        <f t="shared" si="3"/>
        <v>1</v>
      </c>
      <c r="AB46" s="838">
        <f t="shared" si="4"/>
        <v>1</v>
      </c>
      <c r="AC46" s="857">
        <f t="shared" si="5"/>
        <v>1</v>
      </c>
    </row>
    <row r="47" ht="16.25" spans="1:29">
      <c r="A47" s="691"/>
      <c r="B47" s="645">
        <v>111</v>
      </c>
      <c r="C47" s="646"/>
      <c r="D47" s="647">
        <v>100</v>
      </c>
      <c r="E47" s="639"/>
      <c r="F47" s="692">
        <f>SUMIF(131:131,E47,132:132)-SUMIF(131:131,C47,132:132)+100</f>
        <v>100</v>
      </c>
      <c r="G47" s="639"/>
      <c r="H47" s="647">
        <f>SUMIF(131:131,G47,132:132)-SUMIF(131:131,C47,132:132)+100</f>
        <v>100</v>
      </c>
      <c r="I47" s="639"/>
      <c r="J47" s="647">
        <f>SUMIF(131:131,I47,132:132)-SUMIF(131:131,C47,132:132)+100</f>
        <v>100</v>
      </c>
      <c r="K47" s="768"/>
      <c r="L47" s="769"/>
      <c r="M47" s="755"/>
      <c r="N47" s="755"/>
      <c r="O47" s="755"/>
      <c r="P47" s="779"/>
      <c r="Q47" s="831">
        <f t="shared" si="11"/>
        <v>111</v>
      </c>
      <c r="R47" s="832" t="s">
        <v>1174</v>
      </c>
      <c r="S47" s="833">
        <f t="shared" si="12"/>
        <v>100</v>
      </c>
      <c r="T47" s="832" t="s">
        <v>1174</v>
      </c>
      <c r="U47" s="833">
        <f t="shared" si="13"/>
        <v>100</v>
      </c>
      <c r="V47" s="832" t="s">
        <v>1174</v>
      </c>
      <c r="W47" s="833">
        <f t="shared" si="14"/>
        <v>100</v>
      </c>
      <c r="X47" s="821"/>
      <c r="Y47" s="861"/>
      <c r="Z47" s="820">
        <f t="shared" si="15"/>
        <v>111</v>
      </c>
      <c r="AA47" s="838">
        <f t="shared" si="3"/>
        <v>1</v>
      </c>
      <c r="AB47" s="838">
        <f t="shared" si="4"/>
        <v>1</v>
      </c>
      <c r="AC47" s="857">
        <f t="shared" si="5"/>
        <v>1</v>
      </c>
    </row>
    <row r="48" spans="1:29">
      <c r="A48" s="693" t="s">
        <v>1214</v>
      </c>
      <c r="B48" s="694"/>
      <c r="C48" s="695" t="s">
        <v>124</v>
      </c>
      <c r="D48" s="696"/>
      <c r="E48" s="697">
        <v>26100</v>
      </c>
      <c r="F48" s="698"/>
      <c r="G48" s="699">
        <v>25000</v>
      </c>
      <c r="H48" s="700"/>
      <c r="I48" s="697">
        <v>27500</v>
      </c>
      <c r="J48" s="780"/>
      <c r="K48" s="781"/>
      <c r="L48" s="782"/>
      <c r="M48" s="755"/>
      <c r="N48" s="755"/>
      <c r="O48" s="755"/>
      <c r="P48" s="763" t="str">
        <f>A48</f>
        <v>成交单价（元/平方米）</v>
      </c>
      <c r="Q48" s="831"/>
      <c r="R48" s="838">
        <f>E48</f>
        <v>26100</v>
      </c>
      <c r="S48" s="838"/>
      <c r="T48" s="838">
        <f>G48</f>
        <v>25000</v>
      </c>
      <c r="U48" s="838"/>
      <c r="V48" s="838">
        <f>I48</f>
        <v>27500</v>
      </c>
      <c r="W48" s="838"/>
      <c r="X48" s="839"/>
      <c r="Y48" s="862"/>
      <c r="Z48" s="839"/>
      <c r="AA48" s="839"/>
      <c r="AB48" s="839"/>
      <c r="AC48" s="655"/>
    </row>
    <row r="49" ht="14.75" spans="1:29">
      <c r="A49" s="701" t="s">
        <v>1215</v>
      </c>
      <c r="B49" s="702"/>
      <c r="C49" s="703">
        <f>R50</f>
        <v>25335</v>
      </c>
      <c r="D49" s="704" t="s">
        <v>1216</v>
      </c>
      <c r="E49" s="705">
        <f>R49</f>
        <v>25586</v>
      </c>
      <c r="F49" s="706"/>
      <c r="G49" s="703">
        <f>T49</f>
        <v>24507</v>
      </c>
      <c r="H49" s="706"/>
      <c r="I49" s="705">
        <f>V49</f>
        <v>25911</v>
      </c>
      <c r="J49" s="706"/>
      <c r="K49" s="783">
        <f>F49+H49+J49</f>
        <v>0</v>
      </c>
      <c r="L49" s="782"/>
      <c r="M49" s="755"/>
      <c r="N49" s="755"/>
      <c r="O49" s="755"/>
      <c r="P49" s="763" t="str">
        <f>A49</f>
        <v>比较价值（元/平方米）</v>
      </c>
      <c r="Q49" s="831"/>
      <c r="R49" s="838">
        <f>IF(F1="售价",ROUND(PRODUCT(R48,AA7:AA47),0),ROUND(PRODUCT(R48,AA7:AA47),1))</f>
        <v>25586</v>
      </c>
      <c r="S49" s="838"/>
      <c r="T49" s="838">
        <f>IF(F1="售价",ROUND(PRODUCT(T48,AB7:AB47),0),ROUND(PRODUCT(T48,AB7:AB47),1))</f>
        <v>24507</v>
      </c>
      <c r="U49" s="838"/>
      <c r="V49" s="838">
        <f>IF(F1="售价",ROUND(PRODUCT(V48,AC7:AC47),0),ROUND(PRODUCT(V48,AC7:AC47),1))</f>
        <v>25911</v>
      </c>
      <c r="W49" s="838"/>
      <c r="X49" s="839"/>
      <c r="Y49" s="839"/>
      <c r="Z49" s="839"/>
      <c r="AA49" s="839"/>
      <c r="AB49" s="839"/>
      <c r="AC49" s="655"/>
    </row>
    <row r="50" ht="14.75" spans="1:29">
      <c r="A50" s="707" t="s">
        <v>1217</v>
      </c>
      <c r="B50" s="708"/>
      <c r="C50" s="709">
        <f>R50</f>
        <v>25335</v>
      </c>
      <c r="D50" s="709"/>
      <c r="E50" s="709"/>
      <c r="F50" s="709"/>
      <c r="G50" s="709"/>
      <c r="H50" s="709"/>
      <c r="I50" s="709"/>
      <c r="J50" s="784"/>
      <c r="K50" s="785"/>
      <c r="L50" s="782"/>
      <c r="M50" s="755"/>
      <c r="N50" s="755"/>
      <c r="O50" s="755"/>
      <c r="P50" s="786" t="str">
        <f>A50</f>
        <v>估价对象XX用房的比较价值（楼面单价，元/平方米）</v>
      </c>
      <c r="Q50" s="840"/>
      <c r="R50" s="841">
        <f>IF(F1="售价",ROUND(IF(D49="简单平均",AVERAGE(R49:V49),R49*F49+T49*H49+V49*J49),0),ROUND(IF(D49="简单平均",AVERAGE(R49:V49),R49*F49+T49*H49+V49*J49),1))</f>
        <v>25335</v>
      </c>
      <c r="S50" s="841"/>
      <c r="T50" s="841"/>
      <c r="U50" s="841"/>
      <c r="V50" s="841"/>
      <c r="W50" s="841"/>
      <c r="X50" s="842"/>
      <c r="Y50" s="842"/>
      <c r="Z50" s="842"/>
      <c r="AA50" s="842"/>
      <c r="AB50" s="842"/>
      <c r="AC50" s="863"/>
    </row>
    <row r="51" spans="1:29">
      <c r="A51" s="710"/>
      <c r="B51" s="710"/>
      <c r="C51" s="710"/>
      <c r="D51" s="710"/>
      <c r="E51" s="710"/>
      <c r="F51" s="710"/>
      <c r="G51" s="711"/>
      <c r="H51" s="710"/>
      <c r="I51" s="710"/>
      <c r="J51" s="710"/>
      <c r="K51" s="787"/>
      <c r="L51" s="788"/>
      <c r="M51" s="710"/>
      <c r="N51" s="710"/>
      <c r="O51" s="710"/>
      <c r="P51" s="789"/>
      <c r="Q51" s="710"/>
      <c r="R51" s="710"/>
      <c r="S51" s="710"/>
      <c r="T51" s="710"/>
      <c r="U51" s="710"/>
      <c r="V51" s="710"/>
      <c r="W51" s="710"/>
      <c r="X51" s="710"/>
      <c r="Y51" s="710"/>
      <c r="Z51" s="710"/>
      <c r="AA51" s="710"/>
      <c r="AB51" s="710"/>
      <c r="AC51" s="710"/>
    </row>
    <row r="52" spans="1:29">
      <c r="A52" s="710"/>
      <c r="B52" s="710"/>
      <c r="C52" s="710"/>
      <c r="D52" s="710"/>
      <c r="E52" s="710"/>
      <c r="F52" s="710"/>
      <c r="G52" s="710"/>
      <c r="H52" s="710"/>
      <c r="I52" s="710"/>
      <c r="J52" s="710"/>
      <c r="K52" s="787"/>
      <c r="L52" s="788"/>
      <c r="M52" s="710"/>
      <c r="N52" s="710"/>
      <c r="O52" s="710"/>
      <c r="P52" s="789"/>
      <c r="Q52" s="710"/>
      <c r="R52" s="710"/>
      <c r="S52" s="710"/>
      <c r="T52" s="710"/>
      <c r="U52" s="710"/>
      <c r="V52" s="710"/>
      <c r="W52" s="710"/>
      <c r="X52" s="710"/>
      <c r="Y52" s="710"/>
      <c r="Z52" s="710"/>
      <c r="AA52" s="710"/>
      <c r="AB52" s="710"/>
      <c r="AC52" s="710"/>
    </row>
    <row r="53" ht="13.5" customHeight="1" spans="1:29">
      <c r="A53" s="710"/>
      <c r="B53" s="710"/>
      <c r="C53" s="712" t="s">
        <v>1218</v>
      </c>
      <c r="D53" s="713"/>
      <c r="E53" s="714">
        <f>IF(E48&lt;E49,E49/E48-1,E48/E49-1)</f>
        <v>0.0200891112327053</v>
      </c>
      <c r="F53" s="715" t="str">
        <f>IF(OR(E53&gt;=0.3,E53&lt;=-0.3),"超过30%","")</f>
        <v/>
      </c>
      <c r="G53" s="714">
        <f>IF(G48&lt;G49,G49/G48-1,G48/G49-1)</f>
        <v>0.0201167013506345</v>
      </c>
      <c r="H53" s="715" t="str">
        <f>IF(OR(G53&gt;=0.3,G53&lt;=-0.3),"超过30%","")</f>
        <v/>
      </c>
      <c r="I53" s="714">
        <f>IF(I48&lt;I49,I49/I48-1,I48/I49-1)</f>
        <v>0.0613253058546563</v>
      </c>
      <c r="J53" s="715" t="str">
        <f>IF(OR(I53&gt;=0.3,I53&lt;=-0.3),"超过30%","")</f>
        <v/>
      </c>
      <c r="K53" s="787"/>
      <c r="L53" s="788"/>
      <c r="M53" s="710"/>
      <c r="N53" s="710"/>
      <c r="O53" s="710"/>
      <c r="P53" s="789"/>
      <c r="Q53" s="710"/>
      <c r="R53" s="710"/>
      <c r="S53" s="710"/>
      <c r="T53" s="710"/>
      <c r="U53" s="710"/>
      <c r="V53" s="710"/>
      <c r="W53" s="710"/>
      <c r="X53" s="710"/>
      <c r="Y53" s="710"/>
      <c r="Z53" s="710"/>
      <c r="AA53" s="710"/>
      <c r="AB53" s="710"/>
      <c r="AC53" s="710"/>
    </row>
    <row r="54" ht="13.5" customHeight="1" spans="1:29">
      <c r="A54" s="710"/>
      <c r="B54" s="710"/>
      <c r="C54" s="712" t="s">
        <v>1219</v>
      </c>
      <c r="D54" s="716"/>
      <c r="E54" s="714">
        <f>IF(E49&lt;G49,G49/E49-1,E49/G49-1)</f>
        <v>0.0440282368302933</v>
      </c>
      <c r="F54" s="715" t="str">
        <f>IF(OR(E54&gt;=0.2,E54&lt;=-0.2),"超过20%","")</f>
        <v/>
      </c>
      <c r="G54" s="714">
        <f>IF(G49&lt;I49,I49/G49-1,G49/I49-1)</f>
        <v>0.0572897539478516</v>
      </c>
      <c r="H54" s="715" t="str">
        <f>IF(OR(G54&gt;=0.2,G54&lt;=-0.2),"超过20%","")</f>
        <v/>
      </c>
      <c r="I54" s="714">
        <f>IF(I49&lt;E49,E49/I49-1,I49/E49-1)</f>
        <v>0.0127022590479169</v>
      </c>
      <c r="J54" s="715" t="str">
        <f>IF(OR(I54&gt;=0.2,I54&lt;=-0.2),"超过20%","")</f>
        <v/>
      </c>
      <c r="K54" s="787"/>
      <c r="L54" s="788"/>
      <c r="M54" s="710"/>
      <c r="N54" s="710"/>
      <c r="O54" s="710"/>
      <c r="P54" s="789"/>
      <c r="Q54" s="710"/>
      <c r="R54" s="710"/>
      <c r="S54" s="710"/>
      <c r="T54" s="710"/>
      <c r="U54" s="710"/>
      <c r="V54" s="710"/>
      <c r="W54" s="710"/>
      <c r="X54" s="710"/>
      <c r="Y54" s="710"/>
      <c r="Z54" s="710"/>
      <c r="AA54" s="710"/>
      <c r="AB54" s="710"/>
      <c r="AC54" s="710"/>
    </row>
    <row r="55" s="571" customFormat="1" ht="13.5" customHeight="1" spans="1:29">
      <c r="A55" s="717"/>
      <c r="B55" s="717"/>
      <c r="C55" s="712" t="s">
        <v>1220</v>
      </c>
      <c r="D55" s="716"/>
      <c r="E55" s="714">
        <f>IF(E48&lt;G48,G48/E48-1,E48/G48-1)</f>
        <v>0.044</v>
      </c>
      <c r="F55" s="715" t="str">
        <f>IF(OR(E55&gt;=0.3,E55&lt;=-0.3),"超过30%","")</f>
        <v/>
      </c>
      <c r="G55" s="714">
        <f>IF(G48&lt;I48,I48/G48-1,G48/I48-1)</f>
        <v>0.1</v>
      </c>
      <c r="H55" s="715" t="str">
        <f>IF(OR(G55&gt;=0.3,G55&lt;=-0.3),"超过30%","")</f>
        <v/>
      </c>
      <c r="I55" s="714">
        <f>IF(I48&lt;E48,E48/I48-1,I48/E48-1)</f>
        <v>0.053639846743295</v>
      </c>
      <c r="J55" s="715" t="str">
        <f>IF(OR(I55&gt;=0.3,I55&lt;=-0.3),"超过30%","")</f>
        <v/>
      </c>
      <c r="K55" s="790"/>
      <c r="L55" s="791"/>
      <c r="M55" s="717"/>
      <c r="N55" s="717"/>
      <c r="O55" s="717"/>
      <c r="P55" s="792"/>
      <c r="Q55" s="717"/>
      <c r="R55" s="717"/>
      <c r="S55" s="717"/>
      <c r="T55" s="717"/>
      <c r="U55" s="717"/>
      <c r="V55" s="717"/>
      <c r="W55" s="717"/>
      <c r="X55" s="717"/>
      <c r="Y55" s="717"/>
      <c r="Z55" s="717"/>
      <c r="AA55" s="717"/>
      <c r="AB55" s="717"/>
      <c r="AC55" s="717"/>
    </row>
    <row r="56" s="571" customFormat="1" spans="1:29">
      <c r="A56" s="717"/>
      <c r="B56" s="718"/>
      <c r="C56" s="719"/>
      <c r="D56" s="717"/>
      <c r="E56" s="717"/>
      <c r="F56" s="717"/>
      <c r="G56" s="717"/>
      <c r="H56" s="717"/>
      <c r="I56" s="717"/>
      <c r="J56" s="717"/>
      <c r="K56" s="790"/>
      <c r="L56" s="791"/>
      <c r="M56" s="717"/>
      <c r="N56" s="717"/>
      <c r="O56" s="717"/>
      <c r="P56" s="792"/>
      <c r="Q56" s="717"/>
      <c r="R56" s="717"/>
      <c r="S56" s="717"/>
      <c r="T56" s="717"/>
      <c r="U56" s="717"/>
      <c r="V56" s="717"/>
      <c r="W56" s="717"/>
      <c r="X56" s="717"/>
      <c r="Y56" s="717"/>
      <c r="Z56" s="717"/>
      <c r="AA56" s="717"/>
      <c r="AB56" s="717"/>
      <c r="AC56" s="717"/>
    </row>
    <row r="57" spans="1:29">
      <c r="A57" s="710"/>
      <c r="B57" s="718"/>
      <c r="C57" s="719"/>
      <c r="D57" s="710"/>
      <c r="E57" s="710"/>
      <c r="F57" s="710"/>
      <c r="G57" s="710"/>
      <c r="H57" s="710"/>
      <c r="I57" s="710"/>
      <c r="J57" s="710"/>
      <c r="K57" s="787"/>
      <c r="L57" s="788"/>
      <c r="M57" s="710"/>
      <c r="N57" s="710"/>
      <c r="O57" s="710"/>
      <c r="P57" s="789"/>
      <c r="Q57" s="710"/>
      <c r="R57" s="710"/>
      <c r="S57" s="710"/>
      <c r="T57" s="710"/>
      <c r="U57" s="710"/>
      <c r="V57" s="710"/>
      <c r="W57" s="710"/>
      <c r="X57" s="710"/>
      <c r="Y57" s="710"/>
      <c r="Z57" s="710"/>
      <c r="AA57" s="710"/>
      <c r="AB57" s="710"/>
      <c r="AC57" s="710"/>
    </row>
    <row r="58" ht="21.75" spans="1:29">
      <c r="A58" s="720" t="s">
        <v>1221</v>
      </c>
      <c r="B58" s="721"/>
      <c r="C58" s="722"/>
      <c r="D58" s="722"/>
      <c r="E58" s="722"/>
      <c r="F58" s="723"/>
      <c r="G58" s="723"/>
      <c r="H58" s="722"/>
      <c r="I58" s="722"/>
      <c r="J58" s="722"/>
      <c r="K58" s="793"/>
      <c r="L58" s="794"/>
      <c r="M58" s="795"/>
      <c r="N58" s="796"/>
      <c r="O58" s="796"/>
      <c r="P58" s="797"/>
      <c r="Q58" s="843"/>
      <c r="R58" s="710"/>
      <c r="S58" s="710"/>
      <c r="T58" s="710"/>
      <c r="U58" s="710"/>
      <c r="V58" s="710"/>
      <c r="W58" s="710"/>
      <c r="X58" s="710"/>
      <c r="Y58" s="710"/>
      <c r="Z58" s="710"/>
      <c r="AA58" s="710"/>
      <c r="AB58" s="710"/>
      <c r="AC58" s="710"/>
    </row>
    <row r="59" s="572" customFormat="1" spans="1:29">
      <c r="A59" s="724" t="s">
        <v>1172</v>
      </c>
      <c r="B59" s="725"/>
      <c r="C59" s="726" t="str">
        <f>YEAR(C7)&amp;"-"&amp;MONTH(C7)</f>
        <v>2024-9</v>
      </c>
      <c r="D59" s="727">
        <f>EDATE(C59,-1)</f>
        <v>45505</v>
      </c>
      <c r="E59" s="727">
        <f>EDATE(D59,-1)</f>
        <v>45474</v>
      </c>
      <c r="F59" s="727">
        <f t="shared" ref="F59:O59" si="16">EDATE(E59,-1)</f>
        <v>45444</v>
      </c>
      <c r="G59" s="727">
        <f t="shared" si="16"/>
        <v>45413</v>
      </c>
      <c r="H59" s="727">
        <f t="shared" si="16"/>
        <v>45383</v>
      </c>
      <c r="I59" s="727">
        <f t="shared" si="16"/>
        <v>45352</v>
      </c>
      <c r="J59" s="727">
        <f t="shared" si="16"/>
        <v>45323</v>
      </c>
      <c r="K59" s="727">
        <f t="shared" si="16"/>
        <v>45292</v>
      </c>
      <c r="L59" s="727">
        <f t="shared" si="16"/>
        <v>45261</v>
      </c>
      <c r="M59" s="727">
        <f t="shared" si="16"/>
        <v>45231</v>
      </c>
      <c r="N59" s="727">
        <f t="shared" si="16"/>
        <v>45200</v>
      </c>
      <c r="O59" s="727">
        <f t="shared" si="16"/>
        <v>45170</v>
      </c>
      <c r="P59" s="798"/>
      <c r="Q59" s="844"/>
      <c r="R59" s="844"/>
      <c r="S59" s="844"/>
      <c r="T59" s="844"/>
      <c r="U59" s="844"/>
      <c r="V59" s="844"/>
      <c r="W59" s="844"/>
      <c r="X59" s="844"/>
      <c r="Y59" s="844"/>
      <c r="Z59" s="844"/>
      <c r="AA59" s="844"/>
      <c r="AB59" s="844"/>
      <c r="AC59" s="844"/>
    </row>
    <row r="60" s="568" customFormat="1" spans="1:29">
      <c r="A60" s="728"/>
      <c r="B60" s="729"/>
      <c r="C60" s="730">
        <v>100</v>
      </c>
      <c r="D60" s="731">
        <v>100</v>
      </c>
      <c r="E60" s="731">
        <v>100</v>
      </c>
      <c r="F60" s="731">
        <v>100</v>
      </c>
      <c r="G60" s="731">
        <v>100</v>
      </c>
      <c r="H60" s="731">
        <v>100</v>
      </c>
      <c r="I60" s="731">
        <v>100</v>
      </c>
      <c r="J60" s="731">
        <v>100</v>
      </c>
      <c r="K60" s="731">
        <v>100</v>
      </c>
      <c r="L60" s="731">
        <v>100</v>
      </c>
      <c r="M60" s="799"/>
      <c r="N60" s="731"/>
      <c r="O60" s="799"/>
      <c r="P60" s="800"/>
      <c r="Q60" s="845"/>
      <c r="R60" s="845"/>
      <c r="S60" s="845"/>
      <c r="T60" s="845"/>
      <c r="U60" s="845"/>
      <c r="V60" s="845"/>
      <c r="W60" s="845"/>
      <c r="X60" s="845"/>
      <c r="Y60" s="845"/>
      <c r="Z60" s="845"/>
      <c r="AA60" s="845"/>
      <c r="AB60" s="845"/>
      <c r="AC60" s="845"/>
    </row>
    <row r="61" s="568" customFormat="1" ht="14.75" spans="1:29">
      <c r="A61" s="732" t="s">
        <v>1222</v>
      </c>
      <c r="B61" s="733"/>
      <c r="C61" s="734"/>
      <c r="D61" s="735"/>
      <c r="E61" s="735"/>
      <c r="F61" s="735"/>
      <c r="G61" s="735"/>
      <c r="H61" s="735"/>
      <c r="I61" s="735"/>
      <c r="J61" s="735"/>
      <c r="K61" s="735"/>
      <c r="L61" s="735"/>
      <c r="M61" s="801"/>
      <c r="N61" s="735"/>
      <c r="O61" s="801"/>
      <c r="P61" s="800"/>
      <c r="Q61" s="843"/>
      <c r="R61" s="845"/>
      <c r="S61" s="845"/>
      <c r="T61" s="845"/>
      <c r="U61" s="845"/>
      <c r="V61" s="845"/>
      <c r="W61" s="845"/>
      <c r="X61" s="845"/>
      <c r="Y61" s="845"/>
      <c r="Z61" s="845"/>
      <c r="AA61" s="845"/>
      <c r="AB61" s="845"/>
      <c r="AC61" s="845"/>
    </row>
    <row r="62" s="568" customFormat="1" spans="1:29">
      <c r="A62" s="736" t="s">
        <v>1175</v>
      </c>
      <c r="B62" s="729"/>
      <c r="C62" s="737" t="s">
        <v>1223</v>
      </c>
      <c r="D62" s="738" t="s">
        <v>1176</v>
      </c>
      <c r="E62" s="739"/>
      <c r="F62" s="739"/>
      <c r="G62" s="739"/>
      <c r="H62" s="739"/>
      <c r="I62" s="739"/>
      <c r="J62" s="739"/>
      <c r="K62" s="739"/>
      <c r="L62" s="802"/>
      <c r="M62" s="803"/>
      <c r="N62" s="804"/>
      <c r="O62" s="804"/>
      <c r="P62" s="805"/>
      <c r="Q62" s="843"/>
      <c r="R62" s="845"/>
      <c r="S62" s="845"/>
      <c r="T62" s="845"/>
      <c r="U62" s="845"/>
      <c r="V62" s="845"/>
      <c r="W62" s="845"/>
      <c r="X62" s="845"/>
      <c r="Y62" s="845"/>
      <c r="Z62" s="845"/>
      <c r="AA62" s="845"/>
      <c r="AB62" s="845"/>
      <c r="AC62" s="845"/>
    </row>
    <row r="63" s="568" customFormat="1" ht="14.75" spans="1:29">
      <c r="A63" s="736"/>
      <c r="B63" s="729"/>
      <c r="C63" s="740">
        <v>100</v>
      </c>
      <c r="D63" s="731">
        <v>101</v>
      </c>
      <c r="E63" s="731"/>
      <c r="F63" s="731"/>
      <c r="G63" s="731"/>
      <c r="H63" s="731"/>
      <c r="I63" s="731"/>
      <c r="J63" s="731"/>
      <c r="K63" s="731"/>
      <c r="L63" s="731"/>
      <c r="M63" s="806"/>
      <c r="N63" s="804"/>
      <c r="O63" s="804"/>
      <c r="P63" s="800"/>
      <c r="Q63" s="843"/>
      <c r="R63" s="845"/>
      <c r="S63" s="845"/>
      <c r="T63" s="845"/>
      <c r="U63" s="845"/>
      <c r="V63" s="845"/>
      <c r="W63" s="845"/>
      <c r="X63" s="845"/>
      <c r="Y63" s="845"/>
      <c r="Z63" s="845"/>
      <c r="AA63" s="845"/>
      <c r="AB63" s="845"/>
      <c r="AC63" s="845"/>
    </row>
    <row r="64" spans="1:29">
      <c r="A64" s="741" t="s">
        <v>1224</v>
      </c>
      <c r="B64" s="742" t="s">
        <v>1179</v>
      </c>
      <c r="C64" s="743" t="str">
        <f>C9</f>
        <v>工业立项办公</v>
      </c>
      <c r="D64" s="744" t="s">
        <v>1181</v>
      </c>
      <c r="E64" s="745"/>
      <c r="F64" s="745"/>
      <c r="G64" s="745"/>
      <c r="H64" s="745"/>
      <c r="I64" s="745"/>
      <c r="J64" s="745"/>
      <c r="K64" s="807"/>
      <c r="L64" s="808"/>
      <c r="M64" s="809"/>
      <c r="N64" s="810"/>
      <c r="O64" s="810"/>
      <c r="P64" s="811"/>
      <c r="Q64" s="843"/>
      <c r="R64" s="710"/>
      <c r="S64" s="710"/>
      <c r="T64" s="710"/>
      <c r="U64" s="710"/>
      <c r="V64" s="710"/>
      <c r="W64" s="710"/>
      <c r="X64" s="710"/>
      <c r="Y64" s="710"/>
      <c r="Z64" s="710"/>
      <c r="AA64" s="710"/>
      <c r="AB64" s="710"/>
      <c r="AC64" s="710"/>
    </row>
    <row r="65" ht="14.75" spans="1:29">
      <c r="A65" s="864"/>
      <c r="B65" s="865"/>
      <c r="C65" s="866">
        <v>100</v>
      </c>
      <c r="D65" s="866">
        <v>102</v>
      </c>
      <c r="E65" s="866"/>
      <c r="F65" s="866"/>
      <c r="G65" s="866"/>
      <c r="H65" s="866"/>
      <c r="I65" s="866"/>
      <c r="J65" s="866"/>
      <c r="K65" s="866"/>
      <c r="L65" s="866"/>
      <c r="M65" s="903"/>
      <c r="N65" s="904"/>
      <c r="O65" s="904"/>
      <c r="P65" s="811"/>
      <c r="Q65" s="843"/>
      <c r="R65" s="710"/>
      <c r="S65" s="710"/>
      <c r="T65" s="710"/>
      <c r="U65" s="710"/>
      <c r="V65" s="710"/>
      <c r="W65" s="710"/>
      <c r="X65" s="710"/>
      <c r="Y65" s="710"/>
      <c r="Z65" s="710"/>
      <c r="AA65" s="710"/>
      <c r="AB65" s="710"/>
      <c r="AC65" s="710"/>
    </row>
    <row r="66" ht="28.75" spans="1:29">
      <c r="A66" s="864"/>
      <c r="B66" s="867" t="s">
        <v>1184</v>
      </c>
      <c r="C66" s="868"/>
      <c r="D66" s="868"/>
      <c r="E66" s="868"/>
      <c r="F66" s="868"/>
      <c r="G66" s="868"/>
      <c r="H66" s="868"/>
      <c r="I66" s="868"/>
      <c r="J66" s="868"/>
      <c r="K66" s="905"/>
      <c r="L66" s="906"/>
      <c r="M66" s="907"/>
      <c r="N66" s="810"/>
      <c r="O66" s="810"/>
      <c r="P66" s="811"/>
      <c r="Q66" s="843"/>
      <c r="R66" s="710"/>
      <c r="S66" s="710"/>
      <c r="T66" s="710"/>
      <c r="U66" s="710"/>
      <c r="V66" s="710"/>
      <c r="W66" s="710"/>
      <c r="X66" s="710"/>
      <c r="Y66" s="710"/>
      <c r="Z66" s="710"/>
      <c r="AA66" s="710"/>
      <c r="AB66" s="710"/>
      <c r="AC66" s="710"/>
    </row>
    <row r="67" ht="14.75" spans="1:29">
      <c r="A67" s="864"/>
      <c r="B67" s="869"/>
      <c r="C67" s="866"/>
      <c r="D67" s="866"/>
      <c r="E67" s="866"/>
      <c r="F67" s="866"/>
      <c r="G67" s="866"/>
      <c r="H67" s="866"/>
      <c r="I67" s="866"/>
      <c r="J67" s="866"/>
      <c r="K67" s="866"/>
      <c r="L67" s="866"/>
      <c r="M67" s="903"/>
      <c r="N67" s="904"/>
      <c r="O67" s="904"/>
      <c r="P67" s="811"/>
      <c r="Q67" s="843"/>
      <c r="R67" s="710"/>
      <c r="S67" s="710"/>
      <c r="T67" s="710"/>
      <c r="U67" s="710"/>
      <c r="V67" s="710"/>
      <c r="W67" s="710"/>
      <c r="X67" s="710"/>
      <c r="Y67" s="710"/>
      <c r="Z67" s="710"/>
      <c r="AA67" s="710"/>
      <c r="AB67" s="710"/>
      <c r="AC67" s="710"/>
    </row>
    <row r="68" ht="14.75" spans="1:29">
      <c r="A68" s="864"/>
      <c r="B68" s="870" t="s">
        <v>1185</v>
      </c>
      <c r="C68" s="871" t="str">
        <f>C69&amp;"（含）"&amp;"-"&amp;D69</f>
        <v>0（含）-3</v>
      </c>
      <c r="D68" s="871" t="str">
        <f t="shared" ref="D68:L68" si="17">D69&amp;"（含）"&amp;"-"&amp;E69</f>
        <v>3（含）-</v>
      </c>
      <c r="E68" s="871" t="str">
        <f t="shared" si="17"/>
        <v>（含）-</v>
      </c>
      <c r="F68" s="871" t="str">
        <f t="shared" si="17"/>
        <v>（含）-</v>
      </c>
      <c r="G68" s="871" t="str">
        <f t="shared" si="17"/>
        <v>（含）-</v>
      </c>
      <c r="H68" s="871" t="str">
        <f t="shared" si="17"/>
        <v>（含）-</v>
      </c>
      <c r="I68" s="871" t="str">
        <f t="shared" si="17"/>
        <v>（含）-</v>
      </c>
      <c r="J68" s="871" t="str">
        <f t="shared" si="17"/>
        <v>（含）-</v>
      </c>
      <c r="K68" s="871" t="str">
        <f t="shared" si="17"/>
        <v>（含）-</v>
      </c>
      <c r="L68" s="871" t="str">
        <f t="shared" si="17"/>
        <v>（含）-</v>
      </c>
      <c r="M68" s="657" t="str">
        <f>M69&amp;"（含）"&amp;"-"&amp;P69</f>
        <v>（含）-</v>
      </c>
      <c r="N68" s="904"/>
      <c r="O68" s="904"/>
      <c r="P68" s="811"/>
      <c r="Q68" s="843"/>
      <c r="R68" s="710"/>
      <c r="S68" s="710"/>
      <c r="T68" s="710"/>
      <c r="U68" s="710"/>
      <c r="V68" s="710"/>
      <c r="W68" s="710"/>
      <c r="X68" s="710"/>
      <c r="Y68" s="710"/>
      <c r="Z68" s="710"/>
      <c r="AA68" s="710"/>
      <c r="AB68" s="710"/>
      <c r="AC68" s="710"/>
    </row>
    <row r="69" spans="1:29">
      <c r="A69" s="864"/>
      <c r="B69" s="872"/>
      <c r="C69" s="873">
        <v>0</v>
      </c>
      <c r="D69" s="873">
        <v>3</v>
      </c>
      <c r="E69" s="873"/>
      <c r="F69" s="873"/>
      <c r="G69" s="873"/>
      <c r="H69" s="873"/>
      <c r="I69" s="873"/>
      <c r="J69" s="873"/>
      <c r="K69" s="908"/>
      <c r="L69" s="909"/>
      <c r="M69" s="910"/>
      <c r="N69" s="810"/>
      <c r="O69" s="810"/>
      <c r="P69" s="811"/>
      <c r="Q69" s="843"/>
      <c r="R69" s="710"/>
      <c r="S69" s="710"/>
      <c r="T69" s="710"/>
      <c r="U69" s="710"/>
      <c r="V69" s="710"/>
      <c r="W69" s="710"/>
      <c r="X69" s="710"/>
      <c r="Y69" s="710"/>
      <c r="Z69" s="710"/>
      <c r="AA69" s="710"/>
      <c r="AB69" s="710"/>
      <c r="AC69" s="710"/>
    </row>
    <row r="70" ht="14.75" spans="1:29">
      <c r="A70" s="864"/>
      <c r="B70" s="865"/>
      <c r="C70" s="874">
        <v>100</v>
      </c>
      <c r="D70" s="874">
        <f t="shared" ref="D70:M70" si="18">C70-$K11</f>
        <v>100</v>
      </c>
      <c r="E70" s="874">
        <f t="shared" si="18"/>
        <v>100</v>
      </c>
      <c r="F70" s="874">
        <f t="shared" si="18"/>
        <v>100</v>
      </c>
      <c r="G70" s="874">
        <f t="shared" si="18"/>
        <v>100</v>
      </c>
      <c r="H70" s="874">
        <f t="shared" si="18"/>
        <v>100</v>
      </c>
      <c r="I70" s="874">
        <f t="shared" si="18"/>
        <v>100</v>
      </c>
      <c r="J70" s="874">
        <f t="shared" si="18"/>
        <v>100</v>
      </c>
      <c r="K70" s="874">
        <f t="shared" si="18"/>
        <v>100</v>
      </c>
      <c r="L70" s="874">
        <f t="shared" si="18"/>
        <v>100</v>
      </c>
      <c r="M70" s="911">
        <f t="shared" si="18"/>
        <v>100</v>
      </c>
      <c r="N70" s="904"/>
      <c r="O70" s="904"/>
      <c r="P70" s="811"/>
      <c r="Q70" s="843"/>
      <c r="R70" s="710"/>
      <c r="S70" s="710"/>
      <c r="T70" s="710"/>
      <c r="U70" s="710"/>
      <c r="V70" s="710"/>
      <c r="W70" s="710"/>
      <c r="X70" s="710"/>
      <c r="Y70" s="710"/>
      <c r="Z70" s="710"/>
      <c r="AA70" s="710"/>
      <c r="AB70" s="710"/>
      <c r="AC70" s="710"/>
    </row>
    <row r="71" s="570" customFormat="1" ht="14.75" spans="1:29">
      <c r="A71" s="875"/>
      <c r="B71" s="867">
        <f>B12</f>
        <v>111</v>
      </c>
      <c r="C71" s="876"/>
      <c r="D71" s="876"/>
      <c r="E71" s="876"/>
      <c r="F71" s="876"/>
      <c r="G71" s="876"/>
      <c r="H71" s="877"/>
      <c r="I71" s="877"/>
      <c r="J71" s="877"/>
      <c r="K71" s="877"/>
      <c r="L71" s="912"/>
      <c r="M71" s="913"/>
      <c r="N71" s="914"/>
      <c r="O71" s="914"/>
      <c r="P71" s="915"/>
      <c r="Q71" s="947"/>
      <c r="R71" s="948"/>
      <c r="S71" s="948"/>
      <c r="T71" s="948"/>
      <c r="U71" s="948"/>
      <c r="V71" s="948"/>
      <c r="W71" s="948"/>
      <c r="X71" s="948"/>
      <c r="Y71" s="948"/>
      <c r="Z71" s="948"/>
      <c r="AA71" s="948"/>
      <c r="AB71" s="948"/>
      <c r="AC71" s="948"/>
    </row>
    <row r="72" s="570" customFormat="1" ht="14.75" spans="1:29">
      <c r="A72" s="875"/>
      <c r="B72" s="869"/>
      <c r="C72" s="878"/>
      <c r="D72" s="866"/>
      <c r="E72" s="866"/>
      <c r="F72" s="866"/>
      <c r="G72" s="866"/>
      <c r="H72" s="866"/>
      <c r="I72" s="866"/>
      <c r="J72" s="866"/>
      <c r="K72" s="866"/>
      <c r="L72" s="866"/>
      <c r="M72" s="903"/>
      <c r="N72" s="904"/>
      <c r="O72" s="904"/>
      <c r="P72" s="915"/>
      <c r="Q72" s="947"/>
      <c r="R72" s="948"/>
      <c r="S72" s="948"/>
      <c r="T72" s="948"/>
      <c r="U72" s="948"/>
      <c r="V72" s="948"/>
      <c r="W72" s="948"/>
      <c r="X72" s="948"/>
      <c r="Y72" s="948"/>
      <c r="Z72" s="948"/>
      <c r="AA72" s="948"/>
      <c r="AB72" s="948"/>
      <c r="AC72" s="948"/>
    </row>
    <row r="73" s="570" customFormat="1" ht="14.75" spans="1:29">
      <c r="A73" s="875"/>
      <c r="B73" s="867">
        <f>B13</f>
        <v>111</v>
      </c>
      <c r="C73" s="876"/>
      <c r="D73" s="876"/>
      <c r="E73" s="876"/>
      <c r="F73" s="876"/>
      <c r="G73" s="876"/>
      <c r="H73" s="877"/>
      <c r="I73" s="877"/>
      <c r="J73" s="877"/>
      <c r="K73" s="877"/>
      <c r="L73" s="912"/>
      <c r="M73" s="913"/>
      <c r="N73" s="914"/>
      <c r="O73" s="914"/>
      <c r="P73" s="916"/>
      <c r="Q73" s="949"/>
      <c r="R73" s="948"/>
      <c r="S73" s="948"/>
      <c r="T73" s="948"/>
      <c r="U73" s="948"/>
      <c r="V73" s="948"/>
      <c r="W73" s="948"/>
      <c r="X73" s="948"/>
      <c r="Y73" s="948"/>
      <c r="Z73" s="948"/>
      <c r="AA73" s="948"/>
      <c r="AB73" s="948"/>
      <c r="AC73" s="948"/>
    </row>
    <row r="74" s="570" customFormat="1" ht="14.75" spans="1:29">
      <c r="A74" s="875"/>
      <c r="B74" s="869"/>
      <c r="C74" s="878"/>
      <c r="D74" s="878"/>
      <c r="E74" s="878"/>
      <c r="F74" s="878"/>
      <c r="G74" s="878"/>
      <c r="H74" s="879"/>
      <c r="I74" s="879"/>
      <c r="J74" s="879"/>
      <c r="K74" s="879"/>
      <c r="L74" s="879"/>
      <c r="M74" s="917"/>
      <c r="N74" s="914"/>
      <c r="O74" s="914"/>
      <c r="P74" s="915"/>
      <c r="Q74" s="947"/>
      <c r="R74" s="948"/>
      <c r="S74" s="948"/>
      <c r="T74" s="948"/>
      <c r="U74" s="948"/>
      <c r="V74" s="948"/>
      <c r="W74" s="948"/>
      <c r="X74" s="948"/>
      <c r="Y74" s="948"/>
      <c r="Z74" s="948"/>
      <c r="AA74" s="948"/>
      <c r="AB74" s="948"/>
      <c r="AC74" s="948"/>
    </row>
    <row r="75" s="570" customFormat="1" ht="14.75" spans="1:29">
      <c r="A75" s="875"/>
      <c r="B75" s="870">
        <f>B14</f>
        <v>111</v>
      </c>
      <c r="C75" s="739"/>
      <c r="D75" s="739"/>
      <c r="E75" s="739"/>
      <c r="F75" s="739"/>
      <c r="G75" s="739"/>
      <c r="H75" s="880"/>
      <c r="I75" s="880"/>
      <c r="J75" s="880"/>
      <c r="K75" s="880"/>
      <c r="L75" s="918"/>
      <c r="M75" s="919"/>
      <c r="N75" s="914"/>
      <c r="O75" s="914"/>
      <c r="P75" s="920"/>
      <c r="Q75" s="947"/>
      <c r="R75" s="948"/>
      <c r="S75" s="948"/>
      <c r="T75" s="948"/>
      <c r="U75" s="948"/>
      <c r="V75" s="948"/>
      <c r="W75" s="948"/>
      <c r="X75" s="948"/>
      <c r="Y75" s="948"/>
      <c r="Z75" s="948"/>
      <c r="AA75" s="948"/>
      <c r="AB75" s="948"/>
      <c r="AC75" s="948"/>
    </row>
    <row r="76" s="570" customFormat="1" ht="14.75" spans="1:29">
      <c r="A76" s="881"/>
      <c r="B76" s="882"/>
      <c r="C76" s="883"/>
      <c r="D76" s="883"/>
      <c r="E76" s="883"/>
      <c r="F76" s="883"/>
      <c r="G76" s="883"/>
      <c r="H76" s="884"/>
      <c r="I76" s="884"/>
      <c r="J76" s="884"/>
      <c r="K76" s="884"/>
      <c r="L76" s="884"/>
      <c r="M76" s="921"/>
      <c r="N76" s="914"/>
      <c r="O76" s="914"/>
      <c r="P76" s="915"/>
      <c r="Q76" s="947"/>
      <c r="R76" s="948"/>
      <c r="S76" s="948"/>
      <c r="T76" s="948"/>
      <c r="U76" s="948"/>
      <c r="V76" s="948"/>
      <c r="W76" s="948"/>
      <c r="X76" s="948"/>
      <c r="Y76" s="948"/>
      <c r="Z76" s="948"/>
      <c r="AA76" s="948"/>
      <c r="AB76" s="948"/>
      <c r="AC76" s="948"/>
    </row>
    <row r="77" spans="1:29">
      <c r="A77" s="741" t="s">
        <v>1186</v>
      </c>
      <c r="B77" s="742" t="s">
        <v>1187</v>
      </c>
      <c r="C77" s="885" t="s">
        <v>1225</v>
      </c>
      <c r="D77" s="885" t="s">
        <v>1226</v>
      </c>
      <c r="E77" s="885" t="s">
        <v>1227</v>
      </c>
      <c r="F77" s="885" t="s">
        <v>1228</v>
      </c>
      <c r="G77" s="885" t="s">
        <v>1229</v>
      </c>
      <c r="H77" s="743"/>
      <c r="I77" s="743"/>
      <c r="J77" s="743"/>
      <c r="K77" s="922"/>
      <c r="L77" s="923"/>
      <c r="M77" s="924"/>
      <c r="N77" s="810"/>
      <c r="O77" s="810"/>
      <c r="P77" s="925"/>
      <c r="Q77" s="843"/>
      <c r="R77" s="710"/>
      <c r="S77" s="710"/>
      <c r="T77" s="710"/>
      <c r="U77" s="710"/>
      <c r="V77" s="710"/>
      <c r="W77" s="710"/>
      <c r="X77" s="710"/>
      <c r="Y77" s="710"/>
      <c r="Z77" s="710"/>
      <c r="AA77" s="710"/>
      <c r="AB77" s="710"/>
      <c r="AC77" s="710"/>
    </row>
    <row r="78" ht="14.75" spans="1:29">
      <c r="A78" s="864"/>
      <c r="B78" s="869"/>
      <c r="C78" s="874">
        <v>100</v>
      </c>
      <c r="D78" s="874">
        <f>C78-$K15</f>
        <v>98</v>
      </c>
      <c r="E78" s="874">
        <f>D78-$K15</f>
        <v>96</v>
      </c>
      <c r="F78" s="874">
        <f>E78-$K15</f>
        <v>94</v>
      </c>
      <c r="G78" s="874">
        <f>F78-$K15</f>
        <v>92</v>
      </c>
      <c r="H78" s="874"/>
      <c r="I78" s="874"/>
      <c r="J78" s="874"/>
      <c r="K78" s="874"/>
      <c r="L78" s="874"/>
      <c r="M78" s="911"/>
      <c r="N78" s="904"/>
      <c r="O78" s="904"/>
      <c r="P78" s="811"/>
      <c r="Q78" s="843"/>
      <c r="R78" s="710"/>
      <c r="S78" s="710"/>
      <c r="T78" s="710"/>
      <c r="U78" s="710"/>
      <c r="V78" s="710"/>
      <c r="W78" s="710"/>
      <c r="X78" s="710"/>
      <c r="Y78" s="710"/>
      <c r="Z78" s="710"/>
      <c r="AA78" s="710"/>
      <c r="AB78" s="710"/>
      <c r="AC78" s="710"/>
    </row>
    <row r="79" ht="14.75" spans="1:29">
      <c r="A79" s="864"/>
      <c r="B79" s="867" t="s">
        <v>1191</v>
      </c>
      <c r="C79" s="886" t="s">
        <v>1225</v>
      </c>
      <c r="D79" s="886" t="s">
        <v>1226</v>
      </c>
      <c r="E79" s="886" t="s">
        <v>1227</v>
      </c>
      <c r="F79" s="886" t="s">
        <v>1228</v>
      </c>
      <c r="G79" s="886" t="s">
        <v>1229</v>
      </c>
      <c r="H79" s="887"/>
      <c r="I79" s="887"/>
      <c r="J79" s="887"/>
      <c r="K79" s="926"/>
      <c r="L79" s="927"/>
      <c r="M79" s="928"/>
      <c r="N79" s="810"/>
      <c r="O79" s="810"/>
      <c r="P79" s="811"/>
      <c r="Q79" s="843"/>
      <c r="R79" s="710"/>
      <c r="S79" s="710"/>
      <c r="T79" s="710"/>
      <c r="U79" s="710"/>
      <c r="V79" s="710"/>
      <c r="W79" s="710"/>
      <c r="X79" s="710"/>
      <c r="Y79" s="710"/>
      <c r="Z79" s="710"/>
      <c r="AA79" s="710"/>
      <c r="AB79" s="710"/>
      <c r="AC79" s="710"/>
    </row>
    <row r="80" ht="14.75" spans="1:29">
      <c r="A80" s="864"/>
      <c r="B80" s="869"/>
      <c r="C80" s="874">
        <v>100</v>
      </c>
      <c r="D80" s="874">
        <f>C80-$K17</f>
        <v>98</v>
      </c>
      <c r="E80" s="874">
        <f>D80-$K17</f>
        <v>96</v>
      </c>
      <c r="F80" s="874">
        <f>E80-$K17</f>
        <v>94</v>
      </c>
      <c r="G80" s="874">
        <f>F80-$K17</f>
        <v>92</v>
      </c>
      <c r="H80" s="874"/>
      <c r="I80" s="874"/>
      <c r="J80" s="874"/>
      <c r="K80" s="874"/>
      <c r="L80" s="874"/>
      <c r="M80" s="911"/>
      <c r="N80" s="904"/>
      <c r="O80" s="904"/>
      <c r="P80" s="811"/>
      <c r="Q80" s="843"/>
      <c r="R80" s="710"/>
      <c r="S80" s="710"/>
      <c r="T80" s="710"/>
      <c r="U80" s="710"/>
      <c r="V80" s="710"/>
      <c r="W80" s="710"/>
      <c r="X80" s="710"/>
      <c r="Y80" s="710"/>
      <c r="Z80" s="710"/>
      <c r="AA80" s="710"/>
      <c r="AB80" s="710"/>
      <c r="AC80" s="710"/>
    </row>
    <row r="81" ht="14.75" spans="1:29">
      <c r="A81" s="864"/>
      <c r="B81" s="867" t="s">
        <v>1192</v>
      </c>
      <c r="C81" s="886" t="s">
        <v>1225</v>
      </c>
      <c r="D81" s="886" t="s">
        <v>1226</v>
      </c>
      <c r="E81" s="886" t="s">
        <v>1227</v>
      </c>
      <c r="F81" s="886" t="s">
        <v>1228</v>
      </c>
      <c r="G81" s="886" t="s">
        <v>1229</v>
      </c>
      <c r="H81" s="887"/>
      <c r="I81" s="887"/>
      <c r="J81" s="887"/>
      <c r="K81" s="926"/>
      <c r="L81" s="927"/>
      <c r="M81" s="928"/>
      <c r="N81" s="810"/>
      <c r="O81" s="810"/>
      <c r="P81" s="811"/>
      <c r="Q81" s="843"/>
      <c r="R81" s="710"/>
      <c r="S81" s="710"/>
      <c r="T81" s="710"/>
      <c r="U81" s="710"/>
      <c r="V81" s="710"/>
      <c r="W81" s="710"/>
      <c r="X81" s="710"/>
      <c r="Y81" s="710"/>
      <c r="Z81" s="710"/>
      <c r="AA81" s="710"/>
      <c r="AB81" s="710"/>
      <c r="AC81" s="710"/>
    </row>
    <row r="82" ht="14.75" spans="1:29">
      <c r="A82" s="864"/>
      <c r="B82" s="869"/>
      <c r="C82" s="874">
        <v>100</v>
      </c>
      <c r="D82" s="874">
        <f>C82-$K19</f>
        <v>98</v>
      </c>
      <c r="E82" s="874">
        <f>D82-$K19</f>
        <v>96</v>
      </c>
      <c r="F82" s="874">
        <f>E82-$K19</f>
        <v>94</v>
      </c>
      <c r="G82" s="874">
        <f>F82-$K19</f>
        <v>92</v>
      </c>
      <c r="H82" s="874"/>
      <c r="I82" s="874"/>
      <c r="J82" s="874"/>
      <c r="K82" s="874"/>
      <c r="L82" s="874"/>
      <c r="M82" s="911"/>
      <c r="N82" s="904"/>
      <c r="O82" s="904"/>
      <c r="P82" s="811"/>
      <c r="Q82" s="843"/>
      <c r="R82" s="710"/>
      <c r="S82" s="710"/>
      <c r="T82" s="710"/>
      <c r="U82" s="710"/>
      <c r="V82" s="710"/>
      <c r="W82" s="710"/>
      <c r="X82" s="710"/>
      <c r="Y82" s="710"/>
      <c r="Z82" s="710"/>
      <c r="AA82" s="710"/>
      <c r="AB82" s="710"/>
      <c r="AC82" s="710"/>
    </row>
    <row r="83" ht="14.75" spans="1:29">
      <c r="A83" s="864"/>
      <c r="B83" s="870" t="s">
        <v>1193</v>
      </c>
      <c r="C83" s="888" t="s">
        <v>1230</v>
      </c>
      <c r="D83" s="888" t="s">
        <v>1231</v>
      </c>
      <c r="E83" s="888" t="s">
        <v>1232</v>
      </c>
      <c r="F83" s="888" t="s">
        <v>1233</v>
      </c>
      <c r="G83" s="888" t="s">
        <v>1234</v>
      </c>
      <c r="H83" s="887"/>
      <c r="I83" s="887"/>
      <c r="J83" s="887"/>
      <c r="K83" s="887"/>
      <c r="L83" s="887"/>
      <c r="M83" s="929"/>
      <c r="N83" s="904"/>
      <c r="O83" s="904"/>
      <c r="P83" s="811"/>
      <c r="Q83" s="843"/>
      <c r="R83" s="710"/>
      <c r="S83" s="710"/>
      <c r="T83" s="710"/>
      <c r="U83" s="710"/>
      <c r="V83" s="710"/>
      <c r="W83" s="710"/>
      <c r="X83" s="710"/>
      <c r="Y83" s="710"/>
      <c r="Z83" s="710"/>
      <c r="AA83" s="710"/>
      <c r="AB83" s="710"/>
      <c r="AC83" s="710"/>
    </row>
    <row r="84" ht="14.75" spans="1:29">
      <c r="A84" s="864"/>
      <c r="B84" s="870"/>
      <c r="C84" s="874">
        <v>100</v>
      </c>
      <c r="D84" s="874">
        <f>C84-$K21</f>
        <v>98</v>
      </c>
      <c r="E84" s="874">
        <f>D84-$K21</f>
        <v>96</v>
      </c>
      <c r="F84" s="874">
        <f>E84-$K21</f>
        <v>94</v>
      </c>
      <c r="G84" s="874">
        <f>F84-$K21</f>
        <v>92</v>
      </c>
      <c r="H84" s="888"/>
      <c r="I84" s="888"/>
      <c r="J84" s="888"/>
      <c r="K84" s="888"/>
      <c r="L84" s="888"/>
      <c r="M84" s="658"/>
      <c r="N84" s="904"/>
      <c r="O84" s="904"/>
      <c r="P84" s="811"/>
      <c r="Q84" s="843"/>
      <c r="R84" s="710"/>
      <c r="S84" s="710"/>
      <c r="T84" s="710"/>
      <c r="U84" s="710"/>
      <c r="V84" s="710"/>
      <c r="W84" s="710"/>
      <c r="X84" s="710"/>
      <c r="Y84" s="710"/>
      <c r="Z84" s="710"/>
      <c r="AA84" s="710"/>
      <c r="AB84" s="710"/>
      <c r="AC84" s="710"/>
    </row>
    <row r="85" ht="14.75" spans="1:29">
      <c r="A85" s="864"/>
      <c r="B85" s="867" t="s">
        <v>1194</v>
      </c>
      <c r="C85" s="886" t="s">
        <v>1225</v>
      </c>
      <c r="D85" s="886" t="s">
        <v>1226</v>
      </c>
      <c r="E85" s="886" t="s">
        <v>1227</v>
      </c>
      <c r="F85" s="886" t="s">
        <v>1228</v>
      </c>
      <c r="G85" s="886" t="s">
        <v>1229</v>
      </c>
      <c r="H85" s="887"/>
      <c r="I85" s="887"/>
      <c r="J85" s="887"/>
      <c r="K85" s="926"/>
      <c r="L85" s="927"/>
      <c r="M85" s="928"/>
      <c r="N85" s="810"/>
      <c r="O85" s="810"/>
      <c r="P85" s="811"/>
      <c r="Q85" s="843"/>
      <c r="R85" s="710"/>
      <c r="S85" s="710"/>
      <c r="T85" s="710"/>
      <c r="U85" s="710"/>
      <c r="V85" s="710"/>
      <c r="W85" s="710"/>
      <c r="X85" s="710"/>
      <c r="Y85" s="710"/>
      <c r="Z85" s="710"/>
      <c r="AA85" s="710"/>
      <c r="AB85" s="710"/>
      <c r="AC85" s="710"/>
    </row>
    <row r="86" ht="14.75" spans="1:29">
      <c r="A86" s="864"/>
      <c r="B86" s="869"/>
      <c r="C86" s="874">
        <v>100</v>
      </c>
      <c r="D86" s="874">
        <f>C86-$K23</f>
        <v>98</v>
      </c>
      <c r="E86" s="874">
        <f>D86-$K23</f>
        <v>96</v>
      </c>
      <c r="F86" s="874">
        <f>E86-$K23</f>
        <v>94</v>
      </c>
      <c r="G86" s="874">
        <f>F86-$K23</f>
        <v>92</v>
      </c>
      <c r="H86" s="874"/>
      <c r="I86" s="874"/>
      <c r="J86" s="874"/>
      <c r="K86" s="874"/>
      <c r="L86" s="874"/>
      <c r="M86" s="911"/>
      <c r="N86" s="904"/>
      <c r="O86" s="904"/>
      <c r="P86" s="811"/>
      <c r="Q86" s="843"/>
      <c r="R86" s="710"/>
      <c r="S86" s="710"/>
      <c r="T86" s="710"/>
      <c r="U86" s="710"/>
      <c r="V86" s="710"/>
      <c r="W86" s="710"/>
      <c r="X86" s="710"/>
      <c r="Y86" s="710"/>
      <c r="Z86" s="710"/>
      <c r="AA86" s="710"/>
      <c r="AB86" s="710"/>
      <c r="AC86" s="710"/>
    </row>
    <row r="87" s="568" customFormat="1" ht="28.75" spans="1:29">
      <c r="A87" s="889"/>
      <c r="B87" s="867" t="s">
        <v>1195</v>
      </c>
      <c r="C87" s="876"/>
      <c r="D87" s="876"/>
      <c r="E87" s="876"/>
      <c r="F87" s="876"/>
      <c r="G87" s="876"/>
      <c r="H87" s="876"/>
      <c r="I87" s="876"/>
      <c r="J87" s="876"/>
      <c r="K87" s="876"/>
      <c r="L87" s="930"/>
      <c r="M87" s="931"/>
      <c r="N87" s="804"/>
      <c r="O87" s="804"/>
      <c r="P87" s="811"/>
      <c r="Q87" s="843"/>
      <c r="R87" s="845"/>
      <c r="S87" s="845"/>
      <c r="T87" s="845"/>
      <c r="U87" s="845"/>
      <c r="V87" s="845"/>
      <c r="W87" s="845"/>
      <c r="X87" s="845"/>
      <c r="Y87" s="845"/>
      <c r="Z87" s="845"/>
      <c r="AA87" s="845"/>
      <c r="AB87" s="845"/>
      <c r="AC87" s="845"/>
    </row>
    <row r="88" s="568" customFormat="1" ht="14.75" spans="1:29">
      <c r="A88" s="889"/>
      <c r="B88" s="869"/>
      <c r="C88" s="890">
        <v>100</v>
      </c>
      <c r="D88" s="874">
        <f t="shared" ref="D88:M88" si="19">C88-$K25</f>
        <v>100</v>
      </c>
      <c r="E88" s="874">
        <f t="shared" si="19"/>
        <v>100</v>
      </c>
      <c r="F88" s="874">
        <f t="shared" si="19"/>
        <v>100</v>
      </c>
      <c r="G88" s="874">
        <f t="shared" si="19"/>
        <v>100</v>
      </c>
      <c r="H88" s="874">
        <f t="shared" si="19"/>
        <v>100</v>
      </c>
      <c r="I88" s="874">
        <f t="shared" si="19"/>
        <v>100</v>
      </c>
      <c r="J88" s="874">
        <f t="shared" si="19"/>
        <v>100</v>
      </c>
      <c r="K88" s="874">
        <f t="shared" si="19"/>
        <v>100</v>
      </c>
      <c r="L88" s="874">
        <f t="shared" si="19"/>
        <v>100</v>
      </c>
      <c r="M88" s="874">
        <f t="shared" si="19"/>
        <v>100</v>
      </c>
      <c r="N88" s="904"/>
      <c r="O88" s="904"/>
      <c r="P88" s="811"/>
      <c r="Q88" s="843"/>
      <c r="R88" s="845"/>
      <c r="S88" s="845"/>
      <c r="T88" s="845"/>
      <c r="U88" s="845"/>
      <c r="V88" s="845"/>
      <c r="W88" s="845"/>
      <c r="X88" s="845"/>
      <c r="Y88" s="845"/>
      <c r="Z88" s="845"/>
      <c r="AA88" s="845"/>
      <c r="AB88" s="845"/>
      <c r="AC88" s="845"/>
    </row>
    <row r="89" s="568" customFormat="1" ht="14.75" spans="1:29">
      <c r="A89" s="889"/>
      <c r="B89" s="867" t="str">
        <f>B27</f>
        <v>楼层</v>
      </c>
      <c r="C89" s="876"/>
      <c r="D89" s="876"/>
      <c r="E89" s="876"/>
      <c r="F89" s="891"/>
      <c r="G89" s="876"/>
      <c r="H89" s="876"/>
      <c r="I89" s="876"/>
      <c r="J89" s="876"/>
      <c r="K89" s="876"/>
      <c r="L89" s="876"/>
      <c r="M89" s="931"/>
      <c r="N89" s="804"/>
      <c r="O89" s="804"/>
      <c r="P89" s="811"/>
      <c r="Q89" s="843"/>
      <c r="R89" s="845"/>
      <c r="S89" s="845"/>
      <c r="T89" s="845"/>
      <c r="U89" s="845"/>
      <c r="V89" s="845"/>
      <c r="W89" s="845"/>
      <c r="X89" s="845"/>
      <c r="Y89" s="845"/>
      <c r="Z89" s="845"/>
      <c r="AA89" s="845"/>
      <c r="AB89" s="845"/>
      <c r="AC89" s="845"/>
    </row>
    <row r="90" s="568" customFormat="1" ht="14.75" spans="1:29">
      <c r="A90" s="889"/>
      <c r="B90" s="869"/>
      <c r="C90" s="890">
        <v>100</v>
      </c>
      <c r="D90" s="874">
        <f>C90-$K27</f>
        <v>100</v>
      </c>
      <c r="E90" s="874">
        <f t="shared" ref="E90:M90" si="20">D90-$K27</f>
        <v>100</v>
      </c>
      <c r="F90" s="874">
        <f t="shared" si="20"/>
        <v>100</v>
      </c>
      <c r="G90" s="874">
        <f t="shared" si="20"/>
        <v>100</v>
      </c>
      <c r="H90" s="874">
        <f t="shared" si="20"/>
        <v>100</v>
      </c>
      <c r="I90" s="874">
        <f t="shared" si="20"/>
        <v>100</v>
      </c>
      <c r="J90" s="874">
        <f t="shared" si="20"/>
        <v>100</v>
      </c>
      <c r="K90" s="874">
        <f t="shared" si="20"/>
        <v>100</v>
      </c>
      <c r="L90" s="874">
        <f t="shared" si="20"/>
        <v>100</v>
      </c>
      <c r="M90" s="874">
        <f t="shared" si="20"/>
        <v>100</v>
      </c>
      <c r="N90" s="904"/>
      <c r="O90" s="904"/>
      <c r="P90" s="811"/>
      <c r="Q90" s="843"/>
      <c r="R90" s="845"/>
      <c r="S90" s="845"/>
      <c r="T90" s="845"/>
      <c r="U90" s="845"/>
      <c r="V90" s="845"/>
      <c r="W90" s="845"/>
      <c r="X90" s="845"/>
      <c r="Y90" s="845"/>
      <c r="Z90" s="845"/>
      <c r="AA90" s="845"/>
      <c r="AB90" s="845"/>
      <c r="AC90" s="845"/>
    </row>
    <row r="91" s="570" customFormat="1" ht="14.75" spans="1:29">
      <c r="A91" s="875"/>
      <c r="B91" s="867" t="str">
        <f>B28</f>
        <v>朝向</v>
      </c>
      <c r="C91" s="876"/>
      <c r="D91" s="876"/>
      <c r="E91" s="876"/>
      <c r="F91" s="876"/>
      <c r="G91" s="876"/>
      <c r="H91" s="877"/>
      <c r="I91" s="877"/>
      <c r="J91" s="877"/>
      <c r="K91" s="877"/>
      <c r="L91" s="912"/>
      <c r="M91" s="913"/>
      <c r="N91" s="914"/>
      <c r="O91" s="914"/>
      <c r="P91" s="915"/>
      <c r="Q91" s="947"/>
      <c r="R91" s="948"/>
      <c r="S91" s="948"/>
      <c r="T91" s="948"/>
      <c r="U91" s="948"/>
      <c r="V91" s="948"/>
      <c r="W91" s="948"/>
      <c r="X91" s="948"/>
      <c r="Y91" s="948"/>
      <c r="Z91" s="948"/>
      <c r="AA91" s="948"/>
      <c r="AB91" s="948"/>
      <c r="AC91" s="948"/>
    </row>
    <row r="92" s="570" customFormat="1" ht="14.75" spans="1:29">
      <c r="A92" s="875"/>
      <c r="B92" s="869"/>
      <c r="C92" s="890">
        <v>100</v>
      </c>
      <c r="D92" s="874">
        <f t="shared" ref="D92:M92" si="21">C92-$K28</f>
        <v>100</v>
      </c>
      <c r="E92" s="874">
        <f t="shared" si="21"/>
        <v>100</v>
      </c>
      <c r="F92" s="874">
        <f t="shared" si="21"/>
        <v>100</v>
      </c>
      <c r="G92" s="874">
        <f t="shared" si="21"/>
        <v>100</v>
      </c>
      <c r="H92" s="874">
        <f t="shared" si="21"/>
        <v>100</v>
      </c>
      <c r="I92" s="874">
        <f t="shared" si="21"/>
        <v>100</v>
      </c>
      <c r="J92" s="874">
        <f t="shared" si="21"/>
        <v>100</v>
      </c>
      <c r="K92" s="874">
        <f t="shared" si="21"/>
        <v>100</v>
      </c>
      <c r="L92" s="874">
        <f t="shared" si="21"/>
        <v>100</v>
      </c>
      <c r="M92" s="874">
        <f t="shared" si="21"/>
        <v>100</v>
      </c>
      <c r="N92" s="914"/>
      <c r="O92" s="914"/>
      <c r="P92" s="915"/>
      <c r="Q92" s="947"/>
      <c r="R92" s="948"/>
      <c r="S92" s="948"/>
      <c r="T92" s="948"/>
      <c r="U92" s="948"/>
      <c r="V92" s="948"/>
      <c r="W92" s="948"/>
      <c r="X92" s="948"/>
      <c r="Y92" s="948"/>
      <c r="Z92" s="948"/>
      <c r="AA92" s="948"/>
      <c r="AB92" s="948"/>
      <c r="AC92" s="948"/>
    </row>
    <row r="93" ht="14.75" spans="1:29">
      <c r="A93" s="864"/>
      <c r="B93" s="867">
        <f>B29</f>
        <v>111</v>
      </c>
      <c r="C93" s="876"/>
      <c r="D93" s="876"/>
      <c r="E93" s="876"/>
      <c r="F93" s="876"/>
      <c r="G93" s="876"/>
      <c r="H93" s="876"/>
      <c r="I93" s="876"/>
      <c r="J93" s="876"/>
      <c r="K93" s="876"/>
      <c r="L93" s="930"/>
      <c r="M93" s="931"/>
      <c r="N93" s="810"/>
      <c r="O93" s="810"/>
      <c r="P93" s="811"/>
      <c r="Q93" s="843"/>
      <c r="R93" s="710"/>
      <c r="S93" s="710"/>
      <c r="T93" s="710"/>
      <c r="U93" s="710"/>
      <c r="V93" s="710"/>
      <c r="W93" s="710"/>
      <c r="X93" s="710"/>
      <c r="Y93" s="710"/>
      <c r="Z93" s="710"/>
      <c r="AA93" s="710"/>
      <c r="AB93" s="710"/>
      <c r="AC93" s="710"/>
    </row>
    <row r="94" ht="14.75" spans="1:29">
      <c r="A94" s="864"/>
      <c r="B94" s="869"/>
      <c r="C94" s="878"/>
      <c r="D94" s="866"/>
      <c r="E94" s="866"/>
      <c r="F94" s="866"/>
      <c r="G94" s="866"/>
      <c r="H94" s="866"/>
      <c r="I94" s="866"/>
      <c r="J94" s="866"/>
      <c r="K94" s="866"/>
      <c r="L94" s="866"/>
      <c r="M94" s="903"/>
      <c r="N94" s="904"/>
      <c r="O94" s="904"/>
      <c r="P94" s="811"/>
      <c r="Q94" s="843"/>
      <c r="R94" s="710"/>
      <c r="S94" s="710"/>
      <c r="T94" s="710"/>
      <c r="U94" s="710"/>
      <c r="V94" s="710"/>
      <c r="W94" s="710"/>
      <c r="X94" s="710"/>
      <c r="Y94" s="710"/>
      <c r="Z94" s="710"/>
      <c r="AA94" s="710"/>
      <c r="AB94" s="710"/>
      <c r="AC94" s="710"/>
    </row>
    <row r="95" ht="14.75" spans="1:29">
      <c r="A95" s="864"/>
      <c r="B95" s="867">
        <f>B30</f>
        <v>111</v>
      </c>
      <c r="C95" s="876"/>
      <c r="D95" s="876"/>
      <c r="E95" s="876"/>
      <c r="F95" s="876"/>
      <c r="G95" s="868"/>
      <c r="H95" s="868"/>
      <c r="I95" s="868"/>
      <c r="J95" s="868"/>
      <c r="K95" s="905"/>
      <c r="L95" s="906"/>
      <c r="M95" s="907"/>
      <c r="N95" s="810"/>
      <c r="O95" s="810"/>
      <c r="P95" s="811"/>
      <c r="Q95" s="843"/>
      <c r="R95" s="710"/>
      <c r="S95" s="710"/>
      <c r="T95" s="710"/>
      <c r="U95" s="710"/>
      <c r="V95" s="710"/>
      <c r="W95" s="710"/>
      <c r="X95" s="710"/>
      <c r="Y95" s="710"/>
      <c r="Z95" s="710"/>
      <c r="AA95" s="710"/>
      <c r="AB95" s="710"/>
      <c r="AC95" s="710"/>
    </row>
    <row r="96" ht="14.75" spans="1:29">
      <c r="A96" s="864"/>
      <c r="B96" s="869"/>
      <c r="C96" s="878"/>
      <c r="D96" s="878"/>
      <c r="E96" s="878"/>
      <c r="F96" s="878"/>
      <c r="G96" s="866"/>
      <c r="H96" s="866"/>
      <c r="I96" s="866"/>
      <c r="J96" s="866"/>
      <c r="K96" s="866"/>
      <c r="L96" s="866"/>
      <c r="M96" s="903"/>
      <c r="N96" s="904"/>
      <c r="O96" s="904"/>
      <c r="P96" s="811"/>
      <c r="Q96" s="843"/>
      <c r="R96" s="710"/>
      <c r="S96" s="710"/>
      <c r="T96" s="710"/>
      <c r="U96" s="710"/>
      <c r="V96" s="710"/>
      <c r="W96" s="710"/>
      <c r="X96" s="710"/>
      <c r="Y96" s="710"/>
      <c r="Z96" s="710"/>
      <c r="AA96" s="710"/>
      <c r="AB96" s="710"/>
      <c r="AC96" s="710"/>
    </row>
    <row r="97" ht="14.75" spans="1:29">
      <c r="A97" s="864"/>
      <c r="B97" s="867">
        <f>B31</f>
        <v>111</v>
      </c>
      <c r="C97" s="876"/>
      <c r="D97" s="876"/>
      <c r="E97" s="876"/>
      <c r="F97" s="876"/>
      <c r="G97" s="868"/>
      <c r="H97" s="868"/>
      <c r="I97" s="868"/>
      <c r="J97" s="868"/>
      <c r="K97" s="905"/>
      <c r="L97" s="906"/>
      <c r="M97" s="907"/>
      <c r="N97" s="810"/>
      <c r="O97" s="810"/>
      <c r="P97" s="811"/>
      <c r="Q97" s="843"/>
      <c r="R97" s="710"/>
      <c r="S97" s="710"/>
      <c r="T97" s="710"/>
      <c r="U97" s="710"/>
      <c r="V97" s="710"/>
      <c r="W97" s="710"/>
      <c r="X97" s="710"/>
      <c r="Y97" s="710"/>
      <c r="Z97" s="710"/>
      <c r="AA97" s="710"/>
      <c r="AB97" s="710"/>
      <c r="AC97" s="710"/>
    </row>
    <row r="98" ht="14.75" spans="1:29">
      <c r="A98" s="864"/>
      <c r="B98" s="869"/>
      <c r="C98" s="878"/>
      <c r="D98" s="866"/>
      <c r="E98" s="866"/>
      <c r="F98" s="866"/>
      <c r="G98" s="866"/>
      <c r="H98" s="866"/>
      <c r="I98" s="866"/>
      <c r="J98" s="866"/>
      <c r="K98" s="866"/>
      <c r="L98" s="866"/>
      <c r="M98" s="903"/>
      <c r="N98" s="904"/>
      <c r="O98" s="904"/>
      <c r="P98" s="811"/>
      <c r="Q98" s="843"/>
      <c r="R98" s="710"/>
      <c r="S98" s="710"/>
      <c r="T98" s="710"/>
      <c r="U98" s="710"/>
      <c r="V98" s="710"/>
      <c r="W98" s="710"/>
      <c r="X98" s="710"/>
      <c r="Y98" s="710"/>
      <c r="Z98" s="710"/>
      <c r="AA98" s="710"/>
      <c r="AB98" s="710"/>
      <c r="AC98" s="710"/>
    </row>
    <row r="99" ht="14.75" spans="1:29">
      <c r="A99" s="864"/>
      <c r="B99" s="870">
        <f>B32</f>
        <v>111</v>
      </c>
      <c r="C99" s="739"/>
      <c r="D99" s="739"/>
      <c r="E99" s="739"/>
      <c r="F99" s="739"/>
      <c r="G99" s="892"/>
      <c r="H99" s="892"/>
      <c r="I99" s="892"/>
      <c r="J99" s="892"/>
      <c r="K99" s="932"/>
      <c r="L99" s="933"/>
      <c r="M99" s="934"/>
      <c r="N99" s="810"/>
      <c r="O99" s="810"/>
      <c r="P99" s="811"/>
      <c r="Q99" s="843"/>
      <c r="R99" s="710"/>
      <c r="S99" s="710"/>
      <c r="T99" s="710"/>
      <c r="U99" s="710"/>
      <c r="V99" s="710"/>
      <c r="W99" s="710"/>
      <c r="X99" s="710"/>
      <c r="Y99" s="710"/>
      <c r="Z99" s="710"/>
      <c r="AA99" s="710"/>
      <c r="AB99" s="710"/>
      <c r="AC99" s="710"/>
    </row>
    <row r="100" ht="14.75" spans="1:29">
      <c r="A100" s="893"/>
      <c r="B100" s="882"/>
      <c r="C100" s="883"/>
      <c r="D100" s="883"/>
      <c r="E100" s="883"/>
      <c r="F100" s="883"/>
      <c r="G100" s="894"/>
      <c r="H100" s="894"/>
      <c r="I100" s="894"/>
      <c r="J100" s="894"/>
      <c r="K100" s="894"/>
      <c r="L100" s="894"/>
      <c r="M100" s="935"/>
      <c r="N100" s="904"/>
      <c r="O100" s="904"/>
      <c r="P100" s="811"/>
      <c r="Q100" s="843"/>
      <c r="R100" s="710"/>
      <c r="S100" s="710"/>
      <c r="T100" s="710"/>
      <c r="U100" s="710"/>
      <c r="V100" s="710"/>
      <c r="W100" s="710"/>
      <c r="X100" s="710"/>
      <c r="Y100" s="710"/>
      <c r="Z100" s="710"/>
      <c r="AA100" s="710"/>
      <c r="AB100" s="710"/>
      <c r="AC100" s="710"/>
    </row>
    <row r="101" spans="1:29">
      <c r="A101" s="741" t="s">
        <v>1198</v>
      </c>
      <c r="B101" s="742" t="s">
        <v>1199</v>
      </c>
      <c r="C101" s="744" t="s">
        <v>1201</v>
      </c>
      <c r="D101" s="744" t="s">
        <v>1200</v>
      </c>
      <c r="E101" s="745"/>
      <c r="F101" s="745"/>
      <c r="G101" s="745"/>
      <c r="H101" s="745"/>
      <c r="I101" s="745"/>
      <c r="J101" s="745"/>
      <c r="K101" s="807"/>
      <c r="L101" s="808"/>
      <c r="M101" s="809"/>
      <c r="N101" s="810"/>
      <c r="O101" s="810"/>
      <c r="P101" s="811"/>
      <c r="Q101" s="843"/>
      <c r="R101" s="710"/>
      <c r="S101" s="710"/>
      <c r="T101" s="710"/>
      <c r="U101" s="710"/>
      <c r="V101" s="710"/>
      <c r="W101" s="710"/>
      <c r="X101" s="710"/>
      <c r="Y101" s="710"/>
      <c r="Z101" s="710"/>
      <c r="AA101" s="710"/>
      <c r="AB101" s="710"/>
      <c r="AC101" s="710"/>
    </row>
    <row r="102" ht="14.75" spans="1:29">
      <c r="A102" s="864"/>
      <c r="B102" s="869"/>
      <c r="C102" s="874">
        <v>100</v>
      </c>
      <c r="D102" s="874">
        <f t="shared" ref="D102:M102" si="22">C102-$K33</f>
        <v>98</v>
      </c>
      <c r="E102" s="874">
        <f t="shared" si="22"/>
        <v>96</v>
      </c>
      <c r="F102" s="874">
        <f t="shared" si="22"/>
        <v>94</v>
      </c>
      <c r="G102" s="874">
        <f t="shared" si="22"/>
        <v>92</v>
      </c>
      <c r="H102" s="874">
        <f t="shared" si="22"/>
        <v>90</v>
      </c>
      <c r="I102" s="874">
        <f t="shared" si="22"/>
        <v>88</v>
      </c>
      <c r="J102" s="874">
        <f t="shared" si="22"/>
        <v>86</v>
      </c>
      <c r="K102" s="874">
        <f t="shared" si="22"/>
        <v>84</v>
      </c>
      <c r="L102" s="874">
        <f t="shared" si="22"/>
        <v>82</v>
      </c>
      <c r="M102" s="911">
        <f t="shared" si="22"/>
        <v>80</v>
      </c>
      <c r="N102" s="904"/>
      <c r="O102" s="904"/>
      <c r="P102" s="811"/>
      <c r="Q102" s="843"/>
      <c r="R102" s="710"/>
      <c r="S102" s="710"/>
      <c r="T102" s="710"/>
      <c r="U102" s="710"/>
      <c r="V102" s="710"/>
      <c r="W102" s="710"/>
      <c r="X102" s="710"/>
      <c r="Y102" s="710"/>
      <c r="Z102" s="710"/>
      <c r="AA102" s="710"/>
      <c r="AB102" s="710"/>
      <c r="AC102" s="710"/>
    </row>
    <row r="103" ht="28.75" spans="1:29">
      <c r="A103" s="864"/>
      <c r="B103" s="867" t="s">
        <v>1203</v>
      </c>
      <c r="C103" s="886" t="str">
        <f>C104&amp;"(含)"&amp;"-"&amp;D104</f>
        <v>0(含)-500</v>
      </c>
      <c r="D103" s="886" t="str">
        <f t="shared" ref="D103:L103" si="23">D104&amp;"(含)"&amp;"-"&amp;E104</f>
        <v>500(含)-1000</v>
      </c>
      <c r="E103" s="886" t="str">
        <f t="shared" si="23"/>
        <v>1000(含)-3000</v>
      </c>
      <c r="F103" s="886" t="str">
        <f t="shared" si="23"/>
        <v>3000(含)-5000</v>
      </c>
      <c r="G103" s="886" t="str">
        <f t="shared" si="23"/>
        <v>5000(含)-8000</v>
      </c>
      <c r="H103" s="886" t="str">
        <f t="shared" si="23"/>
        <v>8000(含)-</v>
      </c>
      <c r="I103" s="886" t="str">
        <f t="shared" si="23"/>
        <v>(含)-</v>
      </c>
      <c r="J103" s="886" t="str">
        <f t="shared" si="23"/>
        <v>(含)-</v>
      </c>
      <c r="K103" s="886" t="str">
        <f t="shared" si="23"/>
        <v>(含)-</v>
      </c>
      <c r="L103" s="886" t="str">
        <f t="shared" si="23"/>
        <v>(含)-</v>
      </c>
      <c r="M103" s="936" t="str">
        <f>M104&amp;"(含)"&amp;"-"&amp;P104</f>
        <v>(含)-</v>
      </c>
      <c r="N103" s="804"/>
      <c r="O103" s="804"/>
      <c r="P103" s="811"/>
      <c r="Q103" s="843"/>
      <c r="R103" s="710"/>
      <c r="S103" s="710"/>
      <c r="T103" s="710"/>
      <c r="U103" s="710"/>
      <c r="V103" s="710"/>
      <c r="W103" s="710"/>
      <c r="X103" s="710"/>
      <c r="Y103" s="710"/>
      <c r="Z103" s="710"/>
      <c r="AA103" s="710"/>
      <c r="AB103" s="710"/>
      <c r="AC103" s="710"/>
    </row>
    <row r="104" s="570" customFormat="1" spans="1:29">
      <c r="A104" s="895"/>
      <c r="B104" s="896"/>
      <c r="C104" s="897">
        <v>0</v>
      </c>
      <c r="D104" s="897">
        <v>500</v>
      </c>
      <c r="E104" s="897">
        <v>1000</v>
      </c>
      <c r="F104" s="897">
        <v>3000</v>
      </c>
      <c r="G104" s="897">
        <v>5000</v>
      </c>
      <c r="H104" s="897">
        <v>8000</v>
      </c>
      <c r="I104" s="897"/>
      <c r="J104" s="937"/>
      <c r="K104" s="937"/>
      <c r="L104" s="938"/>
      <c r="M104" s="939"/>
      <c r="N104" s="914"/>
      <c r="O104" s="914"/>
      <c r="P104" s="915"/>
      <c r="Q104" s="947"/>
      <c r="R104" s="948"/>
      <c r="S104" s="948"/>
      <c r="T104" s="948"/>
      <c r="U104" s="948"/>
      <c r="V104" s="948"/>
      <c r="W104" s="948"/>
      <c r="X104" s="948"/>
      <c r="Y104" s="948"/>
      <c r="Z104" s="948"/>
      <c r="AA104" s="948"/>
      <c r="AB104" s="948"/>
      <c r="AC104" s="948"/>
    </row>
    <row r="105" s="570" customFormat="1" ht="14.75" spans="1:29">
      <c r="A105" s="875"/>
      <c r="B105" s="869"/>
      <c r="C105" s="878">
        <v>100</v>
      </c>
      <c r="D105" s="866">
        <v>99</v>
      </c>
      <c r="E105" s="878">
        <v>98</v>
      </c>
      <c r="F105" s="866">
        <v>97</v>
      </c>
      <c r="G105" s="878">
        <v>96</v>
      </c>
      <c r="H105" s="866">
        <v>95</v>
      </c>
      <c r="I105" s="866"/>
      <c r="J105" s="866"/>
      <c r="K105" s="866"/>
      <c r="L105" s="866"/>
      <c r="M105" s="903"/>
      <c r="N105" s="904"/>
      <c r="O105" s="904"/>
      <c r="P105" s="915"/>
      <c r="Q105" s="947"/>
      <c r="R105" s="948"/>
      <c r="S105" s="948"/>
      <c r="T105" s="948"/>
      <c r="U105" s="948"/>
      <c r="V105" s="948"/>
      <c r="W105" s="948"/>
      <c r="X105" s="948"/>
      <c r="Y105" s="948"/>
      <c r="Z105" s="948"/>
      <c r="AA105" s="948"/>
      <c r="AB105" s="948"/>
      <c r="AC105" s="948"/>
    </row>
    <row r="106" ht="14.75" spans="1:29">
      <c r="A106" s="898"/>
      <c r="B106" s="867" t="s">
        <v>1204</v>
      </c>
      <c r="C106" s="876"/>
      <c r="D106" s="876"/>
      <c r="E106" s="868"/>
      <c r="F106" s="868"/>
      <c r="G106" s="868"/>
      <c r="H106" s="868"/>
      <c r="I106" s="868"/>
      <c r="J106" s="868"/>
      <c r="K106" s="905"/>
      <c r="L106" s="906"/>
      <c r="M106" s="907"/>
      <c r="N106" s="810"/>
      <c r="O106" s="810"/>
      <c r="P106" s="811"/>
      <c r="Q106" s="843"/>
      <c r="R106" s="710"/>
      <c r="S106" s="710"/>
      <c r="T106" s="710"/>
      <c r="U106" s="710"/>
      <c r="V106" s="710"/>
      <c r="W106" s="710"/>
      <c r="X106" s="710"/>
      <c r="Y106" s="710"/>
      <c r="Z106" s="710"/>
      <c r="AA106" s="710"/>
      <c r="AB106" s="710"/>
      <c r="AC106" s="710"/>
    </row>
    <row r="107" ht="14.75" spans="1:29">
      <c r="A107" s="864"/>
      <c r="B107" s="869"/>
      <c r="C107" s="874">
        <v>100</v>
      </c>
      <c r="D107" s="874">
        <f t="shared" ref="D107:M107" si="24">C107-$K35</f>
        <v>100</v>
      </c>
      <c r="E107" s="874">
        <f t="shared" si="24"/>
        <v>100</v>
      </c>
      <c r="F107" s="874">
        <f t="shared" si="24"/>
        <v>100</v>
      </c>
      <c r="G107" s="874">
        <f t="shared" si="24"/>
        <v>100</v>
      </c>
      <c r="H107" s="874">
        <f t="shared" si="24"/>
        <v>100</v>
      </c>
      <c r="I107" s="874">
        <f t="shared" si="24"/>
        <v>100</v>
      </c>
      <c r="J107" s="874">
        <f t="shared" si="24"/>
        <v>100</v>
      </c>
      <c r="K107" s="874">
        <f t="shared" si="24"/>
        <v>100</v>
      </c>
      <c r="L107" s="874">
        <f t="shared" si="24"/>
        <v>100</v>
      </c>
      <c r="M107" s="911">
        <f t="shared" si="24"/>
        <v>100</v>
      </c>
      <c r="N107" s="904"/>
      <c r="O107" s="904"/>
      <c r="P107" s="811"/>
      <c r="Q107" s="843"/>
      <c r="R107" s="710"/>
      <c r="S107" s="710"/>
      <c r="T107" s="710"/>
      <c r="U107" s="710"/>
      <c r="V107" s="710"/>
      <c r="W107" s="710"/>
      <c r="X107" s="710"/>
      <c r="Y107" s="710"/>
      <c r="Z107" s="710"/>
      <c r="AA107" s="710"/>
      <c r="AB107" s="710"/>
      <c r="AC107" s="710"/>
    </row>
    <row r="108" ht="14.75" spans="1:29">
      <c r="A108" s="898"/>
      <c r="B108" s="867" t="s">
        <v>1205</v>
      </c>
      <c r="C108" s="876"/>
      <c r="D108" s="876"/>
      <c r="E108" s="876"/>
      <c r="F108" s="868"/>
      <c r="G108" s="868"/>
      <c r="H108" s="868"/>
      <c r="I108" s="868"/>
      <c r="J108" s="868"/>
      <c r="K108" s="905"/>
      <c r="L108" s="906"/>
      <c r="M108" s="907"/>
      <c r="N108" s="810"/>
      <c r="O108" s="810"/>
      <c r="P108" s="811"/>
      <c r="Q108" s="843"/>
      <c r="R108" s="710"/>
      <c r="S108" s="710"/>
      <c r="T108" s="710"/>
      <c r="U108" s="710"/>
      <c r="V108" s="710"/>
      <c r="W108" s="710"/>
      <c r="X108" s="710"/>
      <c r="Y108" s="710"/>
      <c r="Z108" s="710"/>
      <c r="AA108" s="710"/>
      <c r="AB108" s="710"/>
      <c r="AC108" s="710"/>
    </row>
    <row r="109" ht="14.75" spans="1:29">
      <c r="A109" s="864"/>
      <c r="B109" s="869"/>
      <c r="C109" s="874">
        <v>100</v>
      </c>
      <c r="D109" s="874">
        <f t="shared" ref="D109:M109" si="25">C109-$K36</f>
        <v>100</v>
      </c>
      <c r="E109" s="874">
        <f t="shared" si="25"/>
        <v>100</v>
      </c>
      <c r="F109" s="874">
        <f t="shared" si="25"/>
        <v>100</v>
      </c>
      <c r="G109" s="874">
        <f t="shared" si="25"/>
        <v>100</v>
      </c>
      <c r="H109" s="874">
        <f t="shared" si="25"/>
        <v>100</v>
      </c>
      <c r="I109" s="874">
        <f t="shared" si="25"/>
        <v>100</v>
      </c>
      <c r="J109" s="874">
        <f t="shared" si="25"/>
        <v>100</v>
      </c>
      <c r="K109" s="874">
        <f t="shared" si="25"/>
        <v>100</v>
      </c>
      <c r="L109" s="874">
        <f t="shared" si="25"/>
        <v>100</v>
      </c>
      <c r="M109" s="911">
        <f t="shared" si="25"/>
        <v>100</v>
      </c>
      <c r="N109" s="904"/>
      <c r="O109" s="904"/>
      <c r="P109" s="811"/>
      <c r="Q109" s="843"/>
      <c r="R109" s="710"/>
      <c r="S109" s="710"/>
      <c r="T109" s="710"/>
      <c r="U109" s="710"/>
      <c r="V109" s="710"/>
      <c r="W109" s="710"/>
      <c r="X109" s="710"/>
      <c r="Y109" s="710"/>
      <c r="Z109" s="710"/>
      <c r="AA109" s="710"/>
      <c r="AB109" s="710"/>
      <c r="AC109" s="710"/>
    </row>
    <row r="110" ht="14.75" spans="1:29">
      <c r="A110" s="898"/>
      <c r="B110" s="867" t="s">
        <v>636</v>
      </c>
      <c r="C110" s="886" t="str">
        <f>C111&amp;"(含)"&amp;"-"&amp;D111</f>
        <v>0.5(含)-0.6</v>
      </c>
      <c r="D110" s="886" t="str">
        <f>D111&amp;"(含)"&amp;"-"&amp;E111</f>
        <v>0.6(含)-0.7</v>
      </c>
      <c r="E110" s="886" t="str">
        <f>E111&amp;"(含)"&amp;"-"&amp;F111</f>
        <v>0.7(含)-0.8</v>
      </c>
      <c r="F110" s="886" t="str">
        <f>F111&amp;"(含)"&amp;"-"&amp;G111</f>
        <v>0.8(含)-0.9</v>
      </c>
      <c r="G110" s="886" t="str">
        <f>G111&amp;"(含)"&amp;"-"&amp;ROUND(H111,0)&amp;"(含)"</f>
        <v>0.9(含)-1(含)</v>
      </c>
      <c r="H110" s="886"/>
      <c r="I110" s="868"/>
      <c r="J110" s="868"/>
      <c r="K110" s="905"/>
      <c r="L110" s="906"/>
      <c r="M110" s="907"/>
      <c r="N110" s="810"/>
      <c r="O110" s="810"/>
      <c r="P110" s="811"/>
      <c r="Q110" s="843"/>
      <c r="R110" s="710"/>
      <c r="S110" s="710"/>
      <c r="T110" s="710"/>
      <c r="U110" s="710"/>
      <c r="V110" s="710"/>
      <c r="W110" s="710"/>
      <c r="X110" s="710"/>
      <c r="Y110" s="710"/>
      <c r="Z110" s="710"/>
      <c r="AA110" s="710"/>
      <c r="AB110" s="710"/>
      <c r="AC110" s="710"/>
    </row>
    <row r="111" spans="1:29">
      <c r="A111" s="898"/>
      <c r="B111" s="870"/>
      <c r="C111" s="899">
        <v>0.5</v>
      </c>
      <c r="D111" s="899">
        <v>0.6</v>
      </c>
      <c r="E111" s="899">
        <v>0.7</v>
      </c>
      <c r="F111" s="899">
        <v>0.8</v>
      </c>
      <c r="G111" s="899">
        <v>0.9</v>
      </c>
      <c r="H111" s="899">
        <v>1.0001</v>
      </c>
      <c r="I111" s="940"/>
      <c r="J111" s="940"/>
      <c r="K111" s="941"/>
      <c r="L111" s="942"/>
      <c r="M111" s="943"/>
      <c r="N111" s="810"/>
      <c r="O111" s="810"/>
      <c r="P111" s="811"/>
      <c r="Q111" s="843"/>
      <c r="R111" s="710"/>
      <c r="S111" s="710"/>
      <c r="T111" s="710"/>
      <c r="U111" s="710"/>
      <c r="V111" s="710"/>
      <c r="W111" s="710"/>
      <c r="X111" s="710"/>
      <c r="Y111" s="710"/>
      <c r="Z111" s="710"/>
      <c r="AA111" s="710"/>
      <c r="AB111" s="710"/>
      <c r="AC111" s="710"/>
    </row>
    <row r="112" ht="14.75" spans="1:29">
      <c r="A112" s="864"/>
      <c r="B112" s="869"/>
      <c r="C112" s="890">
        <v>100</v>
      </c>
      <c r="D112" s="874">
        <f>C112+$K37</f>
        <v>100</v>
      </c>
      <c r="E112" s="874">
        <f t="shared" ref="E112:M112" si="26">D112+$K37</f>
        <v>100</v>
      </c>
      <c r="F112" s="874">
        <f t="shared" si="26"/>
        <v>100</v>
      </c>
      <c r="G112" s="874">
        <f t="shared" si="26"/>
        <v>100</v>
      </c>
      <c r="H112" s="874">
        <f t="shared" si="26"/>
        <v>100</v>
      </c>
      <c r="I112" s="874">
        <f t="shared" si="26"/>
        <v>100</v>
      </c>
      <c r="J112" s="874">
        <f t="shared" si="26"/>
        <v>100</v>
      </c>
      <c r="K112" s="874">
        <f t="shared" si="26"/>
        <v>100</v>
      </c>
      <c r="L112" s="874">
        <f t="shared" si="26"/>
        <v>100</v>
      </c>
      <c r="M112" s="874">
        <f t="shared" si="26"/>
        <v>100</v>
      </c>
      <c r="N112" s="904"/>
      <c r="O112" s="904"/>
      <c r="P112" s="811"/>
      <c r="Q112" s="843"/>
      <c r="R112" s="710"/>
      <c r="S112" s="710"/>
      <c r="T112" s="710"/>
      <c r="U112" s="710"/>
      <c r="V112" s="710"/>
      <c r="W112" s="710"/>
      <c r="X112" s="710"/>
      <c r="Y112" s="710"/>
      <c r="Z112" s="710"/>
      <c r="AA112" s="710"/>
      <c r="AB112" s="710"/>
      <c r="AC112" s="710"/>
    </row>
    <row r="113" s="570" customFormat="1" ht="14.75" spans="1:29">
      <c r="A113" s="895"/>
      <c r="B113" s="867" t="s">
        <v>1206</v>
      </c>
      <c r="C113" s="876"/>
      <c r="D113" s="876"/>
      <c r="E113" s="876"/>
      <c r="F113" s="876"/>
      <c r="G113" s="876"/>
      <c r="H113" s="868"/>
      <c r="I113" s="868"/>
      <c r="J113" s="868"/>
      <c r="K113" s="905"/>
      <c r="L113" s="906"/>
      <c r="M113" s="907"/>
      <c r="N113" s="914"/>
      <c r="O113" s="914"/>
      <c r="P113" s="915"/>
      <c r="Q113" s="947"/>
      <c r="R113" s="948"/>
      <c r="S113" s="948"/>
      <c r="T113" s="948"/>
      <c r="U113" s="948"/>
      <c r="V113" s="948"/>
      <c r="W113" s="948"/>
      <c r="X113" s="948"/>
      <c r="Y113" s="948"/>
      <c r="Z113" s="948"/>
      <c r="AA113" s="948"/>
      <c r="AB113" s="948"/>
      <c r="AC113" s="948"/>
    </row>
    <row r="114" s="570" customFormat="1" ht="14.75" spans="1:29">
      <c r="A114" s="875"/>
      <c r="B114" s="869"/>
      <c r="C114" s="874">
        <v>100</v>
      </c>
      <c r="D114" s="874">
        <f>C114-$K38</f>
        <v>100</v>
      </c>
      <c r="E114" s="874">
        <f t="shared" ref="E114:M114" si="27">D114-$K38</f>
        <v>100</v>
      </c>
      <c r="F114" s="874">
        <f t="shared" si="27"/>
        <v>100</v>
      </c>
      <c r="G114" s="874">
        <f t="shared" si="27"/>
        <v>100</v>
      </c>
      <c r="H114" s="874">
        <f t="shared" si="27"/>
        <v>100</v>
      </c>
      <c r="I114" s="874">
        <f t="shared" si="27"/>
        <v>100</v>
      </c>
      <c r="J114" s="874">
        <f t="shared" si="27"/>
        <v>100</v>
      </c>
      <c r="K114" s="874">
        <f t="shared" si="27"/>
        <v>100</v>
      </c>
      <c r="L114" s="874">
        <f t="shared" si="27"/>
        <v>100</v>
      </c>
      <c r="M114" s="874">
        <f t="shared" si="27"/>
        <v>100</v>
      </c>
      <c r="N114" s="914"/>
      <c r="O114" s="914"/>
      <c r="P114" s="915"/>
      <c r="Q114" s="947"/>
      <c r="R114" s="948"/>
      <c r="S114" s="948"/>
      <c r="T114" s="948"/>
      <c r="U114" s="948"/>
      <c r="V114" s="948"/>
      <c r="W114" s="948"/>
      <c r="X114" s="948"/>
      <c r="Y114" s="948"/>
      <c r="Z114" s="948"/>
      <c r="AA114" s="948"/>
      <c r="AB114" s="948"/>
      <c r="AC114" s="948"/>
    </row>
    <row r="115" ht="14.75" spans="1:29">
      <c r="A115" s="898"/>
      <c r="B115" s="867" t="s">
        <v>1207</v>
      </c>
      <c r="C115" s="876"/>
      <c r="D115" s="876"/>
      <c r="E115" s="868"/>
      <c r="F115" s="868"/>
      <c r="G115" s="868"/>
      <c r="H115" s="868"/>
      <c r="I115" s="868"/>
      <c r="J115" s="868"/>
      <c r="K115" s="905"/>
      <c r="L115" s="906"/>
      <c r="M115" s="907"/>
      <c r="N115" s="810"/>
      <c r="O115" s="810"/>
      <c r="P115" s="811"/>
      <c r="Q115" s="843"/>
      <c r="R115" s="710"/>
      <c r="S115" s="710"/>
      <c r="T115" s="710"/>
      <c r="U115" s="710"/>
      <c r="V115" s="710"/>
      <c r="W115" s="710"/>
      <c r="X115" s="710"/>
      <c r="Y115" s="710"/>
      <c r="Z115" s="710"/>
      <c r="AA115" s="710"/>
      <c r="AB115" s="710"/>
      <c r="AC115" s="710"/>
    </row>
    <row r="116" ht="14.75" spans="1:29">
      <c r="A116" s="864"/>
      <c r="B116" s="869"/>
      <c r="C116" s="874">
        <v>100</v>
      </c>
      <c r="D116" s="874">
        <f t="shared" ref="D116:M116" si="28">C116-$K39</f>
        <v>100</v>
      </c>
      <c r="E116" s="874">
        <f t="shared" si="28"/>
        <v>100</v>
      </c>
      <c r="F116" s="874">
        <f t="shared" si="28"/>
        <v>100</v>
      </c>
      <c r="G116" s="874">
        <f t="shared" si="28"/>
        <v>100</v>
      </c>
      <c r="H116" s="874">
        <f t="shared" si="28"/>
        <v>100</v>
      </c>
      <c r="I116" s="874">
        <f t="shared" si="28"/>
        <v>100</v>
      </c>
      <c r="J116" s="874">
        <f t="shared" si="28"/>
        <v>100</v>
      </c>
      <c r="K116" s="874">
        <f t="shared" si="28"/>
        <v>100</v>
      </c>
      <c r="L116" s="874">
        <f t="shared" si="28"/>
        <v>100</v>
      </c>
      <c r="M116" s="911">
        <f t="shared" si="28"/>
        <v>100</v>
      </c>
      <c r="N116" s="904"/>
      <c r="O116" s="904"/>
      <c r="P116" s="811"/>
      <c r="Q116" s="843"/>
      <c r="R116" s="710"/>
      <c r="S116" s="710"/>
      <c r="T116" s="710"/>
      <c r="U116" s="710"/>
      <c r="V116" s="710"/>
      <c r="W116" s="710"/>
      <c r="X116" s="710"/>
      <c r="Y116" s="710"/>
      <c r="Z116" s="710"/>
      <c r="AA116" s="710"/>
      <c r="AB116" s="710"/>
      <c r="AC116" s="710"/>
    </row>
    <row r="117" ht="14.75" spans="1:29">
      <c r="A117" s="898"/>
      <c r="B117" s="867" t="s">
        <v>1208</v>
      </c>
      <c r="C117" s="876"/>
      <c r="D117" s="876"/>
      <c r="E117" s="876"/>
      <c r="F117" s="876"/>
      <c r="G117" s="876"/>
      <c r="H117" s="868"/>
      <c r="I117" s="868"/>
      <c r="J117" s="868"/>
      <c r="K117" s="905"/>
      <c r="L117" s="906"/>
      <c r="M117" s="907"/>
      <c r="N117" s="810"/>
      <c r="O117" s="810"/>
      <c r="P117" s="811"/>
      <c r="Q117" s="843"/>
      <c r="R117" s="710"/>
      <c r="S117" s="710"/>
      <c r="T117" s="710"/>
      <c r="U117" s="710"/>
      <c r="V117" s="710"/>
      <c r="W117" s="710"/>
      <c r="X117" s="710"/>
      <c r="Y117" s="710"/>
      <c r="Z117" s="710"/>
      <c r="AA117" s="710"/>
      <c r="AB117" s="710"/>
      <c r="AC117" s="710"/>
    </row>
    <row r="118" ht="14.75" spans="1:29">
      <c r="A118" s="864"/>
      <c r="B118" s="869"/>
      <c r="C118" s="874">
        <v>100</v>
      </c>
      <c r="D118" s="874">
        <f>C118-$K40</f>
        <v>100</v>
      </c>
      <c r="E118" s="874">
        <f>D118-$K40</f>
        <v>100</v>
      </c>
      <c r="F118" s="874">
        <f>E118-$K40</f>
        <v>100</v>
      </c>
      <c r="G118" s="874">
        <f>F118-$K40</f>
        <v>100</v>
      </c>
      <c r="H118" s="874"/>
      <c r="I118" s="874"/>
      <c r="J118" s="874"/>
      <c r="K118" s="874"/>
      <c r="L118" s="874"/>
      <c r="M118" s="911"/>
      <c r="N118" s="904"/>
      <c r="O118" s="904"/>
      <c r="P118" s="811"/>
      <c r="Q118" s="843"/>
      <c r="R118" s="710"/>
      <c r="S118" s="710"/>
      <c r="T118" s="710"/>
      <c r="U118" s="710"/>
      <c r="V118" s="710"/>
      <c r="W118" s="710"/>
      <c r="X118" s="710"/>
      <c r="Y118" s="710"/>
      <c r="Z118" s="710"/>
      <c r="AA118" s="710"/>
      <c r="AB118" s="710"/>
      <c r="AC118" s="710"/>
    </row>
    <row r="119" ht="14.75" spans="1:29">
      <c r="A119" s="898"/>
      <c r="B119" s="900" t="s">
        <v>1235</v>
      </c>
      <c r="C119" s="868"/>
      <c r="D119" s="868"/>
      <c r="E119" s="868"/>
      <c r="F119" s="868"/>
      <c r="G119" s="868"/>
      <c r="H119" s="868"/>
      <c r="I119" s="868"/>
      <c r="J119" s="868"/>
      <c r="K119" s="868"/>
      <c r="L119" s="944"/>
      <c r="M119" s="945"/>
      <c r="N119" s="904"/>
      <c r="O119" s="904"/>
      <c r="P119" s="946"/>
      <c r="Q119" s="950"/>
      <c r="R119" s="710"/>
      <c r="S119" s="710"/>
      <c r="T119" s="710"/>
      <c r="U119" s="710"/>
      <c r="V119" s="710"/>
      <c r="W119" s="710"/>
      <c r="X119" s="710"/>
      <c r="Y119" s="710"/>
      <c r="Z119" s="710"/>
      <c r="AA119" s="710"/>
      <c r="AB119" s="710"/>
      <c r="AC119" s="710"/>
    </row>
    <row r="120" ht="14.75" spans="1:29">
      <c r="A120" s="864"/>
      <c r="B120" s="869"/>
      <c r="C120" s="890">
        <v>100</v>
      </c>
      <c r="D120" s="874">
        <f>C120-$K41</f>
        <v>100</v>
      </c>
      <c r="E120" s="874">
        <f t="shared" ref="E120:M120" si="29">D120-$K41</f>
        <v>100</v>
      </c>
      <c r="F120" s="874">
        <f t="shared" si="29"/>
        <v>100</v>
      </c>
      <c r="G120" s="874">
        <f t="shared" si="29"/>
        <v>100</v>
      </c>
      <c r="H120" s="874">
        <f t="shared" si="29"/>
        <v>100</v>
      </c>
      <c r="I120" s="874">
        <f t="shared" si="29"/>
        <v>100</v>
      </c>
      <c r="J120" s="874">
        <f t="shared" si="29"/>
        <v>100</v>
      </c>
      <c r="K120" s="874">
        <f t="shared" si="29"/>
        <v>100</v>
      </c>
      <c r="L120" s="874">
        <f t="shared" si="29"/>
        <v>100</v>
      </c>
      <c r="M120" s="874">
        <f t="shared" si="29"/>
        <v>100</v>
      </c>
      <c r="N120" s="904"/>
      <c r="O120" s="904"/>
      <c r="P120" s="811"/>
      <c r="Q120" s="843"/>
      <c r="R120" s="710"/>
      <c r="S120" s="710"/>
      <c r="T120" s="710"/>
      <c r="U120" s="710"/>
      <c r="V120" s="710"/>
      <c r="W120" s="710"/>
      <c r="X120" s="710"/>
      <c r="Y120" s="710"/>
      <c r="Z120" s="710"/>
      <c r="AA120" s="710"/>
      <c r="AB120" s="710"/>
      <c r="AC120" s="710"/>
    </row>
    <row r="121" s="570" customFormat="1" ht="14.75" spans="1:29">
      <c r="A121" s="895"/>
      <c r="B121" s="867" t="s">
        <v>1236</v>
      </c>
      <c r="C121" s="876"/>
      <c r="D121" s="876"/>
      <c r="E121" s="876"/>
      <c r="F121" s="868"/>
      <c r="G121" s="877"/>
      <c r="H121" s="877"/>
      <c r="I121" s="877"/>
      <c r="J121" s="877"/>
      <c r="K121" s="877"/>
      <c r="L121" s="912"/>
      <c r="M121" s="913"/>
      <c r="N121" s="914"/>
      <c r="O121" s="914"/>
      <c r="P121" s="915"/>
      <c r="Q121" s="947"/>
      <c r="R121" s="948"/>
      <c r="S121" s="948"/>
      <c r="T121" s="948"/>
      <c r="U121" s="948"/>
      <c r="V121" s="948"/>
      <c r="W121" s="948"/>
      <c r="X121" s="948"/>
      <c r="Y121" s="948"/>
      <c r="Z121" s="948"/>
      <c r="AA121" s="948"/>
      <c r="AB121" s="948"/>
      <c r="AC121" s="948"/>
    </row>
    <row r="122" s="570" customFormat="1" ht="14.75" spans="1:29">
      <c r="A122" s="875"/>
      <c r="B122" s="865"/>
      <c r="C122" s="878"/>
      <c r="D122" s="878"/>
      <c r="E122" s="878"/>
      <c r="F122" s="878"/>
      <c r="G122" s="878"/>
      <c r="H122" s="878"/>
      <c r="I122" s="878"/>
      <c r="J122" s="878"/>
      <c r="K122" s="878"/>
      <c r="L122" s="878"/>
      <c r="M122" s="878"/>
      <c r="N122" s="914"/>
      <c r="O122" s="914"/>
      <c r="P122" s="915"/>
      <c r="Q122" s="947"/>
      <c r="R122" s="948"/>
      <c r="S122" s="948"/>
      <c r="T122" s="948"/>
      <c r="U122" s="948"/>
      <c r="V122" s="948"/>
      <c r="W122" s="948"/>
      <c r="X122" s="948"/>
      <c r="Y122" s="948"/>
      <c r="Z122" s="948"/>
      <c r="AA122" s="948"/>
      <c r="AB122" s="948"/>
      <c r="AC122" s="948"/>
    </row>
    <row r="123" ht="14.75" spans="1:29">
      <c r="A123" s="898"/>
      <c r="B123" s="867" t="s">
        <v>1211</v>
      </c>
      <c r="C123" s="901" t="s">
        <v>1237</v>
      </c>
      <c r="D123" s="901" t="s">
        <v>1212</v>
      </c>
      <c r="E123" s="901" t="s">
        <v>1238</v>
      </c>
      <c r="F123" s="902" t="s">
        <v>1239</v>
      </c>
      <c r="G123" s="868"/>
      <c r="H123" s="868"/>
      <c r="I123" s="868"/>
      <c r="J123" s="868"/>
      <c r="K123" s="905"/>
      <c r="L123" s="906"/>
      <c r="M123" s="907"/>
      <c r="N123" s="810"/>
      <c r="O123" s="810"/>
      <c r="P123" s="811"/>
      <c r="Q123" s="843"/>
      <c r="R123" s="710"/>
      <c r="S123" s="710"/>
      <c r="T123" s="710"/>
      <c r="U123" s="710"/>
      <c r="V123" s="710"/>
      <c r="W123" s="710"/>
      <c r="X123" s="710"/>
      <c r="Y123" s="710"/>
      <c r="Z123" s="710"/>
      <c r="AA123" s="710"/>
      <c r="AB123" s="710"/>
      <c r="AC123" s="710"/>
    </row>
    <row r="124" ht="14.75" spans="1:29">
      <c r="A124" s="864"/>
      <c r="B124" s="869"/>
      <c r="C124" s="874">
        <v>100</v>
      </c>
      <c r="D124" s="874">
        <f t="shared" ref="D124:M124" si="30">C124-$K43</f>
        <v>98</v>
      </c>
      <c r="E124" s="874">
        <f t="shared" si="30"/>
        <v>96</v>
      </c>
      <c r="F124" s="874">
        <f t="shared" si="30"/>
        <v>94</v>
      </c>
      <c r="G124" s="874">
        <f t="shared" si="30"/>
        <v>92</v>
      </c>
      <c r="H124" s="874">
        <f t="shared" si="30"/>
        <v>90</v>
      </c>
      <c r="I124" s="874">
        <f t="shared" si="30"/>
        <v>88</v>
      </c>
      <c r="J124" s="874">
        <f t="shared" si="30"/>
        <v>86</v>
      </c>
      <c r="K124" s="874">
        <f t="shared" si="30"/>
        <v>84</v>
      </c>
      <c r="L124" s="874">
        <f t="shared" si="30"/>
        <v>82</v>
      </c>
      <c r="M124" s="911">
        <f t="shared" si="30"/>
        <v>80</v>
      </c>
      <c r="N124" s="904"/>
      <c r="O124" s="904"/>
      <c r="P124" s="811"/>
      <c r="Q124" s="843"/>
      <c r="R124" s="710"/>
      <c r="S124" s="710"/>
      <c r="T124" s="710"/>
      <c r="U124" s="710"/>
      <c r="V124" s="710"/>
      <c r="W124" s="710"/>
      <c r="X124" s="710"/>
      <c r="Y124" s="710"/>
      <c r="Z124" s="710"/>
      <c r="AA124" s="710"/>
      <c r="AB124" s="710"/>
      <c r="AC124" s="710"/>
    </row>
    <row r="125" ht="28.75" spans="1:29">
      <c r="A125" s="898"/>
      <c r="B125" s="867" t="s">
        <v>1213</v>
      </c>
      <c r="C125" s="886" t="s">
        <v>1225</v>
      </c>
      <c r="D125" s="886" t="s">
        <v>1226</v>
      </c>
      <c r="E125" s="886" t="s">
        <v>1227</v>
      </c>
      <c r="F125" s="886" t="s">
        <v>1228</v>
      </c>
      <c r="G125" s="886" t="s">
        <v>1229</v>
      </c>
      <c r="H125" s="887"/>
      <c r="I125" s="887"/>
      <c r="J125" s="887"/>
      <c r="K125" s="926"/>
      <c r="L125" s="927"/>
      <c r="M125" s="928"/>
      <c r="N125" s="810"/>
      <c r="O125" s="810"/>
      <c r="P125" s="915"/>
      <c r="Q125" s="843"/>
      <c r="R125" s="710"/>
      <c r="S125" s="710"/>
      <c r="T125" s="710"/>
      <c r="U125" s="710"/>
      <c r="V125" s="710"/>
      <c r="W125" s="710"/>
      <c r="X125" s="710"/>
      <c r="Y125" s="710"/>
      <c r="Z125" s="710"/>
      <c r="AA125" s="710"/>
      <c r="AB125" s="710"/>
      <c r="AC125" s="710"/>
    </row>
    <row r="126" ht="14.75" spans="1:29">
      <c r="A126" s="864"/>
      <c r="B126" s="869"/>
      <c r="C126" s="874">
        <v>100</v>
      </c>
      <c r="D126" s="874">
        <f>C126-$K44</f>
        <v>98</v>
      </c>
      <c r="E126" s="874">
        <f>D126-$K44</f>
        <v>96</v>
      </c>
      <c r="F126" s="874">
        <f>E126-$K44</f>
        <v>94</v>
      </c>
      <c r="G126" s="874">
        <f>F126-$K44</f>
        <v>92</v>
      </c>
      <c r="H126" s="874"/>
      <c r="I126" s="874"/>
      <c r="J126" s="874"/>
      <c r="K126" s="874"/>
      <c r="L126" s="874"/>
      <c r="M126" s="911"/>
      <c r="N126" s="904"/>
      <c r="O126" s="904"/>
      <c r="P126" s="811"/>
      <c r="Q126" s="843"/>
      <c r="R126" s="710"/>
      <c r="S126" s="710"/>
      <c r="T126" s="710"/>
      <c r="U126" s="710"/>
      <c r="V126" s="710"/>
      <c r="W126" s="710"/>
      <c r="X126" s="710"/>
      <c r="Y126" s="710"/>
      <c r="Z126" s="710"/>
      <c r="AA126" s="710"/>
      <c r="AB126" s="710"/>
      <c r="AC126" s="710"/>
    </row>
    <row r="127" s="570" customFormat="1" ht="14.75" spans="1:29">
      <c r="A127" s="895"/>
      <c r="B127" s="867">
        <f>B45</f>
        <v>111</v>
      </c>
      <c r="C127" s="876"/>
      <c r="D127" s="876"/>
      <c r="E127" s="876"/>
      <c r="F127" s="876"/>
      <c r="G127" s="876"/>
      <c r="H127" s="877"/>
      <c r="I127" s="877"/>
      <c r="J127" s="877"/>
      <c r="K127" s="877"/>
      <c r="L127" s="912"/>
      <c r="M127" s="913"/>
      <c r="N127" s="914"/>
      <c r="O127" s="914"/>
      <c r="P127" s="915"/>
      <c r="Q127" s="947"/>
      <c r="R127" s="948"/>
      <c r="S127" s="948"/>
      <c r="T127" s="948"/>
      <c r="U127" s="948"/>
      <c r="V127" s="948"/>
      <c r="W127" s="948"/>
      <c r="X127" s="948"/>
      <c r="Y127" s="948"/>
      <c r="Z127" s="948"/>
      <c r="AA127" s="948"/>
      <c r="AB127" s="948"/>
      <c r="AC127" s="948"/>
    </row>
    <row r="128" s="570" customFormat="1" ht="14.75" spans="1:29">
      <c r="A128" s="875"/>
      <c r="B128" s="869"/>
      <c r="C128" s="878"/>
      <c r="D128" s="866"/>
      <c r="E128" s="866"/>
      <c r="F128" s="866"/>
      <c r="G128" s="878"/>
      <c r="H128" s="879"/>
      <c r="I128" s="879"/>
      <c r="J128" s="879"/>
      <c r="K128" s="879"/>
      <c r="L128" s="879"/>
      <c r="M128" s="917"/>
      <c r="N128" s="914"/>
      <c r="O128" s="914"/>
      <c r="P128" s="915"/>
      <c r="Q128" s="947"/>
      <c r="R128" s="948"/>
      <c r="S128" s="948"/>
      <c r="T128" s="948"/>
      <c r="U128" s="948"/>
      <c r="V128" s="948"/>
      <c r="W128" s="948"/>
      <c r="X128" s="948"/>
      <c r="Y128" s="948"/>
      <c r="Z128" s="948"/>
      <c r="AA128" s="948"/>
      <c r="AB128" s="948"/>
      <c r="AC128" s="948"/>
    </row>
    <row r="129" ht="14.75" spans="1:29">
      <c r="A129" s="898"/>
      <c r="B129" s="867">
        <f>B46</f>
        <v>111</v>
      </c>
      <c r="C129" s="876"/>
      <c r="D129" s="876"/>
      <c r="E129" s="876"/>
      <c r="F129" s="876"/>
      <c r="G129" s="868"/>
      <c r="H129" s="868"/>
      <c r="I129" s="868"/>
      <c r="J129" s="868"/>
      <c r="K129" s="905"/>
      <c r="L129" s="906"/>
      <c r="M129" s="907"/>
      <c r="N129" s="810"/>
      <c r="O129" s="810"/>
      <c r="P129" s="811"/>
      <c r="Q129" s="843"/>
      <c r="R129" s="710"/>
      <c r="S129" s="710"/>
      <c r="T129" s="710"/>
      <c r="U129" s="710"/>
      <c r="V129" s="710"/>
      <c r="W129" s="710"/>
      <c r="X129" s="710"/>
      <c r="Y129" s="710"/>
      <c r="Z129" s="710"/>
      <c r="AA129" s="710"/>
      <c r="AB129" s="710"/>
      <c r="AC129" s="710"/>
    </row>
    <row r="130" ht="14.75" spans="1:29">
      <c r="A130" s="864"/>
      <c r="B130" s="869"/>
      <c r="C130" s="878"/>
      <c r="D130" s="878"/>
      <c r="E130" s="878"/>
      <c r="F130" s="878"/>
      <c r="G130" s="866"/>
      <c r="H130" s="866"/>
      <c r="I130" s="866"/>
      <c r="J130" s="866"/>
      <c r="K130" s="866"/>
      <c r="L130" s="866"/>
      <c r="M130" s="903"/>
      <c r="N130" s="904"/>
      <c r="O130" s="904"/>
      <c r="P130" s="811"/>
      <c r="Q130" s="843"/>
      <c r="R130" s="710"/>
      <c r="S130" s="710"/>
      <c r="T130" s="710"/>
      <c r="U130" s="710"/>
      <c r="V130" s="710"/>
      <c r="W130" s="710"/>
      <c r="X130" s="710"/>
      <c r="Y130" s="710"/>
      <c r="Z130" s="710"/>
      <c r="AA130" s="710"/>
      <c r="AB130" s="710"/>
      <c r="AC130" s="710"/>
    </row>
    <row r="131" ht="14.75" spans="1:29">
      <c r="A131" s="898"/>
      <c r="B131" s="870">
        <f>B47</f>
        <v>111</v>
      </c>
      <c r="C131" s="739"/>
      <c r="D131" s="739"/>
      <c r="E131" s="739"/>
      <c r="F131" s="739"/>
      <c r="G131" s="892"/>
      <c r="H131" s="892"/>
      <c r="I131" s="892"/>
      <c r="J131" s="892"/>
      <c r="K131" s="739"/>
      <c r="L131" s="802"/>
      <c r="M131" s="934"/>
      <c r="N131" s="810"/>
      <c r="O131" s="810"/>
      <c r="P131" s="811"/>
      <c r="Q131" s="843"/>
      <c r="R131" s="710"/>
      <c r="S131" s="710"/>
      <c r="T131" s="710"/>
      <c r="U131" s="710"/>
      <c r="V131" s="710"/>
      <c r="W131" s="710"/>
      <c r="X131" s="710"/>
      <c r="Y131" s="710"/>
      <c r="Z131" s="710"/>
      <c r="AA131" s="710"/>
      <c r="AB131" s="710"/>
      <c r="AC131" s="710"/>
    </row>
    <row r="132" ht="14.75" spans="1:29">
      <c r="A132" s="893"/>
      <c r="B132" s="882"/>
      <c r="C132" s="883"/>
      <c r="D132" s="883"/>
      <c r="E132" s="883"/>
      <c r="F132" s="883"/>
      <c r="G132" s="894"/>
      <c r="H132" s="894"/>
      <c r="I132" s="894"/>
      <c r="J132" s="894"/>
      <c r="K132" s="894"/>
      <c r="L132" s="894"/>
      <c r="M132" s="935"/>
      <c r="N132" s="904"/>
      <c r="O132" s="904"/>
      <c r="P132" s="811"/>
      <c r="Q132" s="843"/>
      <c r="R132" s="710"/>
      <c r="S132" s="710"/>
      <c r="T132" s="710"/>
      <c r="U132" s="710"/>
      <c r="V132" s="710"/>
      <c r="W132" s="710"/>
      <c r="X132" s="710"/>
      <c r="Y132" s="710"/>
      <c r="Z132" s="710"/>
      <c r="AA132" s="710"/>
      <c r="AB132" s="710"/>
      <c r="AC132" s="71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85" zoomScaleNormal="70" topLeftCell="A3" workbookViewId="0">
      <selection activeCell="J35" sqref="J35"/>
    </sheetView>
  </sheetViews>
  <sheetFormatPr defaultColWidth="9" defaultRowHeight="12.5"/>
  <cols>
    <col min="1" max="1" width="9" style="385" customWidth="1"/>
    <col min="2" max="2" width="20.6272727272727" style="1365" customWidth="1"/>
    <col min="3" max="3" width="11.8727272727273" style="1365"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2087" customWidth="1"/>
    <col min="12" max="12" width="16.3727272727273" style="385" customWidth="1"/>
    <col min="13" max="13" width="13" style="385" customWidth="1"/>
    <col min="14" max="14" width="13.7545454545455" style="1180" customWidth="1"/>
    <col min="15" max="15" width="5.12727272727273" style="1180" customWidth="1"/>
    <col min="16" max="16" width="25.7545454545455" style="1180" customWidth="1"/>
    <col min="17" max="17" width="13.7545454545455" style="1180" customWidth="1"/>
    <col min="18" max="18" width="20.5" style="1180" customWidth="1"/>
    <col min="19" max="19" width="13.2545454545455" style="1180" customWidth="1"/>
    <col min="20" max="37" width="9" style="1180"/>
    <col min="38" max="16384" width="9" style="385"/>
  </cols>
  <sheetData>
    <row r="1" s="2085" customFormat="1" ht="21" spans="1:37">
      <c r="A1" s="2088" t="s">
        <v>1240</v>
      </c>
      <c r="B1" s="1601"/>
      <c r="C1" s="2089" t="s">
        <v>553</v>
      </c>
      <c r="D1" s="2090" t="s">
        <v>124</v>
      </c>
      <c r="E1" s="2091" t="s">
        <v>1241</v>
      </c>
      <c r="F1" s="2092">
        <f ca="1">J53</f>
        <v>30.01</v>
      </c>
      <c r="G1" s="2093">
        <f>MATCH(C1,'数据-取费表'!A6:A16,0)+5</f>
        <v>6</v>
      </c>
      <c r="H1" s="2094"/>
      <c r="I1" s="2260"/>
      <c r="J1" s="2260"/>
      <c r="K1" s="2261"/>
      <c r="L1" s="2260"/>
      <c r="M1" s="2260"/>
      <c r="N1" s="2262"/>
      <c r="O1" s="2262"/>
      <c r="P1" s="2262"/>
      <c r="Q1" s="2262"/>
      <c r="R1" s="2262"/>
      <c r="S1" s="2262"/>
      <c r="T1" s="2262"/>
      <c r="U1" s="2262"/>
      <c r="V1" s="2262"/>
      <c r="W1" s="2262"/>
      <c r="X1" s="2262"/>
      <c r="Y1" s="2262"/>
      <c r="Z1" s="2262"/>
      <c r="AA1" s="2262"/>
      <c r="AB1" s="2262"/>
      <c r="AC1" s="2262"/>
      <c r="AD1" s="2262"/>
      <c r="AE1" s="2262"/>
      <c r="AF1" s="2262"/>
      <c r="AG1" s="2262"/>
      <c r="AH1" s="2262"/>
      <c r="AI1" s="2262"/>
      <c r="AJ1" s="2262"/>
      <c r="AK1" s="2262"/>
    </row>
    <row r="2" ht="18" customHeight="1" spans="1:13">
      <c r="A2" s="1643" t="s">
        <v>1242</v>
      </c>
      <c r="B2" s="2372">
        <f ca="1">C40+J29+L46</f>
        <v>5589</v>
      </c>
      <c r="C2" s="2096" t="s">
        <v>1243</v>
      </c>
      <c r="D2" s="2096"/>
      <c r="E2" s="2098"/>
      <c r="F2" s="2099"/>
      <c r="G2" s="2100"/>
      <c r="H2" s="2101"/>
      <c r="I2" s="2101"/>
      <c r="J2" s="2101"/>
      <c r="K2" s="2263"/>
      <c r="L2" s="2101"/>
      <c r="M2" s="2101"/>
    </row>
    <row r="3" ht="18" customHeight="1" spans="1:13">
      <c r="A3" s="2102" t="s">
        <v>1244</v>
      </c>
      <c r="B3" s="2103">
        <f ca="1">IF(ISERROR(B2*10000/F43),0,ROUND(B2*10000/F43,0))</f>
        <v>18550</v>
      </c>
      <c r="C3" s="2096" t="s">
        <v>1245</v>
      </c>
      <c r="D3" s="2096"/>
      <c r="E3" s="2098"/>
      <c r="F3" s="2099"/>
      <c r="G3" s="2100"/>
      <c r="H3" s="2104" t="s">
        <v>1246</v>
      </c>
      <c r="I3" s="2264"/>
      <c r="J3" s="2264"/>
      <c r="K3" s="2265"/>
      <c r="L3" s="2264"/>
      <c r="M3" s="2264"/>
    </row>
    <row r="4" ht="18" customHeight="1" spans="1:13">
      <c r="A4" s="2105" t="s">
        <v>1247</v>
      </c>
      <c r="B4" s="2106" t="s">
        <v>1248</v>
      </c>
      <c r="C4" s="2106" t="s">
        <v>1249</v>
      </c>
      <c r="D4" s="2106" t="s">
        <v>1250</v>
      </c>
      <c r="E4" s="2107" t="s">
        <v>1251</v>
      </c>
      <c r="F4" s="2108"/>
      <c r="G4" s="1180"/>
      <c r="H4" s="2105" t="s">
        <v>1247</v>
      </c>
      <c r="I4" s="2106" t="s">
        <v>1248</v>
      </c>
      <c r="J4" s="2106" t="s">
        <v>1249</v>
      </c>
      <c r="K4" s="2106" t="s">
        <v>1250</v>
      </c>
      <c r="L4" s="2107" t="s">
        <v>1251</v>
      </c>
      <c r="M4" s="2108"/>
    </row>
    <row r="5" ht="18" customHeight="1" spans="1:13">
      <c r="A5" s="2109">
        <v>1</v>
      </c>
      <c r="B5" s="2110" t="s">
        <v>1252</v>
      </c>
      <c r="C5" s="2111">
        <f ca="1">C6+C10+C12</f>
        <v>356</v>
      </c>
      <c r="D5" s="2112" t="s">
        <v>1253</v>
      </c>
      <c r="E5" s="2113"/>
      <c r="F5" s="2114"/>
      <c r="G5" s="1180"/>
      <c r="H5" s="2109">
        <v>1</v>
      </c>
      <c r="I5" s="2110" t="s">
        <v>1252</v>
      </c>
      <c r="J5" s="2111">
        <f ca="1">J6+J10+J12</f>
        <v>0</v>
      </c>
      <c r="K5" s="2112" t="s">
        <v>1253</v>
      </c>
      <c r="L5" s="2113"/>
      <c r="M5" s="2114"/>
    </row>
    <row r="6" ht="18" customHeight="1" spans="1:13">
      <c r="A6" s="2115" t="s">
        <v>903</v>
      </c>
      <c r="B6" s="2116" t="s">
        <v>1254</v>
      </c>
      <c r="C6" s="2117">
        <f ca="1">ROUND(F6*F8*F7*(1-F9)/10000,0)</f>
        <v>356</v>
      </c>
      <c r="D6" s="2118" t="s">
        <v>1255</v>
      </c>
      <c r="E6" s="2119" t="s">
        <v>1256</v>
      </c>
      <c r="F6" s="2120">
        <f ca="1">INDIRECT("'数据-取费表'!u"&amp;$G$1)</f>
        <v>3.6</v>
      </c>
      <c r="G6" s="1180"/>
      <c r="H6" s="2115" t="s">
        <v>903</v>
      </c>
      <c r="I6" s="2116" t="s">
        <v>1254</v>
      </c>
      <c r="J6" s="2193">
        <f ca="1">ROUND(M6*M8*M7*(1-M9)/10000,0)</f>
        <v>0</v>
      </c>
      <c r="K6" s="2118" t="s">
        <v>1257</v>
      </c>
      <c r="L6" s="2119" t="s">
        <v>1256</v>
      </c>
      <c r="M6" s="2120">
        <f ca="1">INDIRECT("'数据-取费表'!z"&amp;$G$1)</f>
        <v>0</v>
      </c>
    </row>
    <row r="7" ht="18" customHeight="1" spans="1:13">
      <c r="A7" s="2121"/>
      <c r="B7" s="2122"/>
      <c r="C7" s="2123"/>
      <c r="D7" s="2124"/>
      <c r="E7" s="2125" t="s">
        <v>1258</v>
      </c>
      <c r="F7" s="2120">
        <f ca="1">IF(INDIRECT("'数据-取费表'!ah"&amp;$G$1)="",INDIRECT("'数据-取费表'!k"&amp;$G$1),INDIRECT("'数据-取费表'!ah"&amp;$G$1))</f>
        <v>3013</v>
      </c>
      <c r="G7" s="1180"/>
      <c r="H7" s="2126"/>
      <c r="I7" s="2122"/>
      <c r="J7" s="2127"/>
      <c r="K7" s="2124"/>
      <c r="L7" s="2119" t="s">
        <v>1258</v>
      </c>
      <c r="M7" s="2120">
        <f ca="1">F7</f>
        <v>3013</v>
      </c>
    </row>
    <row r="8" ht="18" customHeight="1" spans="1:13">
      <c r="A8" s="2126"/>
      <c r="B8" s="2122"/>
      <c r="C8" s="2127"/>
      <c r="D8" s="2124"/>
      <c r="E8" s="2119" t="s">
        <v>1259</v>
      </c>
      <c r="F8" s="2120">
        <f ca="1">INDIRECT("'数据-取费表'!ai"&amp;$G$1)</f>
        <v>365</v>
      </c>
      <c r="G8" s="1180"/>
      <c r="H8" s="2126"/>
      <c r="I8" s="2122"/>
      <c r="J8" s="2127"/>
      <c r="K8" s="2124"/>
      <c r="L8" s="2119" t="s">
        <v>1259</v>
      </c>
      <c r="M8" s="2120">
        <f ca="1">INDIRECT("'数据-取费表'!ai"&amp;$G$1)</f>
        <v>365</v>
      </c>
    </row>
    <row r="9" ht="18" customHeight="1" spans="1:13">
      <c r="A9" s="2126"/>
      <c r="B9" s="2128"/>
      <c r="C9" s="2127"/>
      <c r="D9" s="2124"/>
      <c r="E9" s="2119" t="s">
        <v>1260</v>
      </c>
      <c r="F9" s="2129">
        <f ca="1">INDIRECT("'数据-取费表'!w"&amp;$G$1)</f>
        <v>0.1</v>
      </c>
      <c r="G9" s="1180"/>
      <c r="H9" s="2126"/>
      <c r="I9" s="2128"/>
      <c r="J9" s="2127"/>
      <c r="K9" s="2124"/>
      <c r="L9" s="2132" t="s">
        <v>1260</v>
      </c>
      <c r="M9" s="2137">
        <f ca="1">INDIRECT("'数据-取费表'!ab"&amp;$G$1)</f>
        <v>0</v>
      </c>
    </row>
    <row r="10" ht="18" customHeight="1" spans="1:13">
      <c r="A10" s="2115" t="s">
        <v>907</v>
      </c>
      <c r="B10" s="2130" t="s">
        <v>1261</v>
      </c>
      <c r="C10" s="1427">
        <f ca="1">ROUND(IF(F10="押一",C6/12*F11,IF(F10="押二",C6/12*2*F11,IF(F10="押三",C6/12*3*F11,C11*F11))),0)</f>
        <v>0</v>
      </c>
      <c r="D10" s="2131" t="s">
        <v>1262</v>
      </c>
      <c r="E10" s="2132" t="s">
        <v>1263</v>
      </c>
      <c r="F10" s="2133" t="s">
        <v>1264</v>
      </c>
      <c r="G10" s="1180"/>
      <c r="H10" s="2115" t="s">
        <v>907</v>
      </c>
      <c r="I10" s="2130" t="s">
        <v>1261</v>
      </c>
      <c r="J10" s="2193">
        <f ca="1">ROUND(IF(M10="押一",J6/12*M11,IF(M10="押二",J6/12*2*M11,IF(M10="押三",J6/12*3*M11,J11*M11))),0)</f>
        <v>0</v>
      </c>
      <c r="K10" s="2131" t="s">
        <v>1262</v>
      </c>
      <c r="L10" s="2132" t="s">
        <v>1263</v>
      </c>
      <c r="M10" s="2133"/>
    </row>
    <row r="11" ht="18" customHeight="1" spans="1:13">
      <c r="A11" s="2134"/>
      <c r="B11" s="2135" t="s">
        <v>1265</v>
      </c>
      <c r="C11" s="2136"/>
      <c r="D11" s="2373"/>
      <c r="E11" s="2132" t="s">
        <v>1266</v>
      </c>
      <c r="F11" s="2137">
        <f ca="1">'数据-取费表'!B39</f>
        <v>0.015</v>
      </c>
      <c r="G11" s="1180"/>
      <c r="H11" s="2138"/>
      <c r="I11" s="2135" t="s">
        <v>1265</v>
      </c>
      <c r="J11" s="2136"/>
      <c r="K11" s="2268"/>
      <c r="L11" s="2132" t="s">
        <v>1266</v>
      </c>
      <c r="M11" s="2269">
        <f ca="1">'数据-取费表'!B39</f>
        <v>0.015</v>
      </c>
    </row>
    <row r="12" ht="18" customHeight="1" spans="1:13">
      <c r="A12" s="2139" t="s">
        <v>954</v>
      </c>
      <c r="B12" s="2140" t="s">
        <v>1267</v>
      </c>
      <c r="C12" s="2141"/>
      <c r="D12" s="2142"/>
      <c r="E12" s="2143"/>
      <c r="F12" s="2144"/>
      <c r="G12" s="1180"/>
      <c r="H12" s="2139" t="s">
        <v>954</v>
      </c>
      <c r="I12" s="2140" t="s">
        <v>1267</v>
      </c>
      <c r="J12" s="2141"/>
      <c r="K12" s="2270"/>
      <c r="L12" s="2143"/>
      <c r="M12" s="2271"/>
    </row>
    <row r="13" ht="18" customHeight="1" spans="1:13">
      <c r="A13" s="2145">
        <v>2</v>
      </c>
      <c r="B13" s="2146" t="s">
        <v>1268</v>
      </c>
      <c r="C13" s="2147">
        <f ca="1">ROUND(C29*F13,0)</f>
        <v>1081</v>
      </c>
      <c r="D13" s="2148" t="s">
        <v>1269</v>
      </c>
      <c r="E13" s="2148" t="s">
        <v>1270</v>
      </c>
      <c r="F13" s="2149">
        <f ca="1">INDIRECT("'数据-取费表'!y"&amp;$G$1)</f>
        <v>0.74</v>
      </c>
      <c r="G13" s="1180"/>
      <c r="H13" s="2145">
        <v>2</v>
      </c>
      <c r="I13" s="2146" t="s">
        <v>1268</v>
      </c>
      <c r="J13" s="2272">
        <f ca="1">ROUND(J14*J15,0)</f>
        <v>0</v>
      </c>
      <c r="K13" s="2171" t="s">
        <v>1269</v>
      </c>
      <c r="L13" s="2273"/>
      <c r="M13" s="2274"/>
    </row>
    <row r="14" ht="18" customHeight="1" spans="1:13">
      <c r="A14" s="2150" t="s">
        <v>926</v>
      </c>
      <c r="B14" s="2119" t="s">
        <v>1271</v>
      </c>
      <c r="C14" s="2151">
        <f ca="1">INDIRECT("'数据-取费表'!m"&amp;$G$1)+INDIRECT("'数据-取费表'!t"&amp;$G$1)</f>
        <v>1055</v>
      </c>
      <c r="D14" s="2152" t="s">
        <v>1272</v>
      </c>
      <c r="E14" s="2153"/>
      <c r="F14" s="2154"/>
      <c r="G14" s="1180"/>
      <c r="H14" s="2150" t="s">
        <v>903</v>
      </c>
      <c r="I14" s="2119" t="s">
        <v>1273</v>
      </c>
      <c r="J14" s="1428">
        <f ca="1">C29</f>
        <v>1461</v>
      </c>
      <c r="K14" s="2275"/>
      <c r="L14" s="2276"/>
      <c r="M14" s="2277"/>
    </row>
    <row r="15" s="2086" customFormat="1" ht="18" customHeight="1" spans="1:37">
      <c r="A15" s="2150" t="s">
        <v>931</v>
      </c>
      <c r="B15" s="2119" t="s">
        <v>1113</v>
      </c>
      <c r="C15" s="1428">
        <f ca="1">ROUND(C14*F15,0)</f>
        <v>32</v>
      </c>
      <c r="D15" s="2155" t="s">
        <v>1274</v>
      </c>
      <c r="E15" s="2155" t="s">
        <v>1275</v>
      </c>
      <c r="F15" s="2156">
        <f>'数据-取费表'!B33</f>
        <v>0.03</v>
      </c>
      <c r="G15" s="2157"/>
      <c r="H15" s="2158" t="s">
        <v>907</v>
      </c>
      <c r="I15" s="2143" t="s">
        <v>1270</v>
      </c>
      <c r="J15" s="2271">
        <f ca="1">INDIRECT("'数据-取费表'!ad"&amp;$G$1)</f>
        <v>0</v>
      </c>
      <c r="K15" s="2278"/>
      <c r="L15" s="2279"/>
      <c r="M15" s="2280"/>
      <c r="N15" s="2157"/>
      <c r="O15" s="2157"/>
      <c r="P15" s="2157"/>
      <c r="Q15" s="2157"/>
      <c r="R15" s="2157"/>
      <c r="S15" s="2157"/>
      <c r="T15" s="2157"/>
      <c r="U15" s="2157"/>
      <c r="V15" s="2157"/>
      <c r="W15" s="2157"/>
      <c r="X15" s="2157"/>
      <c r="Y15" s="2157"/>
      <c r="Z15" s="2157"/>
      <c r="AA15" s="2157"/>
      <c r="AB15" s="2157"/>
      <c r="AC15" s="2157"/>
      <c r="AD15" s="2157"/>
      <c r="AE15" s="2157"/>
      <c r="AF15" s="2157"/>
      <c r="AG15" s="2157"/>
      <c r="AH15" s="2157"/>
      <c r="AI15" s="2157"/>
      <c r="AJ15" s="2157"/>
      <c r="AK15" s="2157"/>
    </row>
    <row r="16" ht="18" customHeight="1" spans="1:13">
      <c r="A16" s="2150" t="s">
        <v>934</v>
      </c>
      <c r="B16" s="2119" t="s">
        <v>1116</v>
      </c>
      <c r="C16" s="1428">
        <f ca="1">ROUND(INDIRECT("'数据-取费表'!m"&amp;$G$1)*F16,0)</f>
        <v>0</v>
      </c>
      <c r="D16" s="2119" t="s">
        <v>1274</v>
      </c>
      <c r="E16" s="2119" t="s">
        <v>1275</v>
      </c>
      <c r="F16" s="2159">
        <f ca="1">IF(INDIRECT("'数据-取费表'!c"&amp;$G$1)="住宅",'数据-取费表'!B34,0)</f>
        <v>0</v>
      </c>
      <c r="G16" s="1180"/>
      <c r="H16" s="2145" t="s">
        <v>1276</v>
      </c>
      <c r="I16" s="2146" t="s">
        <v>1277</v>
      </c>
      <c r="J16" s="2147">
        <f ca="1">ROUND(J17+J22+J23+J24,0)</f>
        <v>7</v>
      </c>
      <c r="K16" s="2171" t="s">
        <v>1278</v>
      </c>
      <c r="L16" s="2172"/>
      <c r="M16" s="2114"/>
    </row>
    <row r="17" s="2086" customFormat="1" ht="18" customHeight="1" spans="1:37">
      <c r="A17" s="2150" t="s">
        <v>1279</v>
      </c>
      <c r="B17" s="2119" t="s">
        <v>1280</v>
      </c>
      <c r="C17" s="1428">
        <f ca="1">ROUND(F17*(F43+INDIRECT("'数据-取费表'!S"&amp;$G$1))/10000,0)</f>
        <v>60</v>
      </c>
      <c r="D17" s="2119" t="s">
        <v>1281</v>
      </c>
      <c r="E17" s="2119" t="s">
        <v>1282</v>
      </c>
      <c r="F17" s="2160">
        <f>'数据-取费表'!B35</f>
        <v>200</v>
      </c>
      <c r="G17" s="2157"/>
      <c r="H17" s="2150" t="s">
        <v>903</v>
      </c>
      <c r="I17" s="2119" t="s">
        <v>1283</v>
      </c>
      <c r="J17" s="2174">
        <f ca="1">ROUND(IF(AND(项目基本情况!B11="自然人",项目基本情况!B10="北京市"),J6*M17/(1+'数据-取费表'!C42),J18+J19+J20),2)</f>
        <v>0</v>
      </c>
      <c r="K17" s="2152" t="s">
        <v>1284</v>
      </c>
      <c r="L17" s="2175" t="s">
        <v>1285</v>
      </c>
      <c r="M17" s="2176" t="str">
        <f ca="1">IF(项目基本情况!B11="企业","",IF('数据-取费表'!B10="住宅",IF(M6*M7*M8/12/(1+'数据-取费表'!F30)&gt;100000,4%,2.5%),IF(M6*M7*M8/12/(1+'数据-取费表'!F30)&gt;100000,12%,7%)))</f>
        <v/>
      </c>
      <c r="N17" s="2157"/>
      <c r="O17" s="2157"/>
      <c r="P17" s="2157"/>
      <c r="Q17" s="2157"/>
      <c r="R17" s="2157"/>
      <c r="S17" s="2157"/>
      <c r="T17" s="2157"/>
      <c r="U17" s="2157"/>
      <c r="V17" s="2157"/>
      <c r="W17" s="2157"/>
      <c r="X17" s="2157"/>
      <c r="Y17" s="2157"/>
      <c r="Z17" s="2157"/>
      <c r="AA17" s="2157"/>
      <c r="AB17" s="2157"/>
      <c r="AC17" s="2157"/>
      <c r="AD17" s="2157"/>
      <c r="AE17" s="2157"/>
      <c r="AF17" s="2157"/>
      <c r="AG17" s="2157"/>
      <c r="AH17" s="2157"/>
      <c r="AI17" s="2157"/>
      <c r="AJ17" s="2157"/>
      <c r="AK17" s="2157"/>
    </row>
    <row r="18" s="2086" customFormat="1" ht="18" customHeight="1" spans="1:37">
      <c r="A18" s="2150" t="s">
        <v>1286</v>
      </c>
      <c r="B18" s="2119" t="s">
        <v>1122</v>
      </c>
      <c r="C18" s="1428">
        <f ca="1">ROUND(C14*F18,0)</f>
        <v>21</v>
      </c>
      <c r="D18" s="2119" t="s">
        <v>1274</v>
      </c>
      <c r="E18" s="2119" t="s">
        <v>1275</v>
      </c>
      <c r="F18" s="2159">
        <f>'数据-取费表'!B36</f>
        <v>0.02</v>
      </c>
      <c r="G18" s="2157"/>
      <c r="H18" s="2150" t="s">
        <v>926</v>
      </c>
      <c r="I18" s="2119" t="s">
        <v>1287</v>
      </c>
      <c r="J18" s="1428">
        <f ca="1">ROUND(J6*M18/(1+'数据-取费表'!C42),2)</f>
        <v>0</v>
      </c>
      <c r="K18" s="2175" t="s">
        <v>1288</v>
      </c>
      <c r="L18" s="2119" t="s">
        <v>1275</v>
      </c>
      <c r="M18" s="2159">
        <f>'数据-取费表'!B41</f>
        <v>0.056</v>
      </c>
      <c r="N18" s="2157"/>
      <c r="O18" s="2157"/>
      <c r="P18" s="2157"/>
      <c r="Q18" s="2157"/>
      <c r="R18" s="2157"/>
      <c r="S18" s="2157"/>
      <c r="T18" s="2157"/>
      <c r="U18" s="2157"/>
      <c r="V18" s="2157"/>
      <c r="W18" s="2157"/>
      <c r="X18" s="2157"/>
      <c r="Y18" s="2157"/>
      <c r="Z18" s="2157"/>
      <c r="AA18" s="2157"/>
      <c r="AB18" s="2157"/>
      <c r="AC18" s="2157"/>
      <c r="AD18" s="2157"/>
      <c r="AE18" s="2157"/>
      <c r="AF18" s="2157"/>
      <c r="AG18" s="2157"/>
      <c r="AH18" s="2157"/>
      <c r="AI18" s="2157"/>
      <c r="AJ18" s="2157"/>
      <c r="AK18" s="2157"/>
    </row>
    <row r="19" ht="18" customHeight="1" spans="1:13">
      <c r="A19" s="2150" t="s">
        <v>903</v>
      </c>
      <c r="B19" s="2119" t="s">
        <v>1289</v>
      </c>
      <c r="C19" s="1428">
        <f ca="1">SUM(C14:C18)</f>
        <v>1168</v>
      </c>
      <c r="D19" s="2161" t="s">
        <v>1290</v>
      </c>
      <c r="E19" s="1430"/>
      <c r="F19" s="2160"/>
      <c r="G19" s="1180"/>
      <c r="H19" s="2150" t="s">
        <v>931</v>
      </c>
      <c r="I19" s="2119" t="s">
        <v>1291</v>
      </c>
      <c r="J19" s="1428">
        <f ca="1">IF(K19="按租金收入计税",ROUND(J6*M19/(1+'数据-取费表'!C42),2),ROUND(C29*M19*0.7,2))</f>
        <v>0</v>
      </c>
      <c r="K19" s="2178" t="s">
        <v>1292</v>
      </c>
      <c r="L19" s="2119" t="s">
        <v>1275</v>
      </c>
      <c r="M19" s="2159">
        <f>IF(K19="按租金收入计税",'数据-取费表'!B51,'数据-取费表'!B50)</f>
        <v>0.12</v>
      </c>
    </row>
    <row r="20" s="2086" customFormat="1" ht="18" customHeight="1" spans="1:37">
      <c r="A20" s="2150" t="s">
        <v>907</v>
      </c>
      <c r="B20" s="2119" t="s">
        <v>1293</v>
      </c>
      <c r="C20" s="1428">
        <f ca="1">ROUND(C19*F20,0)</f>
        <v>23</v>
      </c>
      <c r="D20" s="2162" t="s">
        <v>1294</v>
      </c>
      <c r="E20" s="2119" t="s">
        <v>1275</v>
      </c>
      <c r="F20" s="2159">
        <f>'数据-取费表'!B37</f>
        <v>0.02</v>
      </c>
      <c r="G20" s="2157"/>
      <c r="H20" s="2150" t="s">
        <v>934</v>
      </c>
      <c r="I20" s="2118" t="s">
        <v>1295</v>
      </c>
      <c r="J20" s="2180">
        <f ca="1">ROUND(M20*M21/10000,2)</f>
        <v>0</v>
      </c>
      <c r="K20" s="2181" t="s">
        <v>1296</v>
      </c>
      <c r="L20" s="2119" t="s">
        <v>1297</v>
      </c>
      <c r="M20" s="2165">
        <f>'数据-取费表'!B52</f>
        <v>0</v>
      </c>
      <c r="N20" s="2157"/>
      <c r="O20" s="2157"/>
      <c r="P20" s="2157"/>
      <c r="Q20" s="2157"/>
      <c r="R20" s="2157"/>
      <c r="S20" s="2157"/>
      <c r="T20" s="2157"/>
      <c r="U20" s="2157"/>
      <c r="V20" s="2157"/>
      <c r="W20" s="2157"/>
      <c r="X20" s="2157"/>
      <c r="Y20" s="2157"/>
      <c r="Z20" s="2157"/>
      <c r="AA20" s="2157"/>
      <c r="AB20" s="2157"/>
      <c r="AC20" s="2157"/>
      <c r="AD20" s="2157"/>
      <c r="AE20" s="2157"/>
      <c r="AF20" s="2157"/>
      <c r="AG20" s="2157"/>
      <c r="AH20" s="2157"/>
      <c r="AI20" s="2157"/>
      <c r="AJ20" s="2157"/>
      <c r="AK20" s="2157"/>
    </row>
    <row r="21" s="2086" customFormat="1" ht="18" customHeight="1" spans="1:37">
      <c r="A21" s="2150" t="s">
        <v>954</v>
      </c>
      <c r="B21" s="2119" t="s">
        <v>1298</v>
      </c>
      <c r="C21" s="1428" t="s">
        <v>124</v>
      </c>
      <c r="D21" s="2162" t="s">
        <v>1299</v>
      </c>
      <c r="E21" s="2119" t="s">
        <v>1300</v>
      </c>
      <c r="F21" s="2159">
        <f>'数据-取费表'!B38</f>
        <v>0.02</v>
      </c>
      <c r="G21" s="2157"/>
      <c r="H21" s="2163"/>
      <c r="I21" s="2281"/>
      <c r="J21" s="2184"/>
      <c r="K21" s="2185"/>
      <c r="L21" s="2119" t="s">
        <v>1301</v>
      </c>
      <c r="M21" s="2120">
        <f ca="1">INDIRECT("'数据-取费表'!r"&amp;$G$1)</f>
        <v>0</v>
      </c>
      <c r="N21" s="2157"/>
      <c r="O21" s="2157"/>
      <c r="P21" s="2157"/>
      <c r="Q21" s="2157"/>
      <c r="R21" s="2157"/>
      <c r="S21" s="2157"/>
      <c r="T21" s="2157"/>
      <c r="U21" s="2157"/>
      <c r="V21" s="2157"/>
      <c r="W21" s="2157"/>
      <c r="X21" s="2157"/>
      <c r="Y21" s="2157"/>
      <c r="Z21" s="2157"/>
      <c r="AA21" s="2157"/>
      <c r="AB21" s="2157"/>
      <c r="AC21" s="2157"/>
      <c r="AD21" s="2157"/>
      <c r="AE21" s="2157"/>
      <c r="AF21" s="2157"/>
      <c r="AG21" s="2157"/>
      <c r="AH21" s="2157"/>
      <c r="AI21" s="2157"/>
      <c r="AJ21" s="2157"/>
      <c r="AK21" s="2157"/>
    </row>
    <row r="22" ht="18" customHeight="1" spans="1:13">
      <c r="A22" s="2150" t="s">
        <v>957</v>
      </c>
      <c r="B22" s="2119" t="s">
        <v>1302</v>
      </c>
      <c r="C22" s="1428"/>
      <c r="D22" s="2161" t="str">
        <f>IF(F23&lt;=1,"单利计息。","复利计息。")&amp;"建造成本、管理费用、销售费用产生的利息。"</f>
        <v>复利计息。建造成本、管理费用、销售费用产生的利息。</v>
      </c>
      <c r="E22" s="1430"/>
      <c r="F22" s="2160"/>
      <c r="G22" s="1180"/>
      <c r="H22" s="2150" t="s">
        <v>907</v>
      </c>
      <c r="I22" s="2119" t="s">
        <v>1303</v>
      </c>
      <c r="J22" s="1428">
        <f ca="1">ROUND(J14*M22,2)</f>
        <v>7.31</v>
      </c>
      <c r="K22" s="2175" t="s">
        <v>1304</v>
      </c>
      <c r="L22" s="2119" t="s">
        <v>1275</v>
      </c>
      <c r="M22" s="2187">
        <f ca="1">INDIRECT("'数据-取费表'!Ak"&amp;$G$1)</f>
        <v>0.005</v>
      </c>
    </row>
    <row r="23" s="2086" customFormat="1" ht="18" customHeight="1" spans="1:37">
      <c r="A23" s="2150" t="s">
        <v>926</v>
      </c>
      <c r="B23" s="2119" t="s">
        <v>1305</v>
      </c>
      <c r="C23" s="1428">
        <f ca="1">IF('数据-取费表'!B22&lt;=1,ROUND(C19*F24*F23/2,0)+ROUND(C20*F24*F23/2,0),ROUND(C19*(POWER((1+F24),F23/2)-1),0)+ROUND(C20*(POWER((1+F24),F23/2)-1),0))</f>
        <v>40</v>
      </c>
      <c r="D23" s="2164" t="str">
        <f>IF(F23&lt;=1,"(建造成本+管理费用)×利率×(建设周期÷2)","(建造成本+管理费用)×((1+利率)^(建设周期÷2)-1)")</f>
        <v>(建造成本+管理费用)×((1+利率)^(建设周期÷2)-1)</v>
      </c>
      <c r="E23" s="2119" t="s">
        <v>1306</v>
      </c>
      <c r="F23" s="2165">
        <f>'数据-取费表'!B20</f>
        <v>2</v>
      </c>
      <c r="G23" s="2157"/>
      <c r="H23" s="2150" t="s">
        <v>954</v>
      </c>
      <c r="I23" s="2119" t="s">
        <v>1307</v>
      </c>
      <c r="J23" s="1428">
        <f ca="1">ROUND(J13*M23,2)</f>
        <v>0</v>
      </c>
      <c r="K23" s="2175" t="s">
        <v>1308</v>
      </c>
      <c r="L23" s="2119" t="s">
        <v>1275</v>
      </c>
      <c r="M23" s="2188">
        <f ca="1">INDIRECT("'数据-取费表'!Al"&amp;$G$1)</f>
        <v>0.001</v>
      </c>
      <c r="N23" s="2157"/>
      <c r="O23" s="2157"/>
      <c r="P23" s="2157"/>
      <c r="Q23" s="2157"/>
      <c r="R23" s="2157"/>
      <c r="S23" s="2157"/>
      <c r="T23" s="2157"/>
      <c r="U23" s="2157"/>
      <c r="V23" s="2157"/>
      <c r="W23" s="2157"/>
      <c r="X23" s="2157"/>
      <c r="Y23" s="2157"/>
      <c r="Z23" s="2157"/>
      <c r="AA23" s="2157"/>
      <c r="AB23" s="2157"/>
      <c r="AC23" s="2157"/>
      <c r="AD23" s="2157"/>
      <c r="AE23" s="2157"/>
      <c r="AF23" s="2157"/>
      <c r="AG23" s="2157"/>
      <c r="AH23" s="2157"/>
      <c r="AI23" s="2157"/>
      <c r="AJ23" s="2157"/>
      <c r="AK23" s="2157"/>
    </row>
    <row r="24" s="2086" customFormat="1" ht="18" customHeight="1" spans="1:37">
      <c r="A24" s="2150" t="s">
        <v>931</v>
      </c>
      <c r="B24" s="2119" t="s">
        <v>1309</v>
      </c>
      <c r="C24" s="1428">
        <f ca="1">ROUND(IF('数据-取费表'!B22&lt;=1,F21*F24*F23/2,F21*(POWER((1+F24),F23/2)-1)),4)</f>
        <v>0.0007</v>
      </c>
      <c r="D24" s="2164" t="str">
        <f>IF(F23&lt;=1,"销售费用×利率×(建设周期÷2)","销售费用×((1+利率)^(建设周期÷2)-1)")</f>
        <v>销售费用×((1+利率)^(建设周期÷2)-1)</v>
      </c>
      <c r="E24" s="2119" t="s">
        <v>1310</v>
      </c>
      <c r="F24" s="2166">
        <f ca="1">'数据-取费表'!B40</f>
        <v>0.0335</v>
      </c>
      <c r="G24" s="2157"/>
      <c r="H24" s="2158" t="s">
        <v>957</v>
      </c>
      <c r="I24" s="2143" t="s">
        <v>1293</v>
      </c>
      <c r="J24" s="2167">
        <f ca="1">ROUND(J5*M24,2)</f>
        <v>0</v>
      </c>
      <c r="K24" s="2168" t="s">
        <v>1311</v>
      </c>
      <c r="L24" s="2143" t="s">
        <v>1275</v>
      </c>
      <c r="M24" s="2144">
        <f ca="1">INDIRECT("'数据-取费表'!Am"&amp;$G$1)</f>
        <v>0.005</v>
      </c>
      <c r="N24" s="2157"/>
      <c r="O24" s="2157"/>
      <c r="P24" s="2157"/>
      <c r="Q24" s="2157"/>
      <c r="R24" s="2157"/>
      <c r="S24" s="2157"/>
      <c r="T24" s="2157"/>
      <c r="U24" s="2157"/>
      <c r="V24" s="2157"/>
      <c r="W24" s="2157"/>
      <c r="X24" s="2157"/>
      <c r="Y24" s="2157"/>
      <c r="Z24" s="2157"/>
      <c r="AA24" s="2157"/>
      <c r="AB24" s="2157"/>
      <c r="AC24" s="2157"/>
      <c r="AD24" s="2157"/>
      <c r="AE24" s="2157"/>
      <c r="AF24" s="2157"/>
      <c r="AG24" s="2157"/>
      <c r="AH24" s="2157"/>
      <c r="AI24" s="2157"/>
      <c r="AJ24" s="2157"/>
      <c r="AK24" s="2157"/>
    </row>
    <row r="25" ht="24" customHeight="1" spans="1:13">
      <c r="A25" s="2150" t="s">
        <v>961</v>
      </c>
      <c r="B25" s="2119" t="s">
        <v>1312</v>
      </c>
      <c r="C25" s="1428"/>
      <c r="D25" s="2161" t="s">
        <v>1313</v>
      </c>
      <c r="E25" s="1430"/>
      <c r="F25" s="2160"/>
      <c r="G25" s="1180"/>
      <c r="H25" s="2145" t="s">
        <v>1314</v>
      </c>
      <c r="I25" s="2189" t="s">
        <v>1315</v>
      </c>
      <c r="J25" s="2147">
        <f ca="1">J5-J16</f>
        <v>-7</v>
      </c>
      <c r="K25" s="2190" t="s">
        <v>1316</v>
      </c>
      <c r="L25" s="2191"/>
      <c r="M25" s="2192"/>
    </row>
    <row r="26" ht="13" spans="1:13">
      <c r="A26" s="2150" t="s">
        <v>926</v>
      </c>
      <c r="B26" s="2119" t="s">
        <v>1317</v>
      </c>
      <c r="C26" s="1428">
        <f ca="1">ROUND((C19+C20)*F26,0)</f>
        <v>119</v>
      </c>
      <c r="D26" s="2162" t="s">
        <v>1318</v>
      </c>
      <c r="E26" s="2132" t="s">
        <v>1319</v>
      </c>
      <c r="F26" s="2129">
        <f ca="1">INDIRECT("'数据-取费表'!q"&amp;$G$1)</f>
        <v>0.1</v>
      </c>
      <c r="G26" s="1180"/>
      <c r="H26" s="2109" t="s">
        <v>1320</v>
      </c>
      <c r="I26" s="2110" t="s">
        <v>1321</v>
      </c>
      <c r="J26" s="2193">
        <f ca="1">IF(J5&lt;&gt;0,ROUND(J25*(1-((1+M28)/(1+M26))^M27)/(M26-M28),0),0)</f>
        <v>0</v>
      </c>
      <c r="K26" s="2181" t="s">
        <v>1322</v>
      </c>
      <c r="L26" s="2119" t="s">
        <v>1323</v>
      </c>
      <c r="M26" s="2129">
        <f ca="1">INDIRECT("'数据-取费表'!I"&amp;$G$1)</f>
        <v>0.055</v>
      </c>
    </row>
    <row r="27" ht="18" customHeight="1" spans="1:13">
      <c r="A27" s="2150" t="s">
        <v>931</v>
      </c>
      <c r="B27" s="2119" t="s">
        <v>1324</v>
      </c>
      <c r="C27" s="1428">
        <f ca="1">ROUND(F21*F26,4)</f>
        <v>0.002</v>
      </c>
      <c r="D27" s="2162" t="s">
        <v>1325</v>
      </c>
      <c r="E27" s="2155"/>
      <c r="F27" s="2156"/>
      <c r="G27" s="1180"/>
      <c r="H27" s="2126"/>
      <c r="I27" s="2195"/>
      <c r="J27" s="2127"/>
      <c r="K27" s="2196" t="s">
        <v>1326</v>
      </c>
      <c r="L27" s="2119" t="s">
        <v>1327</v>
      </c>
      <c r="M27" s="2197">
        <f ca="1">INDIRECT("'数据-取费表'!ag"&amp;$G$1)</f>
        <v>0</v>
      </c>
    </row>
    <row r="28" s="2086" customFormat="1" ht="18" customHeight="1" spans="1:37">
      <c r="A28" s="2150" t="s">
        <v>962</v>
      </c>
      <c r="B28" s="2119" t="s">
        <v>1328</v>
      </c>
      <c r="C28" s="1428">
        <f>ROUND(F28/(1+'数据-取费表'!C42),4)</f>
        <v>0.0533</v>
      </c>
      <c r="D28" s="2162" t="s">
        <v>1329</v>
      </c>
      <c r="E28" s="2119" t="s">
        <v>1275</v>
      </c>
      <c r="F28" s="2159">
        <f>'数据-取费表'!B41</f>
        <v>0.056</v>
      </c>
      <c r="G28" s="2157"/>
      <c r="H28" s="2134"/>
      <c r="I28" s="2199"/>
      <c r="J28" s="2147"/>
      <c r="K28" s="2185"/>
      <c r="L28" s="2119" t="s">
        <v>1330</v>
      </c>
      <c r="M28" s="2129">
        <f ca="1">INDIRECT("'数据-取费表'!aa"&amp;$G$1)</f>
        <v>0</v>
      </c>
      <c r="N28" s="2157"/>
      <c r="O28" s="2157"/>
      <c r="P28" s="2157"/>
      <c r="Q28" s="2157"/>
      <c r="R28" s="2157"/>
      <c r="S28" s="2157"/>
      <c r="T28" s="2157"/>
      <c r="U28" s="2157"/>
      <c r="V28" s="2157"/>
      <c r="W28" s="2157"/>
      <c r="X28" s="2157"/>
      <c r="Y28" s="2157"/>
      <c r="Z28" s="2157"/>
      <c r="AA28" s="2157"/>
      <c r="AB28" s="2157"/>
      <c r="AC28" s="2157"/>
      <c r="AD28" s="2157"/>
      <c r="AE28" s="2157"/>
      <c r="AF28" s="2157"/>
      <c r="AG28" s="2157"/>
      <c r="AH28" s="2157"/>
      <c r="AI28" s="2157"/>
      <c r="AJ28" s="2157"/>
      <c r="AK28" s="2157"/>
    </row>
    <row r="29" s="2086" customFormat="1" ht="18" customHeight="1" spans="1:37">
      <c r="A29" s="2158" t="s">
        <v>1147</v>
      </c>
      <c r="B29" s="2143" t="s">
        <v>1331</v>
      </c>
      <c r="C29" s="2167">
        <f ca="1">ROUND((C19+C20+C23+C26)/(1-F21-C24-C27-C28),0)</f>
        <v>1461</v>
      </c>
      <c r="D29" s="2168"/>
      <c r="E29" s="2143"/>
      <c r="F29" s="2169"/>
      <c r="G29" s="2157"/>
      <c r="H29" s="2170" t="s">
        <v>1332</v>
      </c>
      <c r="I29" s="2200" t="s">
        <v>1333</v>
      </c>
      <c r="J29" s="2201">
        <f ca="1">ROUND(J26/(1+F40)^F41,0)</f>
        <v>0</v>
      </c>
      <c r="K29" s="2202" t="s">
        <v>1334</v>
      </c>
      <c r="L29" s="2203"/>
      <c r="M29" s="2204">
        <f ca="1">INDIRECT("'数据-取费表'!k"&amp;$G$1)</f>
        <v>3013</v>
      </c>
      <c r="N29" s="2157"/>
      <c r="O29" s="2157"/>
      <c r="P29" s="2157"/>
      <c r="Q29" s="2157"/>
      <c r="R29" s="2157"/>
      <c r="S29" s="2157"/>
      <c r="T29" s="2157"/>
      <c r="U29" s="2157"/>
      <c r="V29" s="2157"/>
      <c r="W29" s="2157"/>
      <c r="X29" s="2157"/>
      <c r="Y29" s="2157"/>
      <c r="Z29" s="2157"/>
      <c r="AA29" s="2157"/>
      <c r="AB29" s="2157"/>
      <c r="AC29" s="2157"/>
      <c r="AD29" s="2157"/>
      <c r="AE29" s="2157"/>
      <c r="AF29" s="2157"/>
      <c r="AG29" s="2157"/>
      <c r="AH29" s="2157"/>
      <c r="AI29" s="2157"/>
      <c r="AJ29" s="2157"/>
      <c r="AK29" s="2157"/>
    </row>
    <row r="30" ht="18" customHeight="1" spans="1:13">
      <c r="A30" s="2145" t="s">
        <v>1276</v>
      </c>
      <c r="B30" s="2146" t="s">
        <v>1277</v>
      </c>
      <c r="C30" s="2147">
        <f ca="1">ROUND(C31+C36+C37+C38,0)</f>
        <v>70</v>
      </c>
      <c r="D30" s="2171" t="s">
        <v>1278</v>
      </c>
      <c r="E30" s="2172"/>
      <c r="F30" s="2114"/>
      <c r="G30" s="1180"/>
      <c r="H30" s="2173"/>
      <c r="I30" s="2282"/>
      <c r="J30" s="2283"/>
      <c r="K30" s="2284"/>
      <c r="L30" s="2285"/>
      <c r="M30" s="2286"/>
    </row>
    <row r="31" ht="18" customHeight="1" spans="1:13">
      <c r="A31" s="2150" t="s">
        <v>903</v>
      </c>
      <c r="B31" s="2119" t="s">
        <v>1283</v>
      </c>
      <c r="C31" s="2174">
        <f ca="1">ROUND(IF(AND(项目基本情况!B11="自然人",项目基本情况!B10="北京市"),C6*F31/(1+'数据-取费表'!C42),C32+C33+C34),2)</f>
        <v>59.68</v>
      </c>
      <c r="D31" s="2152" t="s">
        <v>1284</v>
      </c>
      <c r="E31" s="2175" t="s">
        <v>1285</v>
      </c>
      <c r="F31" s="2176" t="str">
        <f ca="1">IF(项目基本情况!B11="企业","——",IF(M47="住宅",IF(F6*F7*F8/12/(1+'数据-取费表'!F30)&gt;100000,4%,2.5%),IF(F6*F7*F8/12/(1+'数据-取费表'!F30)&gt;100000,12%,7%)))</f>
        <v>——</v>
      </c>
      <c r="G31" s="1180"/>
      <c r="H31" s="2177" t="s">
        <v>1335</v>
      </c>
      <c r="I31" s="2282"/>
      <c r="J31" s="2283"/>
      <c r="K31" s="2284"/>
      <c r="L31" s="2285"/>
      <c r="M31" s="2286"/>
    </row>
    <row r="32" ht="18" customHeight="1" spans="1:13">
      <c r="A32" s="2150" t="s">
        <v>926</v>
      </c>
      <c r="B32" s="2119" t="s">
        <v>1287</v>
      </c>
      <c r="C32" s="1428">
        <f ca="1">IF(项目基本情况!B11="自然人","——",ROUND(C6*F32/(1+'数据-取费表'!C42),2))</f>
        <v>18.99</v>
      </c>
      <c r="D32" s="2175" t="s">
        <v>1288</v>
      </c>
      <c r="E32" s="2119" t="s">
        <v>1275</v>
      </c>
      <c r="F32" s="2166">
        <f>'数据-取费表'!B41</f>
        <v>0.056</v>
      </c>
      <c r="G32" s="1180"/>
      <c r="H32" s="2173"/>
      <c r="I32" s="2282"/>
      <c r="J32" s="2283"/>
      <c r="K32" s="2284"/>
      <c r="L32" s="2285"/>
      <c r="M32" s="2286"/>
    </row>
    <row r="33" ht="18" customHeight="1" spans="1:13">
      <c r="A33" s="2150" t="s">
        <v>931</v>
      </c>
      <c r="B33" s="2119" t="s">
        <v>1291</v>
      </c>
      <c r="C33" s="1428">
        <f ca="1">IF(项目基本情况!B11="自然人","——",IF(D33="按租金收入计税",ROUND(C6*F33/(1+'数据-取费表'!C42),2),IF(D33="按房产原值计税",ROUND(C29*F33*0.7,2),INDIRECT("'数据-取费表'!Aj"&amp;$G$1))))</f>
        <v>40.69</v>
      </c>
      <c r="D33" s="2178" t="s">
        <v>1292</v>
      </c>
      <c r="E33" s="2119" t="s">
        <v>1275</v>
      </c>
      <c r="F33" s="2159">
        <f>IF(D33="按票据","——",IF(D33="按租金收入计税",'数据-取费表'!B51,'数据-取费表'!B50))</f>
        <v>0.12</v>
      </c>
      <c r="G33" s="1180"/>
      <c r="H33" s="2179"/>
      <c r="I33" s="2282"/>
      <c r="J33" s="2283"/>
      <c r="K33" s="2287"/>
      <c r="L33" s="2179"/>
      <c r="M33" s="2179"/>
    </row>
    <row r="34" ht="18" customHeight="1" spans="1:13">
      <c r="A34" s="2115" t="s">
        <v>934</v>
      </c>
      <c r="B34" s="2118" t="s">
        <v>1295</v>
      </c>
      <c r="C34" s="2180">
        <f ca="1">IF(项目基本情况!B11="自然人","——",ROUND(F34*F35/10000,2))</f>
        <v>0</v>
      </c>
      <c r="D34" s="2181" t="s">
        <v>1296</v>
      </c>
      <c r="E34" s="2119" t="s">
        <v>1297</v>
      </c>
      <c r="F34" s="2165">
        <f>'数据-取费表'!B52</f>
        <v>0</v>
      </c>
      <c r="G34" s="1180"/>
      <c r="H34" s="2173"/>
      <c r="I34" s="2282"/>
      <c r="J34" s="2283"/>
      <c r="K34" s="2288"/>
      <c r="L34" s="2289"/>
      <c r="M34" s="2289"/>
    </row>
    <row r="35" ht="18" customHeight="1" spans="1:13">
      <c r="A35" s="2182"/>
      <c r="B35" s="2183"/>
      <c r="C35" s="2184"/>
      <c r="D35" s="2185"/>
      <c r="E35" s="2119" t="s">
        <v>1301</v>
      </c>
      <c r="F35" s="2120">
        <f ca="1">INDIRECT("'数据-取费表'!r"&amp;$G$1)</f>
        <v>0</v>
      </c>
      <c r="G35" s="1180"/>
      <c r="H35" s="2173"/>
      <c r="I35" s="2282"/>
      <c r="J35" s="2283"/>
      <c r="K35" s="2287"/>
      <c r="L35" s="2179"/>
      <c r="M35" s="2179"/>
    </row>
    <row r="36" ht="18" customHeight="1" spans="1:13">
      <c r="A36" s="2186" t="s">
        <v>907</v>
      </c>
      <c r="B36" s="2119" t="s">
        <v>1303</v>
      </c>
      <c r="C36" s="1428">
        <f ca="1">ROUND(C29*F36,2)</f>
        <v>7.31</v>
      </c>
      <c r="D36" s="2175" t="s">
        <v>1336</v>
      </c>
      <c r="E36" s="2119" t="s">
        <v>1275</v>
      </c>
      <c r="F36" s="2187">
        <f ca="1">INDIRECT("'数据-取费表'!Ak"&amp;$G$1)</f>
        <v>0.005</v>
      </c>
      <c r="G36" s="1180"/>
      <c r="H36" s="2179"/>
      <c r="I36" s="2282"/>
      <c r="J36" s="2283"/>
      <c r="K36" s="2290"/>
      <c r="L36" s="2179"/>
      <c r="M36" s="2179"/>
    </row>
    <row r="37" ht="18" customHeight="1" spans="1:13">
      <c r="A37" s="2150" t="s">
        <v>954</v>
      </c>
      <c r="B37" s="2119" t="s">
        <v>1307</v>
      </c>
      <c r="C37" s="1428">
        <f ca="1">ROUND(C13*F37,2)</f>
        <v>1.08</v>
      </c>
      <c r="D37" s="2175" t="s">
        <v>1308</v>
      </c>
      <c r="E37" s="2119" t="s">
        <v>1275</v>
      </c>
      <c r="F37" s="2188">
        <f ca="1">INDIRECT("'数据-取费表'!Al"&amp;$G$1)</f>
        <v>0.001</v>
      </c>
      <c r="G37" s="1180"/>
      <c r="H37" s="2179"/>
      <c r="I37" s="2282"/>
      <c r="J37" s="2283"/>
      <c r="K37" s="2290"/>
      <c r="L37" s="2179"/>
      <c r="M37" s="2179"/>
    </row>
    <row r="38" ht="18" customHeight="1" spans="1:13">
      <c r="A38" s="2158" t="s">
        <v>957</v>
      </c>
      <c r="B38" s="2143" t="s">
        <v>1293</v>
      </c>
      <c r="C38" s="2167">
        <f ca="1">ROUND(C5*F38,2)</f>
        <v>1.78</v>
      </c>
      <c r="D38" s="2168" t="s">
        <v>1311</v>
      </c>
      <c r="E38" s="2143" t="s">
        <v>1275</v>
      </c>
      <c r="F38" s="2144">
        <f ca="1">INDIRECT("'数据-取费表'!Am"&amp;$G$1)</f>
        <v>0.005</v>
      </c>
      <c r="G38" s="1180"/>
      <c r="H38" s="2179"/>
      <c r="I38" s="2282"/>
      <c r="J38" s="2283"/>
      <c r="K38" s="2291"/>
      <c r="L38" s="2179"/>
      <c r="M38" s="2179"/>
    </row>
    <row r="39" ht="24.6" customHeight="1" spans="1:13">
      <c r="A39" s="2145" t="s">
        <v>1314</v>
      </c>
      <c r="B39" s="2189" t="s">
        <v>1315</v>
      </c>
      <c r="C39" s="2147">
        <f ca="1">C5-C30</f>
        <v>286</v>
      </c>
      <c r="D39" s="2190" t="s">
        <v>1316</v>
      </c>
      <c r="E39" s="2191"/>
      <c r="F39" s="2192"/>
      <c r="G39" s="1180"/>
      <c r="H39" s="2179"/>
      <c r="I39" s="2282"/>
      <c r="J39" s="2283"/>
      <c r="K39" s="2291"/>
      <c r="L39" s="2179"/>
      <c r="M39" s="2179"/>
    </row>
    <row r="40" ht="18" customHeight="1" spans="1:13">
      <c r="A40" s="2109" t="s">
        <v>1320</v>
      </c>
      <c r="B40" s="2110" t="s">
        <v>1337</v>
      </c>
      <c r="C40" s="2193">
        <f ca="1">ROUND(C39*(1-((1+F42)/(1+F40))^F41)/(F40-F42),0)</f>
        <v>5522</v>
      </c>
      <c r="D40" s="2181" t="s">
        <v>1322</v>
      </c>
      <c r="E40" s="2119" t="s">
        <v>1323</v>
      </c>
      <c r="F40" s="2129">
        <f ca="1">INDIRECT("'数据-取费表'!I"&amp;$G$1)</f>
        <v>0.055</v>
      </c>
      <c r="G40" s="1180"/>
      <c r="H40" s="2194"/>
      <c r="I40" s="2282"/>
      <c r="J40" s="2283"/>
      <c r="K40" s="2291"/>
      <c r="L40" s="2194"/>
      <c r="M40" s="2194"/>
    </row>
    <row r="41" ht="18" customHeight="1" spans="1:13">
      <c r="A41" s="2126"/>
      <c r="B41" s="2195"/>
      <c r="C41" s="2127"/>
      <c r="D41" s="2196" t="s">
        <v>1326</v>
      </c>
      <c r="E41" s="2119" t="s">
        <v>1327</v>
      </c>
      <c r="F41" s="2197">
        <f ca="1">IF(INDIRECT("'数据-取费表'!af"&amp;$G$1)=0,INDIRECT("'数据-取费表'!ae"&amp;$G$1),INDIRECT("'数据-取费表'!af"&amp;$G$1))</f>
        <v>30.01</v>
      </c>
      <c r="G41" s="1180"/>
      <c r="H41" s="2198"/>
      <c r="I41" s="2282"/>
      <c r="J41" s="2283"/>
      <c r="K41" s="2290"/>
      <c r="L41" s="2198"/>
      <c r="M41" s="2198"/>
    </row>
    <row r="42" ht="18" customHeight="1" spans="1:13">
      <c r="A42" s="2134"/>
      <c r="B42" s="2199"/>
      <c r="C42" s="2147"/>
      <c r="D42" s="2185"/>
      <c r="E42" s="2119" t="s">
        <v>1330</v>
      </c>
      <c r="F42" s="2129">
        <f ca="1">INDIRECT("'数据-取费表'!v"&amp;$G$1)</f>
        <v>0.025</v>
      </c>
      <c r="G42" s="1180"/>
      <c r="H42" s="2198"/>
      <c r="I42" s="2282"/>
      <c r="J42" s="2283"/>
      <c r="K42" s="2290"/>
      <c r="L42" s="2198"/>
      <c r="M42" s="2198"/>
    </row>
    <row r="43" ht="18" customHeight="1" spans="1:13">
      <c r="A43" s="2170" t="s">
        <v>1332</v>
      </c>
      <c r="B43" s="2200" t="s">
        <v>1338</v>
      </c>
      <c r="C43" s="2201">
        <f ca="1">ROUND(C40*10000/F43,0)</f>
        <v>18327</v>
      </c>
      <c r="D43" s="2202" t="s">
        <v>1339</v>
      </c>
      <c r="E43" s="2203" t="s">
        <v>1340</v>
      </c>
      <c r="F43" s="2204">
        <f ca="1">INDIRECT("'数据-取费表'!k"&amp;$G$1)</f>
        <v>3013</v>
      </c>
      <c r="G43" s="1180"/>
      <c r="H43" s="2198"/>
      <c r="I43" s="2198"/>
      <c r="J43" s="2198"/>
      <c r="K43" s="2290"/>
      <c r="L43" s="2198"/>
      <c r="M43" s="2198"/>
    </row>
    <row r="44" s="1180" customFormat="1" ht="18" customHeight="1" spans="1:11">
      <c r="A44" s="2205"/>
      <c r="B44" s="2205"/>
      <c r="C44" s="2206"/>
      <c r="D44" s="2205"/>
      <c r="E44" s="2205"/>
      <c r="F44" s="2205"/>
      <c r="K44" s="2292"/>
    </row>
    <row r="45" s="1180" customFormat="1" ht="18" customHeight="1" spans="1:18">
      <c r="A45" s="2205"/>
      <c r="B45" s="2205"/>
      <c r="C45" s="2206"/>
      <c r="D45" s="2205"/>
      <c r="E45" s="2205"/>
      <c r="F45" s="2205"/>
      <c r="J45" s="1462"/>
      <c r="O45" s="2379" t="s">
        <v>1341</v>
      </c>
      <c r="P45" s="2194"/>
      <c r="Q45" s="2194"/>
      <c r="R45" s="2194"/>
    </row>
    <row r="46" s="1180" customFormat="1" ht="13.75" spans="1:18">
      <c r="A46" s="2210" t="s">
        <v>1342</v>
      </c>
      <c r="C46" s="2211">
        <f ca="1">C68-C40</f>
        <v>-5638</v>
      </c>
      <c r="D46" s="2212" t="str">
        <f>C2</f>
        <v>万元</v>
      </c>
      <c r="E46" s="2205"/>
      <c r="F46" s="2205"/>
      <c r="I46" s="2294" t="s">
        <v>1343</v>
      </c>
      <c r="J46" s="2295"/>
      <c r="K46" s="2296"/>
      <c r="L46" s="2297">
        <f ca="1">IF(M47="住宅",0,IF(L48&gt;J51,L60,J60))</f>
        <v>67</v>
      </c>
      <c r="O46" s="2298" t="s">
        <v>1344</v>
      </c>
      <c r="P46" s="2299" t="s">
        <v>1345</v>
      </c>
      <c r="Q46" s="2346" t="s">
        <v>1346</v>
      </c>
      <c r="R46" s="2346" t="s">
        <v>1347</v>
      </c>
    </row>
    <row r="47" s="1180" customFormat="1" ht="13.75" spans="1:18">
      <c r="A47" s="2213" t="s">
        <v>1247</v>
      </c>
      <c r="B47" s="2214" t="s">
        <v>1248</v>
      </c>
      <c r="C47" s="2374" t="s">
        <v>1249</v>
      </c>
      <c r="D47" s="2214" t="s">
        <v>1250</v>
      </c>
      <c r="E47" s="2215" t="s">
        <v>1251</v>
      </c>
      <c r="F47" s="1421"/>
      <c r="G47" s="2216"/>
      <c r="I47" s="2300" t="s">
        <v>1348</v>
      </c>
      <c r="J47" s="2301" t="s">
        <v>1349</v>
      </c>
      <c r="K47" s="2302" t="s">
        <v>1350</v>
      </c>
      <c r="L47" s="2303">
        <f ca="1">INDIRECT("'数据-取费表'!d"&amp;$G$1)</f>
        <v>50</v>
      </c>
      <c r="M47" s="2304" t="str">
        <f>IF(ISNUMBER(FIND("住宅",C1)),"住宅","非住宅")</f>
        <v>非住宅</v>
      </c>
      <c r="O47" s="2305" t="s">
        <v>1011</v>
      </c>
      <c r="P47" s="2306" t="s">
        <v>1351</v>
      </c>
      <c r="Q47" s="2347">
        <f ca="1">C40+J29</f>
        <v>5522</v>
      </c>
      <c r="R47" s="2347" t="s">
        <v>1352</v>
      </c>
    </row>
    <row r="48" s="1180" customFormat="1" ht="42.75" spans="1:18">
      <c r="A48" s="2217" t="s">
        <v>1353</v>
      </c>
      <c r="B48" s="2110" t="s">
        <v>1252</v>
      </c>
      <c r="C48" s="1429">
        <f ca="1">C49+C53+C55</f>
        <v>0</v>
      </c>
      <c r="D48" s="2218"/>
      <c r="E48" s="2219"/>
      <c r="F48" s="2220"/>
      <c r="G48" s="2216"/>
      <c r="H48" s="2221"/>
      <c r="I48" s="2307" t="s">
        <v>1354</v>
      </c>
      <c r="J48" s="2308" t="s">
        <v>1355</v>
      </c>
      <c r="K48" s="2309" t="s">
        <v>1356</v>
      </c>
      <c r="L48" s="2310">
        <f ca="1">INDIRECT("'数据-取费表'!f"&amp;$G$1)</f>
        <v>30.01</v>
      </c>
      <c r="O48" s="2305" t="s">
        <v>1014</v>
      </c>
      <c r="P48" s="2306" t="s">
        <v>1357</v>
      </c>
      <c r="Q48" s="2347">
        <f ca="1">J60</f>
        <v>67</v>
      </c>
      <c r="R48" s="2347" t="s">
        <v>1358</v>
      </c>
    </row>
    <row r="49" s="1180" customFormat="1" ht="13.75" spans="1:18">
      <c r="A49" s="2222" t="s">
        <v>1359</v>
      </c>
      <c r="B49" s="2223" t="s">
        <v>1360</v>
      </c>
      <c r="C49" s="2224">
        <f ca="1">ROUND(F49*F51*F50*(1-F52)/10000,0)</f>
        <v>0</v>
      </c>
      <c r="D49" s="2225" t="s">
        <v>1257</v>
      </c>
      <c r="E49" s="2226" t="s">
        <v>1361</v>
      </c>
      <c r="F49" s="2227"/>
      <c r="G49" s="2228"/>
      <c r="H49" s="2221"/>
      <c r="I49" s="2307" t="s">
        <v>1362</v>
      </c>
      <c r="J49" s="2311">
        <v>2001</v>
      </c>
      <c r="K49" s="2309" t="s">
        <v>1363</v>
      </c>
      <c r="L49" s="2312"/>
      <c r="O49" s="2313" t="s">
        <v>1364</v>
      </c>
      <c r="P49" s="2306" t="s">
        <v>1365</v>
      </c>
      <c r="Q49" s="2347">
        <f ca="1">C29</f>
        <v>1461</v>
      </c>
      <c r="R49" s="2347" t="s">
        <v>1352</v>
      </c>
    </row>
    <row r="50" s="1180" customFormat="1" ht="13.75" spans="1:18">
      <c r="A50" s="2229"/>
      <c r="B50" s="2230"/>
      <c r="C50" s="2375"/>
      <c r="D50" s="2232"/>
      <c r="E50" s="2233" t="s">
        <v>1258</v>
      </c>
      <c r="F50" s="2234">
        <f ca="1">F7</f>
        <v>3013</v>
      </c>
      <c r="H50" s="2221"/>
      <c r="I50" s="2307" t="s">
        <v>1366</v>
      </c>
      <c r="J50" s="2314">
        <f>SUMPRODUCT((I63:I65=J47)*(J62:L62=J48)*(J63:L65))</f>
        <v>60</v>
      </c>
      <c r="K50" s="2309" t="s">
        <v>1367</v>
      </c>
      <c r="L50" s="2312"/>
      <c r="M50" s="2315"/>
      <c r="O50" s="2313" t="s">
        <v>1368</v>
      </c>
      <c r="P50" s="2306" t="s">
        <v>1369</v>
      </c>
      <c r="Q50" s="2348">
        <f ca="1">J58</f>
        <v>0.4</v>
      </c>
      <c r="R50" s="2347"/>
    </row>
    <row r="51" s="1180" customFormat="1" ht="13.75" spans="1:18">
      <c r="A51" s="2235"/>
      <c r="B51" s="2230"/>
      <c r="C51" s="2231"/>
      <c r="D51" s="2232"/>
      <c r="E51" s="2236" t="s">
        <v>1259</v>
      </c>
      <c r="F51" s="2120">
        <f ca="1">F8</f>
        <v>365</v>
      </c>
      <c r="I51" s="2316" t="s">
        <v>1370</v>
      </c>
      <c r="J51" s="2317">
        <f>IF(J49="",J50,J49+J50-YEAR('数据-取费表'!B2))</f>
        <v>37</v>
      </c>
      <c r="K51" s="2318" t="s">
        <v>1371</v>
      </c>
      <c r="L51" s="2319">
        <f ca="1">ROUND(-PV(INDIRECT("'数据-取费表'!h"&amp;$G$1),J51,(C39-C13*C76),0),0)</f>
        <v>3515</v>
      </c>
      <c r="M51" s="2320"/>
      <c r="O51" s="2313" t="s">
        <v>1372</v>
      </c>
      <c r="P51" s="2306" t="s">
        <v>1373</v>
      </c>
      <c r="Q51" s="2348">
        <f>J52</f>
        <v>0.075</v>
      </c>
      <c r="R51" s="2347"/>
    </row>
    <row r="52" s="1180" customFormat="1" ht="13.75" spans="1:18">
      <c r="A52" s="2235"/>
      <c r="B52" s="2230"/>
      <c r="C52" s="2231"/>
      <c r="D52" s="2232"/>
      <c r="E52" s="2236" t="s">
        <v>1260</v>
      </c>
      <c r="F52" s="2237"/>
      <c r="I52" s="2321" t="s">
        <v>1374</v>
      </c>
      <c r="J52" s="2322">
        <v>0.075</v>
      </c>
      <c r="K52" s="2321" t="s">
        <v>1375</v>
      </c>
      <c r="L52" s="2322"/>
      <c r="O52" s="2313" t="s">
        <v>1376</v>
      </c>
      <c r="P52" s="2306" t="s">
        <v>1377</v>
      </c>
      <c r="Q52" s="2347">
        <f ca="1">J53</f>
        <v>30.01</v>
      </c>
      <c r="R52" s="2347" t="s">
        <v>1378</v>
      </c>
    </row>
    <row r="53" s="1180" customFormat="1" ht="26.75" spans="1:18">
      <c r="A53" s="2376" t="s">
        <v>1379</v>
      </c>
      <c r="B53" s="2377" t="s">
        <v>1261</v>
      </c>
      <c r="C53" s="1427">
        <f ca="1">ROUND(IF(F53="押一",C49/12*F11,IF(F53="押二",C49/12*2*F11,IF(F53="押三",C49/12*3*F11,C54*F11))),0)</f>
        <v>0</v>
      </c>
      <c r="D53" s="2131" t="s">
        <v>1262</v>
      </c>
      <c r="E53" s="2132" t="s">
        <v>1263</v>
      </c>
      <c r="F53" s="2133"/>
      <c r="I53" s="2323" t="s">
        <v>1380</v>
      </c>
      <c r="J53" s="2324">
        <f ca="1">IF(M47="住宅",IF(D1="——",MAX(J51,L48),MAX(J51,L48-'数据-取费表'!B24)),IF(D1="——",MIN(J51,L48),MIN(J51,L48-'数据-取费表'!B24)))</f>
        <v>30.01</v>
      </c>
      <c r="K53" s="2325" t="s">
        <v>1381</v>
      </c>
      <c r="L53" s="2326"/>
      <c r="O53" s="2305" t="s">
        <v>1115</v>
      </c>
      <c r="P53" s="2306" t="s">
        <v>1382</v>
      </c>
      <c r="Q53" s="2347">
        <f ca="1">Q47+Q48</f>
        <v>5589</v>
      </c>
      <c r="R53" s="2347" t="s">
        <v>1383</v>
      </c>
    </row>
    <row r="54" s="1180" customFormat="1" ht="26.75" spans="1:18">
      <c r="A54" s="2378"/>
      <c r="B54" s="2135" t="s">
        <v>1265</v>
      </c>
      <c r="C54" s="2136"/>
      <c r="D54" s="2131"/>
      <c r="E54" s="2240"/>
      <c r="F54" s="2241"/>
      <c r="I54" s="23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28"/>
      <c r="K54" s="2328"/>
      <c r="L54" s="2328"/>
      <c r="M54" s="2228"/>
      <c r="O54" s="2293" t="s">
        <v>1384</v>
      </c>
      <c r="P54" s="2329"/>
      <c r="Q54" s="2329"/>
      <c r="R54" s="2329"/>
    </row>
    <row r="55" s="1180" customFormat="1" ht="13.75" spans="1:18">
      <c r="A55" s="2139" t="s">
        <v>954</v>
      </c>
      <c r="B55" s="2140" t="s">
        <v>1267</v>
      </c>
      <c r="C55" s="2141"/>
      <c r="D55" s="2131"/>
      <c r="E55" s="2240"/>
      <c r="F55" s="2241"/>
      <c r="I55" s="2330" t="s">
        <v>1385</v>
      </c>
      <c r="J55" s="2331">
        <f ca="1">ROUND(IF(J47="钢混",J57/J50,1-(1-2%)*(J50-J57)/J50),3)</f>
        <v>0.117</v>
      </c>
      <c r="K55" s="2332" t="s">
        <v>1386</v>
      </c>
      <c r="L55" s="2333"/>
      <c r="O55" s="2298" t="s">
        <v>1344</v>
      </c>
      <c r="P55" s="2299" t="s">
        <v>1345</v>
      </c>
      <c r="Q55" s="2346" t="s">
        <v>1346</v>
      </c>
      <c r="R55" s="2346" t="s">
        <v>1347</v>
      </c>
    </row>
    <row r="56" s="1180" customFormat="1" ht="40.5" spans="1:18">
      <c r="A56" s="2242">
        <v>2</v>
      </c>
      <c r="B56" s="2243" t="s">
        <v>1268</v>
      </c>
      <c r="C56" s="429">
        <f ca="1">C13</f>
        <v>1081</v>
      </c>
      <c r="D56" s="2244"/>
      <c r="E56" s="2245"/>
      <c r="F56" s="2241"/>
      <c r="I56" s="2334" t="s">
        <v>1387</v>
      </c>
      <c r="J56" s="2335" t="s">
        <v>1388</v>
      </c>
      <c r="K56" s="2307" t="s">
        <v>1389</v>
      </c>
      <c r="L56" s="2310" t="str">
        <f ca="1">IF(L48&lt;J51,"——",L48-J53)</f>
        <v>——</v>
      </c>
      <c r="O56" s="2305" t="s">
        <v>1011</v>
      </c>
      <c r="P56" s="2306" t="s">
        <v>1351</v>
      </c>
      <c r="Q56" s="2347">
        <f ca="1">C40+J29</f>
        <v>5522</v>
      </c>
      <c r="R56" s="2347" t="s">
        <v>1352</v>
      </c>
    </row>
    <row r="57" s="1180" customFormat="1" ht="26.75" spans="1:18">
      <c r="A57" s="2246"/>
      <c r="B57" s="2247" t="s">
        <v>1331</v>
      </c>
      <c r="C57" s="439">
        <f ca="1">C29</f>
        <v>1461</v>
      </c>
      <c r="D57" s="2248"/>
      <c r="E57" s="2249"/>
      <c r="F57" s="2250"/>
      <c r="I57" s="2336" t="s">
        <v>1390</v>
      </c>
      <c r="J57" s="2337">
        <f ca="1">IF(OR(M47="住宅",J51&lt;L48,J56="是"),"——",J51-L48)</f>
        <v>6.99</v>
      </c>
      <c r="K57" s="2307" t="s">
        <v>1391</v>
      </c>
      <c r="L57" s="2310" t="str">
        <f ca="1">IF(L48&lt;J51,"——",IF(L55="比较法",L49,IF(L55="基准地价",L50,L51)))</f>
        <v>——</v>
      </c>
      <c r="O57" s="2305" t="s">
        <v>1014</v>
      </c>
      <c r="P57" s="2306" t="s">
        <v>1392</v>
      </c>
      <c r="Q57" s="2347">
        <f ca="1">L60</f>
        <v>0</v>
      </c>
      <c r="R57" s="2347" t="s">
        <v>1393</v>
      </c>
    </row>
    <row r="58" s="1180" customFormat="1" ht="26.75" spans="1:18">
      <c r="A58" s="2251" t="s">
        <v>1276</v>
      </c>
      <c r="B58" s="2243" t="s">
        <v>1277</v>
      </c>
      <c r="C58" s="1427">
        <f ca="1">ROUND(C59+C64+C65+C66,0)</f>
        <v>8</v>
      </c>
      <c r="D58" s="2252" t="s">
        <v>1278</v>
      </c>
      <c r="E58" s="2253"/>
      <c r="F58" s="2220"/>
      <c r="I58" s="2336" t="s">
        <v>1394</v>
      </c>
      <c r="J58" s="2338">
        <f ca="1">IF(J55&lt;0.4,0.4,J55)</f>
        <v>0.4</v>
      </c>
      <c r="K58" s="2318" t="s">
        <v>1395</v>
      </c>
      <c r="L58" s="2310" t="e">
        <f ca="1">ROUND(POWER(1+L52,L47-L48)*(POWER(1+L52,L48)-1)/(POWER(1+L52,L47)-1),4)</f>
        <v>#DIV/0!</v>
      </c>
      <c r="O58" s="2313" t="s">
        <v>1364</v>
      </c>
      <c r="P58" s="2306" t="s">
        <v>1396</v>
      </c>
      <c r="Q58" s="2347">
        <f>IF(L55="比较法",L49,IF(L55="基准地价",L50,0))</f>
        <v>0</v>
      </c>
      <c r="R58" s="2347" t="s">
        <v>1352</v>
      </c>
    </row>
    <row r="59" s="1180" customFormat="1" ht="26.75" spans="1:18">
      <c r="A59" s="2150" t="s">
        <v>903</v>
      </c>
      <c r="B59" s="2247" t="s">
        <v>1283</v>
      </c>
      <c r="C59" s="2174">
        <f ca="1">ROUND(IF(AND(项目基本情况!B11="自然人",项目基本情况!B10="北京市"),C49*F59/(1+'数据-取费表'!C42),C60+C61+C62),0)</f>
        <v>0</v>
      </c>
      <c r="D59" s="2254" t="s">
        <v>1284</v>
      </c>
      <c r="E59" s="2255" t="s">
        <v>1285</v>
      </c>
      <c r="F59" s="2176" t="str">
        <f ca="1">IF(项目基本情况!B11="企业","——",IF('数据-取费表'!B10="住宅",IF(F49*F50*F51/12/(1+'数据-取费表'!F30)&gt;100000,4%,2.5%),IF(F49*F50*F51/12/(1+'数据-取费表'!F30)&gt;100000,12%,7%)))</f>
        <v>——</v>
      </c>
      <c r="I59" s="2336" t="s">
        <v>1397</v>
      </c>
      <c r="J59" s="2337">
        <f ca="1">IF(OR(M47="住宅",J51&lt;L48,J56="是"),"——",ROUND(C29*J58,0))</f>
        <v>584</v>
      </c>
      <c r="K59" s="23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0" t="e">
        <f ca="1">ROUND(IF(D1="在建（套用方法）",M59,IF(D1="土地（套用方法）",N59,POWER(1+L52,L47-J51)*(POWER(1+L52,J51)-1)/(POWER(1+L52,L47)-1))),4)</f>
        <v>#DIV/0!</v>
      </c>
      <c r="M59" s="2304" t="e">
        <f ca="1">ROUND(POWER(1+L52,L47-(J51+'数据-取费表'!B24))*(POWER(1+L52,(J51+'数据-取费表'!B24))-1)/(POWER(1+L52,L47)-1),4)</f>
        <v>#DIV/0!</v>
      </c>
      <c r="N59" s="2304" t="e">
        <f ca="1">ROUND(POWER(1+L52,L47-(J51+'数据-取费表'!B20))*(POWER(1+L52,(J51+'数据-取费表'!B20))-1)/(POWER(1+L52,L47)-1),4)</f>
        <v>#DIV/0!</v>
      </c>
      <c r="O59" s="2313" t="s">
        <v>1368</v>
      </c>
      <c r="P59" s="2306" t="s">
        <v>1398</v>
      </c>
      <c r="Q59" s="2348">
        <f>L52</f>
        <v>0</v>
      </c>
      <c r="R59" s="2347"/>
    </row>
    <row r="60" s="1180" customFormat="1" ht="16.75" spans="1:18">
      <c r="A60" s="2150" t="s">
        <v>926</v>
      </c>
      <c r="B60" s="2247" t="s">
        <v>1287</v>
      </c>
      <c r="C60" s="1428">
        <f ca="1">IF(项目基本情况!B11="自然人","——",ROUND(C48*F60/(1+'数据-取费表'!C42),2))</f>
        <v>0</v>
      </c>
      <c r="D60" s="2255" t="s">
        <v>1288</v>
      </c>
      <c r="E60" s="2247" t="s">
        <v>1275</v>
      </c>
      <c r="F60" s="2166">
        <f t="shared" ref="F60:F66" si="0">F32</f>
        <v>0.056</v>
      </c>
      <c r="I60" s="2339" t="s">
        <v>1399</v>
      </c>
      <c r="J60" s="2340">
        <f ca="1">IF(OR(M47="住宅",J51&lt;L48,J56="是"),"0",ROUND(J59/(1+J52)^J53,0))</f>
        <v>67</v>
      </c>
      <c r="K60" s="2341" t="s">
        <v>1400</v>
      </c>
      <c r="L60" s="2340">
        <f ca="1">IF(OR(M47="住宅",L48&lt;J51),0,ROUND(L57*(L58/L59-1),0))</f>
        <v>0</v>
      </c>
      <c r="O60" s="2313" t="s">
        <v>1372</v>
      </c>
      <c r="P60" s="2306" t="s">
        <v>1401</v>
      </c>
      <c r="Q60" s="2347" t="e">
        <f ca="1">L58</f>
        <v>#DIV/0!</v>
      </c>
      <c r="R60" s="2347" t="s">
        <v>1402</v>
      </c>
    </row>
    <row r="61" s="1180" customFormat="1" ht="13.75" spans="1:18">
      <c r="A61" s="2150" t="s">
        <v>931</v>
      </c>
      <c r="B61" s="2247" t="s">
        <v>1291</v>
      </c>
      <c r="C61" s="1428">
        <f ca="1">IF(项目基本情况!B11="自然人","——",IF(D61="按租金收入计税",ROUND(C49*F61/(1+'数据-取费表'!C42),2),IF(D61="按房产原值计税",ROUND(C57*F61*0.7,2),INDIRECT("'数据-取费表'!Aj"&amp;$G$1))))</f>
        <v>0</v>
      </c>
      <c r="D61" s="2178" t="s">
        <v>1292</v>
      </c>
      <c r="E61" s="2247" t="s">
        <v>1275</v>
      </c>
      <c r="F61" s="2159">
        <f t="shared" si="0"/>
        <v>0.12</v>
      </c>
      <c r="I61" s="2194"/>
      <c r="J61" s="2194"/>
      <c r="K61" s="2194"/>
      <c r="L61" s="2194"/>
      <c r="O61" s="2313" t="s">
        <v>1376</v>
      </c>
      <c r="P61" s="2306" t="str">
        <f>K59</f>
        <v>建筑物剩余耐用年限下的土地年期修正系数Kn</v>
      </c>
      <c r="Q61" s="2347" t="e">
        <f ca="1">L59</f>
        <v>#DIV/0!</v>
      </c>
      <c r="R61" s="2347" t="s">
        <v>1403</v>
      </c>
    </row>
    <row r="62" s="1180" customFormat="1" ht="13.75" spans="1:18">
      <c r="A62" s="2150" t="s">
        <v>934</v>
      </c>
      <c r="B62" s="2256" t="s">
        <v>1295</v>
      </c>
      <c r="C62" s="2180">
        <f ca="1">IF(项目基本情况!B11="自然人","——",ROUND(F62*F63/10000,2))</f>
        <v>0</v>
      </c>
      <c r="D62" s="2257" t="s">
        <v>1296</v>
      </c>
      <c r="E62" s="2247" t="s">
        <v>1297</v>
      </c>
      <c r="F62" s="2165">
        <f t="shared" si="0"/>
        <v>0</v>
      </c>
      <c r="I62" s="2342" t="s">
        <v>1404</v>
      </c>
      <c r="J62" s="2343" t="s">
        <v>1405</v>
      </c>
      <c r="K62" s="2343" t="s">
        <v>1406</v>
      </c>
      <c r="L62" s="2343" t="s">
        <v>1407</v>
      </c>
      <c r="M62" s="2344" t="s">
        <v>1408</v>
      </c>
      <c r="O62" s="2305" t="s">
        <v>1115</v>
      </c>
      <c r="P62" s="2306" t="s">
        <v>1382</v>
      </c>
      <c r="Q62" s="2347">
        <f ca="1">Q56+Q57</f>
        <v>5522</v>
      </c>
      <c r="R62" s="2347" t="s">
        <v>1383</v>
      </c>
    </row>
    <row r="63" s="1180" customFormat="1" ht="13.75" spans="1:18">
      <c r="A63" s="2163"/>
      <c r="B63" s="2258"/>
      <c r="C63" s="2184"/>
      <c r="D63" s="2259"/>
      <c r="E63" s="2247" t="s">
        <v>1301</v>
      </c>
      <c r="F63" s="2120">
        <f ca="1" t="shared" si="0"/>
        <v>0</v>
      </c>
      <c r="I63" s="2342" t="s">
        <v>1409</v>
      </c>
      <c r="J63" s="2343">
        <v>70</v>
      </c>
      <c r="K63" s="2343">
        <v>50</v>
      </c>
      <c r="L63" s="2343">
        <v>80</v>
      </c>
      <c r="M63" s="2345">
        <v>0.02</v>
      </c>
      <c r="O63" s="2293" t="s">
        <v>1410</v>
      </c>
      <c r="P63" s="2329"/>
      <c r="Q63" s="2329"/>
      <c r="R63" s="2329"/>
    </row>
    <row r="64" s="1180" customFormat="1" ht="13.75" spans="1:18">
      <c r="A64" s="2150" t="s">
        <v>907</v>
      </c>
      <c r="B64" s="2247" t="s">
        <v>1303</v>
      </c>
      <c r="C64" s="1428">
        <f ca="1">ROUND(C57*F64,2)</f>
        <v>7.31</v>
      </c>
      <c r="D64" s="2255" t="s">
        <v>1336</v>
      </c>
      <c r="E64" s="2247" t="s">
        <v>1275</v>
      </c>
      <c r="F64" s="2187">
        <f ca="1" t="shared" si="0"/>
        <v>0.005</v>
      </c>
      <c r="I64" s="2342" t="s">
        <v>1411</v>
      </c>
      <c r="J64" s="2343">
        <v>50</v>
      </c>
      <c r="K64" s="2343">
        <v>35</v>
      </c>
      <c r="L64" s="2343">
        <v>60</v>
      </c>
      <c r="M64" s="2344">
        <v>0</v>
      </c>
      <c r="O64" s="2298" t="s">
        <v>1344</v>
      </c>
      <c r="P64" s="2299" t="s">
        <v>1345</v>
      </c>
      <c r="Q64" s="2346" t="s">
        <v>1346</v>
      </c>
      <c r="R64" s="2346" t="s">
        <v>1347</v>
      </c>
    </row>
    <row r="65" s="1180" customFormat="1" ht="13.75" spans="1:18">
      <c r="A65" s="2150" t="s">
        <v>954</v>
      </c>
      <c r="B65" s="2247" t="s">
        <v>1307</v>
      </c>
      <c r="C65" s="1428">
        <f ca="1">ROUND(C56*F65,2)</f>
        <v>1.08</v>
      </c>
      <c r="D65" s="2255" t="s">
        <v>1308</v>
      </c>
      <c r="E65" s="2247" t="s">
        <v>1275</v>
      </c>
      <c r="F65" s="2188">
        <f ca="1" t="shared" si="0"/>
        <v>0.001</v>
      </c>
      <c r="I65" s="2342" t="s">
        <v>1412</v>
      </c>
      <c r="J65" s="2343">
        <v>40</v>
      </c>
      <c r="K65" s="2343">
        <v>30</v>
      </c>
      <c r="L65" s="2343">
        <v>50</v>
      </c>
      <c r="M65" s="2345">
        <v>0.02</v>
      </c>
      <c r="O65" s="2305" t="s">
        <v>1011</v>
      </c>
      <c r="P65" s="2306" t="s">
        <v>1351</v>
      </c>
      <c r="Q65" s="2347">
        <f ca="1">C40+J29</f>
        <v>5522</v>
      </c>
      <c r="R65" s="2347" t="s">
        <v>1352</v>
      </c>
    </row>
    <row r="66" s="1180" customFormat="1" ht="16.75" spans="1:18">
      <c r="A66" s="2150" t="s">
        <v>957</v>
      </c>
      <c r="B66" s="2247" t="s">
        <v>1293</v>
      </c>
      <c r="C66" s="1428">
        <f ca="1">ROUND(C48*F66,2)</f>
        <v>0</v>
      </c>
      <c r="D66" s="2255" t="s">
        <v>1311</v>
      </c>
      <c r="E66" s="2247" t="s">
        <v>1275</v>
      </c>
      <c r="F66" s="2129">
        <f ca="1" t="shared" si="0"/>
        <v>0.005</v>
      </c>
      <c r="O66" s="2305" t="s">
        <v>1014</v>
      </c>
      <c r="P66" s="2306" t="s">
        <v>1392</v>
      </c>
      <c r="Q66" s="2347">
        <f ca="1">L60</f>
        <v>0</v>
      </c>
      <c r="R66" s="2347" t="s">
        <v>1393</v>
      </c>
    </row>
    <row r="67" s="1180" customFormat="1" ht="26.75" spans="1:18">
      <c r="A67" s="2242" t="s">
        <v>1314</v>
      </c>
      <c r="B67" s="2349" t="s">
        <v>1315</v>
      </c>
      <c r="C67" s="1427">
        <f ca="1">C48-C58</f>
        <v>-8</v>
      </c>
      <c r="D67" s="2254" t="s">
        <v>1316</v>
      </c>
      <c r="E67" s="2350"/>
      <c r="F67" s="2351"/>
      <c r="O67" s="2313" t="s">
        <v>1364</v>
      </c>
      <c r="P67" s="2306" t="s">
        <v>1396</v>
      </c>
      <c r="Q67" s="2371">
        <f ca="1">L51</f>
        <v>3515</v>
      </c>
      <c r="R67" s="2347" t="s">
        <v>1413</v>
      </c>
    </row>
    <row r="68" s="1180" customFormat="1" ht="16.75" spans="1:18">
      <c r="A68" s="2352" t="s">
        <v>1320</v>
      </c>
      <c r="B68" s="2353" t="s">
        <v>1337</v>
      </c>
      <c r="C68" s="2193">
        <f ca="1">ROUND(C67*(1-((1+F70)/(1+F68))^F69)/(F68-F70),0)</f>
        <v>-116</v>
      </c>
      <c r="D68" s="2257" t="s">
        <v>1322</v>
      </c>
      <c r="E68" s="2247" t="s">
        <v>1323</v>
      </c>
      <c r="F68" s="2129">
        <f ca="1">F40</f>
        <v>0.055</v>
      </c>
      <c r="O68" s="2313" t="s">
        <v>1368</v>
      </c>
      <c r="P68" s="2370" t="s">
        <v>1414</v>
      </c>
      <c r="Q68" s="2347">
        <f ca="1">ROUND(Q69-Q70*Q71,0)</f>
        <v>210</v>
      </c>
      <c r="R68" s="2347" t="s">
        <v>1415</v>
      </c>
    </row>
    <row r="69" s="1180" customFormat="1" ht="13.75" spans="1:18">
      <c r="A69" s="2354"/>
      <c r="B69" s="2355"/>
      <c r="C69" s="2127"/>
      <c r="D69" s="2356" t="s">
        <v>1326</v>
      </c>
      <c r="E69" s="2247" t="s">
        <v>1327</v>
      </c>
      <c r="F69" s="2197">
        <f ca="1">F41</f>
        <v>30.01</v>
      </c>
      <c r="O69" s="2313" t="s">
        <v>1416</v>
      </c>
      <c r="P69" s="2370" t="s">
        <v>1417</v>
      </c>
      <c r="Q69" s="2347">
        <f ca="1">C39</f>
        <v>286</v>
      </c>
      <c r="R69" s="2347" t="s">
        <v>1352</v>
      </c>
    </row>
    <row r="70" s="1180" customFormat="1" ht="13.75" spans="1:18">
      <c r="A70" s="2357"/>
      <c r="B70" s="2358"/>
      <c r="C70" s="2147"/>
      <c r="D70" s="2259"/>
      <c r="E70" s="2247" t="s">
        <v>1330</v>
      </c>
      <c r="F70" s="2237"/>
      <c r="O70" s="2313" t="s">
        <v>1418</v>
      </c>
      <c r="P70" s="2370" t="s">
        <v>1419</v>
      </c>
      <c r="Q70" s="2347">
        <f ca="1">C13</f>
        <v>1081</v>
      </c>
      <c r="R70" s="2347" t="s">
        <v>1352</v>
      </c>
    </row>
    <row r="71" s="1180" customFormat="1" ht="13.75" spans="1:18">
      <c r="A71" s="2359" t="s">
        <v>1332</v>
      </c>
      <c r="B71" s="2360" t="s">
        <v>1338</v>
      </c>
      <c r="C71" s="2201">
        <f ca="1">ROUND(C68*10000/F71,0)</f>
        <v>-385</v>
      </c>
      <c r="D71" s="2361" t="s">
        <v>1339</v>
      </c>
      <c r="E71" s="2362" t="s">
        <v>1340</v>
      </c>
      <c r="F71" s="2204">
        <f ca="1">F43</f>
        <v>3013</v>
      </c>
      <c r="O71" s="2313" t="s">
        <v>1420</v>
      </c>
      <c r="P71" s="2370" t="s">
        <v>1421</v>
      </c>
      <c r="Q71" s="2348">
        <f ca="1">C76</f>
        <v>0.07</v>
      </c>
      <c r="R71" s="2347"/>
    </row>
    <row r="72" s="1180" customFormat="1" ht="13.75" spans="2:18">
      <c r="B72" s="1462"/>
      <c r="C72" s="1462"/>
      <c r="O72" s="2313" t="s">
        <v>1372</v>
      </c>
      <c r="P72" s="2306" t="s">
        <v>1398</v>
      </c>
      <c r="Q72" s="2348">
        <f>L52</f>
        <v>0</v>
      </c>
      <c r="R72" s="2347"/>
    </row>
    <row r="73" ht="16.75" spans="1:18">
      <c r="A73" s="1180"/>
      <c r="B73" s="1462"/>
      <c r="C73" s="1462"/>
      <c r="D73" s="1180"/>
      <c r="E73" s="1180"/>
      <c r="F73" s="1180"/>
      <c r="O73" s="2313" t="s">
        <v>1376</v>
      </c>
      <c r="P73" s="2306" t="s">
        <v>1401</v>
      </c>
      <c r="Q73" s="2347" t="e">
        <f ca="1">L58</f>
        <v>#DIV/0!</v>
      </c>
      <c r="R73" s="2347" t="s">
        <v>1402</v>
      </c>
    </row>
    <row r="74" ht="13.75" spans="1:18">
      <c r="A74" s="1180"/>
      <c r="B74" s="474" t="s">
        <v>1422</v>
      </c>
      <c r="C74" s="2363"/>
      <c r="D74" s="1180"/>
      <c r="E74" s="1180"/>
      <c r="F74" s="1180"/>
      <c r="O74" s="2313" t="s">
        <v>1423</v>
      </c>
      <c r="P74" s="2306" t="str">
        <f>K59</f>
        <v>建筑物剩余耐用年限下的土地年期修正系数Kn</v>
      </c>
      <c r="Q74" s="2347" t="e">
        <f ca="1">L59</f>
        <v>#DIV/0!</v>
      </c>
      <c r="R74" s="2347" t="s">
        <v>1403</v>
      </c>
    </row>
    <row r="75" ht="13.75" spans="1:18">
      <c r="A75" s="1180"/>
      <c r="B75" s="2364" t="s">
        <v>1424</v>
      </c>
      <c r="C75" s="2365">
        <f ca="1">ROUND(C13*C76,0)</f>
        <v>76</v>
      </c>
      <c r="D75" s="1180"/>
      <c r="E75" s="1180"/>
      <c r="F75" s="1180"/>
      <c r="K75" s="2292"/>
      <c r="L75" s="1180"/>
      <c r="O75" s="2305" t="s">
        <v>1115</v>
      </c>
      <c r="P75" s="2306" t="s">
        <v>1382</v>
      </c>
      <c r="Q75" s="2347">
        <f ca="1">Q65+Q66</f>
        <v>5522</v>
      </c>
      <c r="R75" s="2347" t="s">
        <v>1383</v>
      </c>
    </row>
    <row r="76" ht="13" spans="2:12">
      <c r="B76" s="959" t="s">
        <v>1425</v>
      </c>
      <c r="C76" s="2366">
        <f ca="1">INDIRECT("'数据-取费表'!j"&amp;$G$1)</f>
        <v>0.07</v>
      </c>
      <c r="I76" s="1180"/>
      <c r="J76" s="1180"/>
      <c r="K76" s="2292"/>
      <c r="L76" s="1180"/>
    </row>
    <row r="77" ht="13" spans="2:12">
      <c r="B77" s="2367" t="s">
        <v>1426</v>
      </c>
      <c r="C77" s="2368"/>
      <c r="I77" s="1180"/>
      <c r="J77" s="1180"/>
      <c r="K77" s="2292"/>
      <c r="L77" s="1180"/>
    </row>
    <row r="78" ht="13" spans="2:3">
      <c r="B78" s="472" t="s">
        <v>1427</v>
      </c>
      <c r="C78" s="2369"/>
    </row>
    <row r="79" ht="13" spans="2:3">
      <c r="B79" s="2364" t="s">
        <v>1428</v>
      </c>
      <c r="C79" s="475">
        <f ca="1">1-C80</f>
        <v>0.734</v>
      </c>
    </row>
    <row r="80" ht="13" spans="2:3">
      <c r="B80" s="2364" t="s">
        <v>1429</v>
      </c>
      <c r="C80" s="475">
        <f ca="1">ROUND(C75/C39,3)</f>
        <v>0.266</v>
      </c>
    </row>
    <row r="81" ht="13" spans="2:3">
      <c r="B81" s="472" t="s">
        <v>1430</v>
      </c>
      <c r="C81" s="439"/>
    </row>
    <row r="82" ht="13" spans="2:3">
      <c r="B82" s="474" t="s">
        <v>1091</v>
      </c>
      <c r="C82" s="476">
        <f ca="1">1-C83</f>
        <v>0.804</v>
      </c>
    </row>
    <row r="83" ht="13" spans="2:3">
      <c r="B83" s="474" t="s">
        <v>1092</v>
      </c>
      <c r="C83" s="475">
        <f ca="1">ROUND(C13/C40,3)</f>
        <v>0.196</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85" customWidth="1"/>
    <col min="2" max="2" width="20.6272727272727" style="1365" customWidth="1"/>
    <col min="3" max="3" width="11.8727272727273" style="1365"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0.1272727272727" style="2087" customWidth="1"/>
    <col min="12" max="12" width="16.3727272727273" style="385" customWidth="1"/>
    <col min="13" max="13" width="13" style="385" customWidth="1"/>
    <col min="14" max="14" width="13.7545454545455" style="1180" customWidth="1"/>
    <col min="15" max="15" width="5.12727272727273" style="1180" customWidth="1"/>
    <col min="16" max="16" width="25.7545454545455" style="1180" customWidth="1"/>
    <col min="17" max="17" width="13.7545454545455" style="1180" customWidth="1"/>
    <col min="18" max="18" width="20.5" style="1180" customWidth="1"/>
    <col min="19" max="19" width="13.2545454545455" style="1180" customWidth="1"/>
    <col min="20" max="37" width="9" style="1180"/>
    <col min="38" max="16384" width="9" style="385"/>
  </cols>
  <sheetData>
    <row r="1" s="2085" customFormat="1" ht="21" spans="1:37">
      <c r="A1" s="2088" t="s">
        <v>1240</v>
      </c>
      <c r="B1" s="1601"/>
      <c r="C1" s="2089"/>
      <c r="D1" s="2090" t="s">
        <v>124</v>
      </c>
      <c r="E1" s="2091" t="s">
        <v>1241</v>
      </c>
      <c r="F1" s="2092">
        <f ca="1">J53</f>
        <v>0</v>
      </c>
      <c r="G1" s="2093">
        <f>MATCH(C1,'数据-取费表'!A6:A16,0)+5</f>
        <v>7</v>
      </c>
      <c r="H1" s="2094"/>
      <c r="I1" s="2260"/>
      <c r="J1" s="2260"/>
      <c r="K1" s="2261"/>
      <c r="L1" s="2260"/>
      <c r="M1" s="2260"/>
      <c r="N1" s="2262"/>
      <c r="O1" s="2262"/>
      <c r="P1" s="2262"/>
      <c r="Q1" s="2262"/>
      <c r="R1" s="2262"/>
      <c r="S1" s="2262"/>
      <c r="T1" s="2262"/>
      <c r="U1" s="2262"/>
      <c r="V1" s="2262"/>
      <c r="W1" s="2262"/>
      <c r="X1" s="2262"/>
      <c r="Y1" s="2262"/>
      <c r="Z1" s="2262"/>
      <c r="AA1" s="2262"/>
      <c r="AB1" s="2262"/>
      <c r="AC1" s="2262"/>
      <c r="AD1" s="2262"/>
      <c r="AE1" s="2262"/>
      <c r="AF1" s="2262"/>
      <c r="AG1" s="2262"/>
      <c r="AH1" s="2262"/>
      <c r="AI1" s="2262"/>
      <c r="AJ1" s="2262"/>
      <c r="AK1" s="2262"/>
    </row>
    <row r="2" ht="18" customHeight="1" spans="1:13">
      <c r="A2" s="1643" t="s">
        <v>1242</v>
      </c>
      <c r="B2" s="2095" t="e">
        <f ca="1">ROUND(D2/10000,4)</f>
        <v>#DIV/0!</v>
      </c>
      <c r="C2" s="2096" t="s">
        <v>1243</v>
      </c>
      <c r="D2" s="2097" t="e">
        <f ca="1">C40+J29+L46</f>
        <v>#DIV/0!</v>
      </c>
      <c r="E2" s="2098" t="s">
        <v>1431</v>
      </c>
      <c r="F2" s="2099"/>
      <c r="G2" s="2100"/>
      <c r="H2" s="2101"/>
      <c r="I2" s="2101"/>
      <c r="J2" s="2101"/>
      <c r="K2" s="2263"/>
      <c r="L2" s="2101"/>
      <c r="M2" s="2101"/>
    </row>
    <row r="3" ht="18" customHeight="1" spans="1:13">
      <c r="A3" s="2102" t="s">
        <v>1244</v>
      </c>
      <c r="B3" s="2103">
        <f ca="1">IF(ISERROR(D2/F43),0,ROUND(D2/F43,0))</f>
        <v>0</v>
      </c>
      <c r="C3" s="2096" t="s">
        <v>1245</v>
      </c>
      <c r="D3" s="2096"/>
      <c r="E3" s="2098"/>
      <c r="F3" s="2099"/>
      <c r="G3" s="2100"/>
      <c r="H3" s="2104" t="s">
        <v>1246</v>
      </c>
      <c r="I3" s="2264"/>
      <c r="J3" s="2264"/>
      <c r="K3" s="2265"/>
      <c r="L3" s="2264"/>
      <c r="M3" s="2264"/>
    </row>
    <row r="4" ht="18" customHeight="1" spans="1:13">
      <c r="A4" s="2105" t="s">
        <v>1247</v>
      </c>
      <c r="B4" s="2106" t="s">
        <v>1248</v>
      </c>
      <c r="C4" s="2106" t="s">
        <v>1249</v>
      </c>
      <c r="D4" s="2106" t="s">
        <v>1250</v>
      </c>
      <c r="E4" s="2107" t="s">
        <v>1251</v>
      </c>
      <c r="F4" s="2108"/>
      <c r="G4" s="1180"/>
      <c r="H4" s="2105" t="s">
        <v>1247</v>
      </c>
      <c r="I4" s="2106" t="s">
        <v>1248</v>
      </c>
      <c r="J4" s="2106" t="s">
        <v>1249</v>
      </c>
      <c r="K4" s="2106" t="s">
        <v>1250</v>
      </c>
      <c r="L4" s="2107" t="s">
        <v>1251</v>
      </c>
      <c r="M4" s="2108"/>
    </row>
    <row r="5" ht="18" customHeight="1" spans="1:13">
      <c r="A5" s="2109">
        <v>1</v>
      </c>
      <c r="B5" s="2110" t="s">
        <v>1252</v>
      </c>
      <c r="C5" s="2111">
        <f ca="1">C6+C10+C12</f>
        <v>0</v>
      </c>
      <c r="D5" s="2112" t="s">
        <v>1253</v>
      </c>
      <c r="E5" s="2113"/>
      <c r="F5" s="2114"/>
      <c r="G5" s="1180"/>
      <c r="H5" s="2109">
        <v>1</v>
      </c>
      <c r="I5" s="2110" t="s">
        <v>1252</v>
      </c>
      <c r="J5" s="2111">
        <f ca="1">J6+J10+J12</f>
        <v>0</v>
      </c>
      <c r="K5" s="2112" t="s">
        <v>1253</v>
      </c>
      <c r="L5" s="2113"/>
      <c r="M5" s="2114"/>
    </row>
    <row r="6" ht="18" customHeight="1" spans="1:13">
      <c r="A6" s="2115" t="s">
        <v>903</v>
      </c>
      <c r="B6" s="2116" t="s">
        <v>1254</v>
      </c>
      <c r="C6" s="2117">
        <f ca="1">ROUND(F6*F8*F7*(1-F9),0)</f>
        <v>0</v>
      </c>
      <c r="D6" s="2118" t="s">
        <v>1432</v>
      </c>
      <c r="E6" s="2119" t="s">
        <v>1256</v>
      </c>
      <c r="F6" s="2120">
        <f ca="1">INDIRECT("'数据-取费表'!u"&amp;$G$1)</f>
        <v>0</v>
      </c>
      <c r="G6" s="1180"/>
      <c r="H6" s="2115" t="s">
        <v>903</v>
      </c>
      <c r="I6" s="2116" t="s">
        <v>1254</v>
      </c>
      <c r="J6" s="2193">
        <f ca="1">ROUND(M6*M8*M7*(1-M9),0)</f>
        <v>0</v>
      </c>
      <c r="K6" s="2266" t="s">
        <v>1433</v>
      </c>
      <c r="L6" s="2119" t="s">
        <v>1256</v>
      </c>
      <c r="M6" s="2120">
        <f ca="1">INDIRECT("'数据-取费表'!z"&amp;$G$1)</f>
        <v>0</v>
      </c>
    </row>
    <row r="7" ht="18" customHeight="1" spans="1:13">
      <c r="A7" s="2121"/>
      <c r="B7" s="2122"/>
      <c r="C7" s="2123"/>
      <c r="D7" s="2124"/>
      <c r="E7" s="2125" t="s">
        <v>1258</v>
      </c>
      <c r="F7" s="2120">
        <f ca="1">IF(INDIRECT("'数据-取费表'!ah"&amp;$G$1)="",INDIRECT("'数据-取费表'!k"&amp;$G$1),INDIRECT("'数据-取费表'!ah"&amp;$G$1))</f>
        <v>0</v>
      </c>
      <c r="G7" s="1180"/>
      <c r="H7" s="2126"/>
      <c r="I7" s="2122"/>
      <c r="J7" s="2127"/>
      <c r="K7" s="2124"/>
      <c r="L7" s="2119" t="s">
        <v>1258</v>
      </c>
      <c r="M7" s="2120">
        <f ca="1">F7</f>
        <v>0</v>
      </c>
    </row>
    <row r="8" ht="18" customHeight="1" spans="1:13">
      <c r="A8" s="2126"/>
      <c r="B8" s="2122"/>
      <c r="C8" s="2127"/>
      <c r="D8" s="2124"/>
      <c r="E8" s="2119" t="s">
        <v>1259</v>
      </c>
      <c r="F8" s="2120">
        <f ca="1">INDIRECT("'数据-取费表'!ai"&amp;$G$1)</f>
        <v>0</v>
      </c>
      <c r="G8" s="1180"/>
      <c r="H8" s="2126"/>
      <c r="I8" s="2122"/>
      <c r="J8" s="2127"/>
      <c r="K8" s="2124"/>
      <c r="L8" s="2119" t="s">
        <v>1259</v>
      </c>
      <c r="M8" s="2120">
        <f ca="1">INDIRECT("'数据-取费表'!ai"&amp;$G$1)</f>
        <v>0</v>
      </c>
    </row>
    <row r="9" ht="18" customHeight="1" spans="1:13">
      <c r="A9" s="2126"/>
      <c r="B9" s="2128"/>
      <c r="C9" s="2127"/>
      <c r="D9" s="2124"/>
      <c r="E9" s="2119" t="s">
        <v>1260</v>
      </c>
      <c r="F9" s="2129">
        <f ca="1">INDIRECT("'数据-取费表'!w"&amp;$G$1)</f>
        <v>0</v>
      </c>
      <c r="G9" s="1180"/>
      <c r="H9" s="2126"/>
      <c r="I9" s="2128"/>
      <c r="J9" s="2127"/>
      <c r="K9" s="2124"/>
      <c r="L9" s="2132" t="s">
        <v>1260</v>
      </c>
      <c r="M9" s="2137">
        <f ca="1">INDIRECT("'数据-取费表'!ab"&amp;$G$1)</f>
        <v>0</v>
      </c>
    </row>
    <row r="10" ht="18" customHeight="1" spans="1:13">
      <c r="A10" s="2115" t="s">
        <v>907</v>
      </c>
      <c r="B10" s="2130" t="s">
        <v>1261</v>
      </c>
      <c r="C10" s="1427">
        <f ca="1">ROUND(IF(F10="押一",C6/12*F11,IF(F10="押二",C6/12*2*F11,IF(F10="押三",C6/12*3*F11,C11*F11))),0)</f>
        <v>0</v>
      </c>
      <c r="D10" s="2131" t="s">
        <v>1262</v>
      </c>
      <c r="E10" s="2132" t="s">
        <v>1263</v>
      </c>
      <c r="F10" s="2133"/>
      <c r="G10" s="1180"/>
      <c r="H10" s="2115" t="s">
        <v>907</v>
      </c>
      <c r="I10" s="2130" t="s">
        <v>1261</v>
      </c>
      <c r="J10" s="2193">
        <f ca="1">ROUND(IF(M10="押一",J6/12*M11,IF(M10="押二",J6/12*2*M11,IF(M10="押三",J6/12*3*M11,J11*M11))),0)</f>
        <v>0</v>
      </c>
      <c r="K10" s="2267" t="s">
        <v>1434</v>
      </c>
      <c r="L10" s="2132" t="s">
        <v>1263</v>
      </c>
      <c r="M10" s="2133"/>
    </row>
    <row r="11" ht="18" customHeight="1" spans="1:13">
      <c r="A11" s="2134"/>
      <c r="B11" s="2135" t="s">
        <v>1435</v>
      </c>
      <c r="C11" s="2136"/>
      <c r="D11" s="2124"/>
      <c r="E11" s="2132" t="s">
        <v>1266</v>
      </c>
      <c r="F11" s="2137">
        <f ca="1">'数据-取费表'!B39</f>
        <v>0.015</v>
      </c>
      <c r="G11" s="1180"/>
      <c r="H11" s="2138"/>
      <c r="I11" s="2135" t="s">
        <v>1436</v>
      </c>
      <c r="J11" s="2136"/>
      <c r="K11" s="2268"/>
      <c r="L11" s="2132" t="s">
        <v>1266</v>
      </c>
      <c r="M11" s="2269">
        <f ca="1">'数据-取费表'!B39</f>
        <v>0.015</v>
      </c>
    </row>
    <row r="12" ht="18" customHeight="1" spans="1:13">
      <c r="A12" s="2139" t="s">
        <v>954</v>
      </c>
      <c r="B12" s="2140" t="s">
        <v>1267</v>
      </c>
      <c r="C12" s="2141"/>
      <c r="D12" s="2142"/>
      <c r="E12" s="2143"/>
      <c r="F12" s="2144"/>
      <c r="G12" s="1180"/>
      <c r="H12" s="2139" t="s">
        <v>954</v>
      </c>
      <c r="I12" s="2140" t="s">
        <v>1267</v>
      </c>
      <c r="J12" s="2141"/>
      <c r="K12" s="2270"/>
      <c r="L12" s="2143"/>
      <c r="M12" s="2271"/>
    </row>
    <row r="13" ht="18" customHeight="1" spans="1:13">
      <c r="A13" s="2145">
        <v>2</v>
      </c>
      <c r="B13" s="2146" t="s">
        <v>1268</v>
      </c>
      <c r="C13" s="2147">
        <f ca="1">ROUND(C29*F13,0)</f>
        <v>0</v>
      </c>
      <c r="D13" s="2148" t="s">
        <v>1269</v>
      </c>
      <c r="E13" s="2148" t="s">
        <v>1270</v>
      </c>
      <c r="F13" s="2149">
        <f ca="1">INDIRECT("'数据-取费表'!y"&amp;$G$1)</f>
        <v>0</v>
      </c>
      <c r="G13" s="1180"/>
      <c r="H13" s="2145">
        <v>2</v>
      </c>
      <c r="I13" s="2146" t="s">
        <v>1268</v>
      </c>
      <c r="J13" s="2272">
        <f ca="1">ROUND(J14*J15,0)</f>
        <v>0</v>
      </c>
      <c r="K13" s="2171" t="s">
        <v>1269</v>
      </c>
      <c r="L13" s="2273"/>
      <c r="M13" s="2274"/>
    </row>
    <row r="14" ht="18" customHeight="1" spans="1:13">
      <c r="A14" s="2150" t="s">
        <v>926</v>
      </c>
      <c r="B14" s="2119" t="s">
        <v>1271</v>
      </c>
      <c r="C14" s="2151">
        <f ca="1">ROUND(INDIRECT("'数据-取费表'!l"&amp;$G$1)*F43+'数据-取费表'!L14*INDIRECT("'数据-取费表'!S"&amp;$G$1),0)</f>
        <v>0</v>
      </c>
      <c r="D14" s="2152" t="s">
        <v>1272</v>
      </c>
      <c r="E14" s="2153"/>
      <c r="F14" s="2154"/>
      <c r="G14" s="1180"/>
      <c r="H14" s="2150" t="s">
        <v>903</v>
      </c>
      <c r="I14" s="2119" t="s">
        <v>1273</v>
      </c>
      <c r="J14" s="1428">
        <f ca="1">C29</f>
        <v>0</v>
      </c>
      <c r="K14" s="2275"/>
      <c r="L14" s="2276"/>
      <c r="M14" s="2277"/>
    </row>
    <row r="15" s="2086" customFormat="1" ht="18" customHeight="1" spans="1:37">
      <c r="A15" s="2150" t="s">
        <v>931</v>
      </c>
      <c r="B15" s="2119" t="s">
        <v>1113</v>
      </c>
      <c r="C15" s="1428">
        <f ca="1">ROUND(C14*F15,0)</f>
        <v>0</v>
      </c>
      <c r="D15" s="2155" t="s">
        <v>1274</v>
      </c>
      <c r="E15" s="2155" t="s">
        <v>1275</v>
      </c>
      <c r="F15" s="2156">
        <f>'数据-取费表'!B33</f>
        <v>0.03</v>
      </c>
      <c r="G15" s="2157"/>
      <c r="H15" s="2158" t="s">
        <v>907</v>
      </c>
      <c r="I15" s="2143" t="s">
        <v>1270</v>
      </c>
      <c r="J15" s="2271">
        <f ca="1">INDIRECT("'数据-取费表'!ad"&amp;$G$1)</f>
        <v>0</v>
      </c>
      <c r="K15" s="2278"/>
      <c r="L15" s="2279"/>
      <c r="M15" s="2280"/>
      <c r="N15" s="2157"/>
      <c r="O15" s="2157"/>
      <c r="P15" s="2157"/>
      <c r="Q15" s="2157"/>
      <c r="R15" s="2157"/>
      <c r="S15" s="2157"/>
      <c r="T15" s="2157"/>
      <c r="U15" s="2157"/>
      <c r="V15" s="2157"/>
      <c r="W15" s="2157"/>
      <c r="X15" s="2157"/>
      <c r="Y15" s="2157"/>
      <c r="Z15" s="2157"/>
      <c r="AA15" s="2157"/>
      <c r="AB15" s="2157"/>
      <c r="AC15" s="2157"/>
      <c r="AD15" s="2157"/>
      <c r="AE15" s="2157"/>
      <c r="AF15" s="2157"/>
      <c r="AG15" s="2157"/>
      <c r="AH15" s="2157"/>
      <c r="AI15" s="2157"/>
      <c r="AJ15" s="2157"/>
      <c r="AK15" s="2157"/>
    </row>
    <row r="16" ht="18" customHeight="1" spans="1:13">
      <c r="A16" s="2150" t="s">
        <v>934</v>
      </c>
      <c r="B16" s="2119" t="s">
        <v>1116</v>
      </c>
      <c r="C16" s="1428">
        <f ca="1">ROUND(INDIRECT("'数据-取费表'!l"&amp;$G$1)*F43*F16,0)</f>
        <v>0</v>
      </c>
      <c r="D16" s="2119" t="s">
        <v>1274</v>
      </c>
      <c r="E16" s="2119" t="s">
        <v>1275</v>
      </c>
      <c r="F16" s="2159">
        <f ca="1">IF(INDIRECT("'数据-取费表'!c"&amp;$G$1)="住宅",'数据-取费表'!B34,0)</f>
        <v>0</v>
      </c>
      <c r="G16" s="1180"/>
      <c r="H16" s="2145" t="s">
        <v>1276</v>
      </c>
      <c r="I16" s="2146" t="s">
        <v>1277</v>
      </c>
      <c r="J16" s="2147">
        <f ca="1">ROUND(J17+J22+J23+J24,0)</f>
        <v>0</v>
      </c>
      <c r="K16" s="2171" t="s">
        <v>1278</v>
      </c>
      <c r="L16" s="2172"/>
      <c r="M16" s="2114"/>
    </row>
    <row r="17" s="2086" customFormat="1" ht="18" customHeight="1" spans="1:37">
      <c r="A17" s="2150" t="s">
        <v>1279</v>
      </c>
      <c r="B17" s="2119" t="s">
        <v>1280</v>
      </c>
      <c r="C17" s="1428">
        <f ca="1">ROUND(F17*(F43+INDIRECT("'数据-取费表'!S"&amp;$G$1)),0)</f>
        <v>0</v>
      </c>
      <c r="D17" s="2119" t="s">
        <v>1281</v>
      </c>
      <c r="E17" s="2119" t="s">
        <v>1282</v>
      </c>
      <c r="F17" s="2160">
        <f>'数据-取费表'!B35</f>
        <v>200</v>
      </c>
      <c r="G17" s="2157"/>
      <c r="H17" s="2150" t="s">
        <v>903</v>
      </c>
      <c r="I17" s="2119" t="s">
        <v>1283</v>
      </c>
      <c r="J17" s="2174">
        <f ca="1">ROUND(IF(AND(项目基本情况!B11="自然人",项目基本情况!B10="北京市"),J6*M17/(1+'数据-取费表'!C42),J18+J19+J20),0)</f>
        <v>0</v>
      </c>
      <c r="K17" s="2152" t="s">
        <v>1284</v>
      </c>
      <c r="L17" s="2175" t="s">
        <v>1285</v>
      </c>
      <c r="M17" s="2176" t="str">
        <f ca="1">IF(项目基本情况!B11="企业","",IF('数据-取费表'!B10="住宅",IF(M6*M7*M8/12/(1+'数据-取费表'!F30)&gt;100000,4%,2.5%),IF(M6*M7*M8/12/(1+'数据-取费表'!F30)&gt;100000,12%,7%)))</f>
        <v/>
      </c>
      <c r="N17" s="2157"/>
      <c r="O17" s="2157"/>
      <c r="P17" s="2157"/>
      <c r="Q17" s="2157"/>
      <c r="R17" s="2157"/>
      <c r="S17" s="2157"/>
      <c r="T17" s="2157"/>
      <c r="U17" s="2157"/>
      <c r="V17" s="2157"/>
      <c r="W17" s="2157"/>
      <c r="X17" s="2157"/>
      <c r="Y17" s="2157"/>
      <c r="Z17" s="2157"/>
      <c r="AA17" s="2157"/>
      <c r="AB17" s="2157"/>
      <c r="AC17" s="2157"/>
      <c r="AD17" s="2157"/>
      <c r="AE17" s="2157"/>
      <c r="AF17" s="2157"/>
      <c r="AG17" s="2157"/>
      <c r="AH17" s="2157"/>
      <c r="AI17" s="2157"/>
      <c r="AJ17" s="2157"/>
      <c r="AK17" s="2157"/>
    </row>
    <row r="18" s="2086" customFormat="1" ht="18" customHeight="1" spans="1:37">
      <c r="A18" s="2150" t="s">
        <v>1286</v>
      </c>
      <c r="B18" s="2119" t="s">
        <v>1122</v>
      </c>
      <c r="C18" s="1428">
        <f ca="1">ROUND(C14*F18,0)</f>
        <v>0</v>
      </c>
      <c r="D18" s="2119" t="s">
        <v>1274</v>
      </c>
      <c r="E18" s="2119" t="s">
        <v>1275</v>
      </c>
      <c r="F18" s="2159">
        <f>'数据-取费表'!B36</f>
        <v>0.02</v>
      </c>
      <c r="G18" s="2157"/>
      <c r="H18" s="2150" t="s">
        <v>926</v>
      </c>
      <c r="I18" s="2119" t="s">
        <v>1287</v>
      </c>
      <c r="J18" s="1428">
        <f ca="1">ROUND(J6*M18/(1+'数据-取费表'!C42),0)</f>
        <v>0</v>
      </c>
      <c r="K18" s="2175" t="s">
        <v>1288</v>
      </c>
      <c r="L18" s="2119" t="s">
        <v>1275</v>
      </c>
      <c r="M18" s="2159">
        <f>'数据-取费表'!B41</f>
        <v>0.056</v>
      </c>
      <c r="N18" s="2157"/>
      <c r="O18" s="2157"/>
      <c r="P18" s="2157"/>
      <c r="Q18" s="2157"/>
      <c r="R18" s="2157"/>
      <c r="S18" s="2157"/>
      <c r="T18" s="2157"/>
      <c r="U18" s="2157"/>
      <c r="V18" s="2157"/>
      <c r="W18" s="2157"/>
      <c r="X18" s="2157"/>
      <c r="Y18" s="2157"/>
      <c r="Z18" s="2157"/>
      <c r="AA18" s="2157"/>
      <c r="AB18" s="2157"/>
      <c r="AC18" s="2157"/>
      <c r="AD18" s="2157"/>
      <c r="AE18" s="2157"/>
      <c r="AF18" s="2157"/>
      <c r="AG18" s="2157"/>
      <c r="AH18" s="2157"/>
      <c r="AI18" s="2157"/>
      <c r="AJ18" s="2157"/>
      <c r="AK18" s="2157"/>
    </row>
    <row r="19" ht="18" customHeight="1" spans="1:13">
      <c r="A19" s="2150" t="s">
        <v>903</v>
      </c>
      <c r="B19" s="2119" t="s">
        <v>1289</v>
      </c>
      <c r="C19" s="1428">
        <f ca="1">SUM(C14:C18)</f>
        <v>0</v>
      </c>
      <c r="D19" s="2161" t="s">
        <v>1290</v>
      </c>
      <c r="E19" s="1430"/>
      <c r="F19" s="2160"/>
      <c r="G19" s="1180"/>
      <c r="H19" s="2150" t="s">
        <v>931</v>
      </c>
      <c r="I19" s="2119" t="s">
        <v>1291</v>
      </c>
      <c r="J19" s="1428">
        <f ca="1">IF(K19="按租金收入计税",ROUND(J6*M19/(1+'数据-取费表'!C42),0),ROUND(C29*M19*0.7,0))</f>
        <v>0</v>
      </c>
      <c r="K19" s="2178" t="s">
        <v>1292</v>
      </c>
      <c r="L19" s="2119" t="s">
        <v>1275</v>
      </c>
      <c r="M19" s="2159">
        <f>IF(K19="按租金收入计税",'数据-取费表'!B51,'数据-取费表'!B50)</f>
        <v>0.12</v>
      </c>
    </row>
    <row r="20" s="2086" customFormat="1" ht="18" customHeight="1" spans="1:37">
      <c r="A20" s="2150" t="s">
        <v>907</v>
      </c>
      <c r="B20" s="2119" t="s">
        <v>1293</v>
      </c>
      <c r="C20" s="1428">
        <f ca="1">ROUND(C19*F20,0)</f>
        <v>0</v>
      </c>
      <c r="D20" s="2162" t="s">
        <v>1294</v>
      </c>
      <c r="E20" s="2119" t="s">
        <v>1275</v>
      </c>
      <c r="F20" s="2159">
        <f>'数据-取费表'!B37</f>
        <v>0.02</v>
      </c>
      <c r="G20" s="2157"/>
      <c r="H20" s="2150" t="s">
        <v>934</v>
      </c>
      <c r="I20" s="2118" t="s">
        <v>1295</v>
      </c>
      <c r="J20" s="2180">
        <f ca="1">ROUND(M20*M21,0)</f>
        <v>0</v>
      </c>
      <c r="K20" s="2181" t="s">
        <v>1296</v>
      </c>
      <c r="L20" s="2119" t="s">
        <v>1297</v>
      </c>
      <c r="M20" s="2165">
        <f>'数据-取费表'!B52</f>
        <v>0</v>
      </c>
      <c r="N20" s="2157"/>
      <c r="O20" s="2157"/>
      <c r="P20" s="2157"/>
      <c r="Q20" s="2157"/>
      <c r="R20" s="2157"/>
      <c r="S20" s="2157"/>
      <c r="T20" s="2157"/>
      <c r="U20" s="2157"/>
      <c r="V20" s="2157"/>
      <c r="W20" s="2157"/>
      <c r="X20" s="2157"/>
      <c r="Y20" s="2157"/>
      <c r="Z20" s="2157"/>
      <c r="AA20" s="2157"/>
      <c r="AB20" s="2157"/>
      <c r="AC20" s="2157"/>
      <c r="AD20" s="2157"/>
      <c r="AE20" s="2157"/>
      <c r="AF20" s="2157"/>
      <c r="AG20" s="2157"/>
      <c r="AH20" s="2157"/>
      <c r="AI20" s="2157"/>
      <c r="AJ20" s="2157"/>
      <c r="AK20" s="2157"/>
    </row>
    <row r="21" s="2086" customFormat="1" ht="18" customHeight="1" spans="1:37">
      <c r="A21" s="2150" t="s">
        <v>954</v>
      </c>
      <c r="B21" s="2119" t="s">
        <v>1298</v>
      </c>
      <c r="C21" s="1428" t="s">
        <v>124</v>
      </c>
      <c r="D21" s="2162" t="s">
        <v>1299</v>
      </c>
      <c r="E21" s="2119" t="s">
        <v>1300</v>
      </c>
      <c r="F21" s="2159">
        <f>'数据-取费表'!B38</f>
        <v>0.02</v>
      </c>
      <c r="G21" s="2157"/>
      <c r="H21" s="2163"/>
      <c r="I21" s="2281"/>
      <c r="J21" s="2184"/>
      <c r="K21" s="2185"/>
      <c r="L21" s="2119" t="s">
        <v>1301</v>
      </c>
      <c r="M21" s="2120">
        <f ca="1">INDIRECT("'数据-取费表'!r"&amp;$G$1)</f>
        <v>0</v>
      </c>
      <c r="N21" s="2157"/>
      <c r="O21" s="2157"/>
      <c r="P21" s="2157"/>
      <c r="Q21" s="2157"/>
      <c r="R21" s="2157"/>
      <c r="S21" s="2157"/>
      <c r="T21" s="2157"/>
      <c r="U21" s="2157"/>
      <c r="V21" s="2157"/>
      <c r="W21" s="2157"/>
      <c r="X21" s="2157"/>
      <c r="Y21" s="2157"/>
      <c r="Z21" s="2157"/>
      <c r="AA21" s="2157"/>
      <c r="AB21" s="2157"/>
      <c r="AC21" s="2157"/>
      <c r="AD21" s="2157"/>
      <c r="AE21" s="2157"/>
      <c r="AF21" s="2157"/>
      <c r="AG21" s="2157"/>
      <c r="AH21" s="2157"/>
      <c r="AI21" s="2157"/>
      <c r="AJ21" s="2157"/>
      <c r="AK21" s="2157"/>
    </row>
    <row r="22" ht="18" customHeight="1" spans="1:13">
      <c r="A22" s="2150" t="s">
        <v>957</v>
      </c>
      <c r="B22" s="2119" t="s">
        <v>1302</v>
      </c>
      <c r="C22" s="1428"/>
      <c r="D22" s="2161" t="str">
        <f>IF(F23&lt;=1,"单利计息。","复利计息。")&amp;"建造成本、管理费用、销售费用产生的利息。"</f>
        <v>复利计息。建造成本、管理费用、销售费用产生的利息。</v>
      </c>
      <c r="E22" s="1430"/>
      <c r="F22" s="2160"/>
      <c r="G22" s="1180"/>
      <c r="H22" s="2150" t="s">
        <v>907</v>
      </c>
      <c r="I22" s="2119" t="s">
        <v>1303</v>
      </c>
      <c r="J22" s="1428">
        <f ca="1">ROUND(J14*M22,0)</f>
        <v>0</v>
      </c>
      <c r="K22" s="2175" t="s">
        <v>1304</v>
      </c>
      <c r="L22" s="2119" t="s">
        <v>1275</v>
      </c>
      <c r="M22" s="2187">
        <f ca="1">INDIRECT("'数据-取费表'!Ak"&amp;$G$1)</f>
        <v>0</v>
      </c>
    </row>
    <row r="23" s="2086" customFormat="1" ht="18" customHeight="1" spans="1:37">
      <c r="A23" s="2150" t="s">
        <v>926</v>
      </c>
      <c r="B23" s="2119" t="s">
        <v>1305</v>
      </c>
      <c r="C23" s="1428">
        <f ca="1">IF('数据-取费表'!B22&lt;=1,ROUND(C19*F24*F23/2,0)+ROUND(C20*F24*F23/2,0),ROUND(C19*(POWER((1+F24),F23/2)-1),0)+ROUND(C20*(POWER((1+F24),F23/2)-1),0))</f>
        <v>0</v>
      </c>
      <c r="D23" s="2164" t="str">
        <f>IF(F23&lt;=1,"(建造成本+管理费用)×利率×(建设周期÷2)","(建造成本+管理费用)×((1+利率)^(建设周期÷2)-1)")</f>
        <v>(建造成本+管理费用)×((1+利率)^(建设周期÷2)-1)</v>
      </c>
      <c r="E23" s="2119" t="s">
        <v>1306</v>
      </c>
      <c r="F23" s="2165">
        <f>'数据-取费表'!B20</f>
        <v>2</v>
      </c>
      <c r="G23" s="2157"/>
      <c r="H23" s="2150" t="s">
        <v>954</v>
      </c>
      <c r="I23" s="2119" t="s">
        <v>1307</v>
      </c>
      <c r="J23" s="1428">
        <f ca="1">ROUND(J13*M23,0)</f>
        <v>0</v>
      </c>
      <c r="K23" s="2175" t="s">
        <v>1308</v>
      </c>
      <c r="L23" s="2119" t="s">
        <v>1275</v>
      </c>
      <c r="M23" s="2188">
        <f ca="1">INDIRECT("'数据-取费表'!Al"&amp;$G$1)</f>
        <v>0</v>
      </c>
      <c r="N23" s="2157"/>
      <c r="O23" s="2157"/>
      <c r="P23" s="2157"/>
      <c r="Q23" s="2157"/>
      <c r="R23" s="2157"/>
      <c r="S23" s="2157"/>
      <c r="T23" s="2157"/>
      <c r="U23" s="2157"/>
      <c r="V23" s="2157"/>
      <c r="W23" s="2157"/>
      <c r="X23" s="2157"/>
      <c r="Y23" s="2157"/>
      <c r="Z23" s="2157"/>
      <c r="AA23" s="2157"/>
      <c r="AB23" s="2157"/>
      <c r="AC23" s="2157"/>
      <c r="AD23" s="2157"/>
      <c r="AE23" s="2157"/>
      <c r="AF23" s="2157"/>
      <c r="AG23" s="2157"/>
      <c r="AH23" s="2157"/>
      <c r="AI23" s="2157"/>
      <c r="AJ23" s="2157"/>
      <c r="AK23" s="2157"/>
    </row>
    <row r="24" s="2086" customFormat="1" ht="18" customHeight="1" spans="1:37">
      <c r="A24" s="2150" t="s">
        <v>931</v>
      </c>
      <c r="B24" s="2119" t="s">
        <v>1309</v>
      </c>
      <c r="C24" s="1428">
        <f ca="1">ROUND(IF('数据-取费表'!B22&lt;=1,F21*F24*F23/2,F21*(POWER((1+F24),F23/2)-1)),4)</f>
        <v>0.0007</v>
      </c>
      <c r="D24" s="2164" t="str">
        <f>IF(F23&lt;=1,"销售费用×利率×(建设周期÷2)","销售费用×((1+利率)^(建设周期÷2)-1)")</f>
        <v>销售费用×((1+利率)^(建设周期÷2)-1)</v>
      </c>
      <c r="E24" s="2119" t="s">
        <v>1310</v>
      </c>
      <c r="F24" s="2166">
        <f ca="1">'数据-取费表'!B40</f>
        <v>0.0335</v>
      </c>
      <c r="G24" s="2157"/>
      <c r="H24" s="2158" t="s">
        <v>957</v>
      </c>
      <c r="I24" s="2143" t="s">
        <v>1293</v>
      </c>
      <c r="J24" s="2167">
        <f ca="1">ROUND(J5*M24,0)</f>
        <v>0</v>
      </c>
      <c r="K24" s="2168" t="s">
        <v>1311</v>
      </c>
      <c r="L24" s="2143" t="s">
        <v>1275</v>
      </c>
      <c r="M24" s="2144">
        <f ca="1">INDIRECT("'数据-取费表'!Am"&amp;$G$1)</f>
        <v>0</v>
      </c>
      <c r="N24" s="2157"/>
      <c r="O24" s="2157"/>
      <c r="P24" s="2157"/>
      <c r="Q24" s="2157"/>
      <c r="R24" s="2157"/>
      <c r="S24" s="2157"/>
      <c r="T24" s="2157"/>
      <c r="U24" s="2157"/>
      <c r="V24" s="2157"/>
      <c r="W24" s="2157"/>
      <c r="X24" s="2157"/>
      <c r="Y24" s="2157"/>
      <c r="Z24" s="2157"/>
      <c r="AA24" s="2157"/>
      <c r="AB24" s="2157"/>
      <c r="AC24" s="2157"/>
      <c r="AD24" s="2157"/>
      <c r="AE24" s="2157"/>
      <c r="AF24" s="2157"/>
      <c r="AG24" s="2157"/>
      <c r="AH24" s="2157"/>
      <c r="AI24" s="2157"/>
      <c r="AJ24" s="2157"/>
      <c r="AK24" s="2157"/>
    </row>
    <row r="25" ht="18" customHeight="1" spans="1:13">
      <c r="A25" s="2150" t="s">
        <v>961</v>
      </c>
      <c r="B25" s="2119" t="s">
        <v>1312</v>
      </c>
      <c r="C25" s="1428"/>
      <c r="D25" s="2161" t="s">
        <v>1313</v>
      </c>
      <c r="E25" s="1430"/>
      <c r="F25" s="2160"/>
      <c r="G25" s="1180"/>
      <c r="H25" s="2145" t="s">
        <v>1314</v>
      </c>
      <c r="I25" s="2189" t="s">
        <v>1315</v>
      </c>
      <c r="J25" s="2147">
        <f ca="1">J5-J16</f>
        <v>0</v>
      </c>
      <c r="K25" s="2190" t="s">
        <v>1316</v>
      </c>
      <c r="L25" s="2191"/>
      <c r="M25" s="2192"/>
    </row>
    <row r="26" ht="18" customHeight="1" spans="1:13">
      <c r="A26" s="2150" t="s">
        <v>926</v>
      </c>
      <c r="B26" s="2119" t="s">
        <v>1317</v>
      </c>
      <c r="C26" s="1428">
        <f ca="1">ROUND((C19+C20)*F26,0)</f>
        <v>0</v>
      </c>
      <c r="D26" s="2162" t="s">
        <v>1318</v>
      </c>
      <c r="E26" s="2132" t="s">
        <v>1319</v>
      </c>
      <c r="F26" s="2129">
        <f ca="1">INDIRECT("'数据-取费表'!q"&amp;$G$1)</f>
        <v>0</v>
      </c>
      <c r="G26" s="1180"/>
      <c r="H26" s="2109" t="s">
        <v>1320</v>
      </c>
      <c r="I26" s="2110" t="s">
        <v>1321</v>
      </c>
      <c r="J26" s="2193">
        <f ca="1">IF(J5&lt;&gt;0,ROUND(J25*(1-((1+M28)/(1+M26))^M27)/(M26-M28),0),0)</f>
        <v>0</v>
      </c>
      <c r="K26" s="2181" t="s">
        <v>1322</v>
      </c>
      <c r="L26" s="2119" t="s">
        <v>1323</v>
      </c>
      <c r="M26" s="2129">
        <f ca="1">INDIRECT("'数据-取费表'!I"&amp;$G$1)</f>
        <v>0</v>
      </c>
    </row>
    <row r="27" ht="18" customHeight="1" spans="1:13">
      <c r="A27" s="2150" t="s">
        <v>931</v>
      </c>
      <c r="B27" s="2119" t="s">
        <v>1324</v>
      </c>
      <c r="C27" s="1428">
        <f ca="1">ROUND(F21*F26,4)</f>
        <v>0</v>
      </c>
      <c r="D27" s="2162" t="s">
        <v>1325</v>
      </c>
      <c r="E27" s="2155"/>
      <c r="F27" s="2156"/>
      <c r="G27" s="1180"/>
      <c r="H27" s="2126"/>
      <c r="I27" s="2195"/>
      <c r="J27" s="2127"/>
      <c r="K27" s="2196" t="s">
        <v>1326</v>
      </c>
      <c r="L27" s="2119" t="s">
        <v>1327</v>
      </c>
      <c r="M27" s="2197">
        <f ca="1">INDIRECT("'数据-取费表'!ag"&amp;$G$1)</f>
        <v>0</v>
      </c>
    </row>
    <row r="28" s="2086" customFormat="1" ht="18" customHeight="1" spans="1:37">
      <c r="A28" s="2150" t="s">
        <v>962</v>
      </c>
      <c r="B28" s="2119" t="s">
        <v>1328</v>
      </c>
      <c r="C28" s="1428">
        <f>ROUND(F28/(1+'数据-取费表'!C42),4)</f>
        <v>0.0533</v>
      </c>
      <c r="D28" s="2162" t="s">
        <v>1329</v>
      </c>
      <c r="E28" s="2119" t="s">
        <v>1275</v>
      </c>
      <c r="F28" s="2159">
        <f>'数据-取费表'!B41</f>
        <v>0.056</v>
      </c>
      <c r="G28" s="2157"/>
      <c r="H28" s="2134"/>
      <c r="I28" s="2199"/>
      <c r="J28" s="2147"/>
      <c r="K28" s="2185"/>
      <c r="L28" s="2119" t="s">
        <v>1330</v>
      </c>
      <c r="M28" s="2129">
        <f ca="1">INDIRECT("'数据-取费表'!aa"&amp;$G$1)</f>
        <v>0</v>
      </c>
      <c r="N28" s="2157"/>
      <c r="O28" s="2157"/>
      <c r="P28" s="2157"/>
      <c r="Q28" s="2157"/>
      <c r="R28" s="2157"/>
      <c r="S28" s="2157"/>
      <c r="T28" s="2157"/>
      <c r="U28" s="2157"/>
      <c r="V28" s="2157"/>
      <c r="W28" s="2157"/>
      <c r="X28" s="2157"/>
      <c r="Y28" s="2157"/>
      <c r="Z28" s="2157"/>
      <c r="AA28" s="2157"/>
      <c r="AB28" s="2157"/>
      <c r="AC28" s="2157"/>
      <c r="AD28" s="2157"/>
      <c r="AE28" s="2157"/>
      <c r="AF28" s="2157"/>
      <c r="AG28" s="2157"/>
      <c r="AH28" s="2157"/>
      <c r="AI28" s="2157"/>
      <c r="AJ28" s="2157"/>
      <c r="AK28" s="2157"/>
    </row>
    <row r="29" s="2086" customFormat="1" ht="18" customHeight="1" spans="1:37">
      <c r="A29" s="2158" t="s">
        <v>1147</v>
      </c>
      <c r="B29" s="2143" t="s">
        <v>1331</v>
      </c>
      <c r="C29" s="2167">
        <f ca="1">ROUND((C19+C20+C23+C26)/(1-F21-C24-C27-C28),0)</f>
        <v>0</v>
      </c>
      <c r="D29" s="2168"/>
      <c r="E29" s="2143"/>
      <c r="F29" s="2169"/>
      <c r="G29" s="2157"/>
      <c r="H29" s="2170" t="s">
        <v>1332</v>
      </c>
      <c r="I29" s="2200" t="s">
        <v>1333</v>
      </c>
      <c r="J29" s="2201">
        <f ca="1">ROUND(J26/(1+F40)^F41,0)</f>
        <v>0</v>
      </c>
      <c r="K29" s="2202" t="s">
        <v>1334</v>
      </c>
      <c r="L29" s="2203"/>
      <c r="M29" s="2204">
        <f ca="1">INDIRECT("'数据-取费表'!k"&amp;$G$1)</f>
        <v>0</v>
      </c>
      <c r="N29" s="2157"/>
      <c r="O29" s="2157"/>
      <c r="P29" s="2157"/>
      <c r="Q29" s="2157"/>
      <c r="R29" s="2157"/>
      <c r="S29" s="2157"/>
      <c r="T29" s="2157"/>
      <c r="U29" s="2157"/>
      <c r="V29" s="2157"/>
      <c r="W29" s="2157"/>
      <c r="X29" s="2157"/>
      <c r="Y29" s="2157"/>
      <c r="Z29" s="2157"/>
      <c r="AA29" s="2157"/>
      <c r="AB29" s="2157"/>
      <c r="AC29" s="2157"/>
      <c r="AD29" s="2157"/>
      <c r="AE29" s="2157"/>
      <c r="AF29" s="2157"/>
      <c r="AG29" s="2157"/>
      <c r="AH29" s="2157"/>
      <c r="AI29" s="2157"/>
      <c r="AJ29" s="2157"/>
      <c r="AK29" s="2157"/>
    </row>
    <row r="30" ht="18" customHeight="1" spans="1:13">
      <c r="A30" s="2145" t="s">
        <v>1276</v>
      </c>
      <c r="B30" s="2146" t="s">
        <v>1277</v>
      </c>
      <c r="C30" s="2147">
        <f ca="1">ROUND(C31+C36+C37+C38,0)</f>
        <v>0</v>
      </c>
      <c r="D30" s="2171" t="s">
        <v>1278</v>
      </c>
      <c r="E30" s="2172"/>
      <c r="F30" s="2114"/>
      <c r="G30" s="1180"/>
      <c r="H30" s="2173"/>
      <c r="I30" s="2282"/>
      <c r="J30" s="2283"/>
      <c r="K30" s="2284"/>
      <c r="L30" s="2285"/>
      <c r="M30" s="2286"/>
    </row>
    <row r="31" ht="18" customHeight="1" spans="1:13">
      <c r="A31" s="2150" t="s">
        <v>903</v>
      </c>
      <c r="B31" s="2119" t="s">
        <v>1283</v>
      </c>
      <c r="C31" s="2174">
        <f ca="1">ROUND(IF(AND(项目基本情况!B11="自然人",项目基本情况!B10="北京市"),C6*F31/(1+'数据-取费表'!C42),C32+C33+C34),0)</f>
        <v>0</v>
      </c>
      <c r="D31" s="2152" t="s">
        <v>1284</v>
      </c>
      <c r="E31" s="2175" t="s">
        <v>1285</v>
      </c>
      <c r="F31" s="2176" t="str">
        <f ca="1">IF(项目基本情况!B11="企业","——",IF(M47="住宅",IF(F6*F7*F8/12/(1+'数据-取费表'!F30)&gt;100000,4%,2.5%),IF(F6*F7*F8/12/(1+'数据-取费表'!F30)&gt;100000,12%,7%)))</f>
        <v>——</v>
      </c>
      <c r="G31" s="1180"/>
      <c r="H31" s="2177" t="s">
        <v>1335</v>
      </c>
      <c r="I31" s="2282"/>
      <c r="J31" s="2283"/>
      <c r="K31" s="2284"/>
      <c r="L31" s="2285"/>
      <c r="M31" s="2286"/>
    </row>
    <row r="32" ht="18" customHeight="1" spans="1:13">
      <c r="A32" s="2150" t="s">
        <v>926</v>
      </c>
      <c r="B32" s="2119" t="s">
        <v>1287</v>
      </c>
      <c r="C32" s="1428">
        <f ca="1">IF(项目基本情况!B11="自然人","——",ROUND(C6*F32/(1+'数据-取费表'!C42),0))</f>
        <v>0</v>
      </c>
      <c r="D32" s="2175" t="s">
        <v>1288</v>
      </c>
      <c r="E32" s="2119" t="s">
        <v>1275</v>
      </c>
      <c r="F32" s="2166">
        <f>'数据-取费表'!B41</f>
        <v>0.056</v>
      </c>
      <c r="G32" s="1180"/>
      <c r="H32" s="2173"/>
      <c r="I32" s="2282"/>
      <c r="J32" s="2283"/>
      <c r="K32" s="2284"/>
      <c r="L32" s="2285"/>
      <c r="M32" s="2286"/>
    </row>
    <row r="33" ht="18" customHeight="1" spans="1:13">
      <c r="A33" s="2150" t="s">
        <v>931</v>
      </c>
      <c r="B33" s="2119" t="s">
        <v>1291</v>
      </c>
      <c r="C33" s="1428">
        <f ca="1">IF(项目基本情况!B11="自然人","——",IF(D33="按租金收入计税",ROUND(C6*F33/(1+'数据-取费表'!C42),0),IF(D33="按房产原值计税",ROUND(C29*F33*0.7,0),INDIRECT("'数据-取费表'!Aj"&amp;$G$1))))</f>
        <v>0</v>
      </c>
      <c r="D33" s="2178" t="s">
        <v>1292</v>
      </c>
      <c r="E33" s="2119" t="s">
        <v>1275</v>
      </c>
      <c r="F33" s="2159">
        <f>IF(D33="按票据","——",IF(D33="按租金收入计税",'数据-取费表'!B51,'数据-取费表'!B50))</f>
        <v>0.12</v>
      </c>
      <c r="G33" s="1180"/>
      <c r="H33" s="2179"/>
      <c r="I33" s="2282"/>
      <c r="J33" s="2283"/>
      <c r="K33" s="2287"/>
      <c r="L33" s="2179"/>
      <c r="M33" s="2179"/>
    </row>
    <row r="34" ht="18" customHeight="1" spans="1:13">
      <c r="A34" s="2115" t="s">
        <v>934</v>
      </c>
      <c r="B34" s="2118" t="s">
        <v>1295</v>
      </c>
      <c r="C34" s="2180">
        <f ca="1">IF(项目基本情况!B11="自然人","——",ROUND(F34*F35,0))</f>
        <v>0</v>
      </c>
      <c r="D34" s="2181" t="s">
        <v>1296</v>
      </c>
      <c r="E34" s="2119" t="s">
        <v>1297</v>
      </c>
      <c r="F34" s="2165">
        <f>'数据-取费表'!B52</f>
        <v>0</v>
      </c>
      <c r="G34" s="1180"/>
      <c r="H34" s="2173"/>
      <c r="I34" s="2282"/>
      <c r="J34" s="2283"/>
      <c r="K34" s="2288"/>
      <c r="L34" s="2289"/>
      <c r="M34" s="2289"/>
    </row>
    <row r="35" ht="18" customHeight="1" spans="1:13">
      <c r="A35" s="2182"/>
      <c r="B35" s="2183"/>
      <c r="C35" s="2184"/>
      <c r="D35" s="2185"/>
      <c r="E35" s="2119" t="s">
        <v>1301</v>
      </c>
      <c r="F35" s="2120">
        <f ca="1">INDIRECT("'数据-取费表'!r"&amp;$G$1)</f>
        <v>0</v>
      </c>
      <c r="G35" s="1180"/>
      <c r="H35" s="2173"/>
      <c r="I35" s="2282"/>
      <c r="J35" s="2283"/>
      <c r="K35" s="2287"/>
      <c r="L35" s="2179"/>
      <c r="M35" s="2179"/>
    </row>
    <row r="36" ht="18" customHeight="1" spans="1:13">
      <c r="A36" s="2186" t="s">
        <v>907</v>
      </c>
      <c r="B36" s="2119" t="s">
        <v>1303</v>
      </c>
      <c r="C36" s="1428">
        <f ca="1">ROUND(C29*F36,0)</f>
        <v>0</v>
      </c>
      <c r="D36" s="2175" t="s">
        <v>1336</v>
      </c>
      <c r="E36" s="2119" t="s">
        <v>1275</v>
      </c>
      <c r="F36" s="2187">
        <f ca="1">INDIRECT("'数据-取费表'!Ak"&amp;$G$1)</f>
        <v>0</v>
      </c>
      <c r="G36" s="1180"/>
      <c r="H36" s="2179"/>
      <c r="I36" s="2282"/>
      <c r="J36" s="2283"/>
      <c r="K36" s="2290"/>
      <c r="L36" s="2179"/>
      <c r="M36" s="2179"/>
    </row>
    <row r="37" ht="18" customHeight="1" spans="1:13">
      <c r="A37" s="2150" t="s">
        <v>954</v>
      </c>
      <c r="B37" s="2119" t="s">
        <v>1307</v>
      </c>
      <c r="C37" s="1428">
        <f ca="1">ROUND(C13*F37,0)</f>
        <v>0</v>
      </c>
      <c r="D37" s="2175" t="s">
        <v>1308</v>
      </c>
      <c r="E37" s="2119" t="s">
        <v>1275</v>
      </c>
      <c r="F37" s="2188">
        <f ca="1">INDIRECT("'数据-取费表'!Al"&amp;$G$1)</f>
        <v>0</v>
      </c>
      <c r="G37" s="1180"/>
      <c r="H37" s="2179"/>
      <c r="I37" s="2282"/>
      <c r="J37" s="2283"/>
      <c r="K37" s="2290"/>
      <c r="L37" s="2179"/>
      <c r="M37" s="2179"/>
    </row>
    <row r="38" ht="18" customHeight="1" spans="1:13">
      <c r="A38" s="2158" t="s">
        <v>957</v>
      </c>
      <c r="B38" s="2143" t="s">
        <v>1293</v>
      </c>
      <c r="C38" s="2167">
        <f ca="1">ROUND(C5*F38,0)</f>
        <v>0</v>
      </c>
      <c r="D38" s="2168" t="s">
        <v>1311</v>
      </c>
      <c r="E38" s="2143" t="s">
        <v>1275</v>
      </c>
      <c r="F38" s="2144">
        <f ca="1">INDIRECT("'数据-取费表'!Am"&amp;$G$1)</f>
        <v>0</v>
      </c>
      <c r="G38" s="1180"/>
      <c r="H38" s="2179"/>
      <c r="I38" s="2282"/>
      <c r="J38" s="2283"/>
      <c r="K38" s="2291"/>
      <c r="L38" s="2179"/>
      <c r="M38" s="2179"/>
    </row>
    <row r="39" ht="24.6" customHeight="1" spans="1:13">
      <c r="A39" s="2145" t="s">
        <v>1314</v>
      </c>
      <c r="B39" s="2189" t="s">
        <v>1315</v>
      </c>
      <c r="C39" s="2147">
        <f ca="1">C5-C30</f>
        <v>0</v>
      </c>
      <c r="D39" s="2190" t="s">
        <v>1316</v>
      </c>
      <c r="E39" s="2191"/>
      <c r="F39" s="2192"/>
      <c r="G39" s="1180"/>
      <c r="H39" s="2179"/>
      <c r="I39" s="2282"/>
      <c r="J39" s="2283"/>
      <c r="K39" s="2291"/>
      <c r="L39" s="2179"/>
      <c r="M39" s="2179"/>
    </row>
    <row r="40" ht="18" customHeight="1" spans="1:13">
      <c r="A40" s="2109" t="s">
        <v>1320</v>
      </c>
      <c r="B40" s="2110" t="s">
        <v>1337</v>
      </c>
      <c r="C40" s="2193" t="e">
        <f ca="1">ROUND(C39*(1-((1+F42)/(1+F40))^F41)/(F40-F42),0)</f>
        <v>#DIV/0!</v>
      </c>
      <c r="D40" s="2181" t="s">
        <v>1322</v>
      </c>
      <c r="E40" s="2119" t="s">
        <v>1323</v>
      </c>
      <c r="F40" s="2129">
        <f ca="1">INDIRECT("'数据-取费表'!I"&amp;$G$1)</f>
        <v>0</v>
      </c>
      <c r="G40" s="1180"/>
      <c r="H40" s="2194"/>
      <c r="I40" s="2282"/>
      <c r="J40" s="2283"/>
      <c r="K40" s="2291"/>
      <c r="L40" s="2194"/>
      <c r="M40" s="2194"/>
    </row>
    <row r="41" ht="18" customHeight="1" spans="1:13">
      <c r="A41" s="2126"/>
      <c r="B41" s="2195"/>
      <c r="C41" s="2127"/>
      <c r="D41" s="2196" t="s">
        <v>1326</v>
      </c>
      <c r="E41" s="2119" t="s">
        <v>1327</v>
      </c>
      <c r="F41" s="2197">
        <f ca="1">IF(INDIRECT("'数据-取费表'!af"&amp;$G$1)=0,INDIRECT("'数据-取费表'!ae"&amp;$G$1),INDIRECT("'数据-取费表'!af"&amp;$G$1))</f>
        <v>0</v>
      </c>
      <c r="G41" s="1180"/>
      <c r="H41" s="2198"/>
      <c r="I41" s="2282"/>
      <c r="J41" s="2283"/>
      <c r="K41" s="2290"/>
      <c r="L41" s="2198"/>
      <c r="M41" s="2198"/>
    </row>
    <row r="42" ht="18" customHeight="1" spans="1:13">
      <c r="A42" s="2134"/>
      <c r="B42" s="2199"/>
      <c r="C42" s="2147"/>
      <c r="D42" s="2185"/>
      <c r="E42" s="2119" t="s">
        <v>1330</v>
      </c>
      <c r="F42" s="2129">
        <f ca="1">INDIRECT("'数据-取费表'!v"&amp;$G$1)</f>
        <v>0</v>
      </c>
      <c r="G42" s="1180"/>
      <c r="H42" s="2198"/>
      <c r="I42" s="2282"/>
      <c r="J42" s="2283"/>
      <c r="K42" s="2290"/>
      <c r="L42" s="2198"/>
      <c r="M42" s="2198"/>
    </row>
    <row r="43" ht="18" customHeight="1" spans="1:13">
      <c r="A43" s="2170" t="s">
        <v>1332</v>
      </c>
      <c r="B43" s="2200" t="s">
        <v>1338</v>
      </c>
      <c r="C43" s="2201" t="e">
        <f ca="1">ROUND(C40/F43,0)</f>
        <v>#DIV/0!</v>
      </c>
      <c r="D43" s="2202" t="s">
        <v>1339</v>
      </c>
      <c r="E43" s="2203" t="s">
        <v>1340</v>
      </c>
      <c r="F43" s="2204">
        <f ca="1">INDIRECT("'数据-取费表'!k"&amp;$G$1)</f>
        <v>0</v>
      </c>
      <c r="G43" s="1180"/>
      <c r="H43" s="2198"/>
      <c r="I43" s="2198"/>
      <c r="J43" s="2198"/>
      <c r="K43" s="2290"/>
      <c r="L43" s="2198"/>
      <c r="M43" s="2198"/>
    </row>
    <row r="44" s="1180" customFormat="1" ht="18" customHeight="1" spans="1:11">
      <c r="A44" s="2205"/>
      <c r="B44" s="2205"/>
      <c r="C44" s="2206"/>
      <c r="D44" s="2205"/>
      <c r="E44" s="2205"/>
      <c r="F44" s="2205"/>
      <c r="K44" s="2292"/>
    </row>
    <row r="45" s="1180" customFormat="1" ht="18" customHeight="1" spans="1:18">
      <c r="A45" s="2207" t="s">
        <v>1437</v>
      </c>
      <c r="B45" s="2205"/>
      <c r="C45" s="2208" t="e">
        <f ca="1">ROUND((C68-C40)/10000,4)</f>
        <v>#DIV/0!</v>
      </c>
      <c r="D45" s="2209" t="s">
        <v>1438</v>
      </c>
      <c r="E45" s="2205"/>
      <c r="F45" s="2205"/>
      <c r="O45" s="2293" t="s">
        <v>1341</v>
      </c>
      <c r="P45" s="2194"/>
      <c r="Q45" s="2194"/>
      <c r="R45" s="2194"/>
    </row>
    <row r="46" s="1180" customFormat="1" ht="13.75" spans="1:18">
      <c r="A46" s="2210" t="s">
        <v>1342</v>
      </c>
      <c r="C46" s="2211" t="e">
        <f ca="1">ROUND(C45,0)</f>
        <v>#DIV/0!</v>
      </c>
      <c r="D46" s="2212" t="str">
        <f>C2</f>
        <v>万元</v>
      </c>
      <c r="I46" s="2294" t="s">
        <v>1343</v>
      </c>
      <c r="J46" s="2295"/>
      <c r="K46" s="2296"/>
      <c r="L46" s="2297" t="e">
        <f ca="1">IF(M47="住宅",0,IF(L48&gt;J51,L60,J60))</f>
        <v>#DIV/0!</v>
      </c>
      <c r="O46" s="2298" t="s">
        <v>1344</v>
      </c>
      <c r="P46" s="2299" t="s">
        <v>1345</v>
      </c>
      <c r="Q46" s="2346" t="s">
        <v>1346</v>
      </c>
      <c r="R46" s="2346" t="s">
        <v>1347</v>
      </c>
    </row>
    <row r="47" s="1180" customFormat="1" ht="13.75" spans="1:18">
      <c r="A47" s="2213" t="s">
        <v>1247</v>
      </c>
      <c r="B47" s="2214" t="s">
        <v>1248</v>
      </c>
      <c r="C47" s="2214" t="s">
        <v>1249</v>
      </c>
      <c r="D47" s="2214" t="s">
        <v>1250</v>
      </c>
      <c r="E47" s="2215" t="s">
        <v>1251</v>
      </c>
      <c r="F47" s="1421"/>
      <c r="G47" s="2216"/>
      <c r="I47" s="2300" t="s">
        <v>1348</v>
      </c>
      <c r="J47" s="2301"/>
      <c r="K47" s="2302" t="s">
        <v>1350</v>
      </c>
      <c r="L47" s="2303">
        <f ca="1">INDIRECT("'数据-取费表'!d"&amp;$G$1)</f>
        <v>0</v>
      </c>
      <c r="M47" s="2304" t="str">
        <f>IF(ISNUMBER(FIND("住宅",C1)),"住宅","非住宅")</f>
        <v>非住宅</v>
      </c>
      <c r="O47" s="2305" t="s">
        <v>1011</v>
      </c>
      <c r="P47" s="2306" t="s">
        <v>1351</v>
      </c>
      <c r="Q47" s="2347" t="e">
        <f ca="1">C40+J29</f>
        <v>#DIV/0!</v>
      </c>
      <c r="R47" s="2347" t="s">
        <v>1352</v>
      </c>
    </row>
    <row r="48" s="1180" customFormat="1" ht="42.75" spans="1:18">
      <c r="A48" s="2217" t="s">
        <v>1353</v>
      </c>
      <c r="B48" s="2110" t="s">
        <v>1252</v>
      </c>
      <c r="C48" s="1429">
        <f ca="1">C49+C53+C55</f>
        <v>0</v>
      </c>
      <c r="D48" s="2218"/>
      <c r="E48" s="2219"/>
      <c r="F48" s="2220"/>
      <c r="G48" s="2216"/>
      <c r="H48" s="2221"/>
      <c r="I48" s="2307" t="s">
        <v>1354</v>
      </c>
      <c r="J48" s="2308"/>
      <c r="K48" s="2309" t="s">
        <v>1356</v>
      </c>
      <c r="L48" s="2310">
        <f ca="1">INDIRECT("'数据-取费表'!f"&amp;$G$1)</f>
        <v>0</v>
      </c>
      <c r="O48" s="2305" t="s">
        <v>1014</v>
      </c>
      <c r="P48" s="2306" t="s">
        <v>1357</v>
      </c>
      <c r="Q48" s="2347" t="e">
        <f ca="1">J60</f>
        <v>#DIV/0!</v>
      </c>
      <c r="R48" s="2347" t="s">
        <v>1358</v>
      </c>
    </row>
    <row r="49" s="1180" customFormat="1" ht="13.75" spans="1:18">
      <c r="A49" s="2222" t="s">
        <v>1359</v>
      </c>
      <c r="B49" s="2223" t="s">
        <v>1360</v>
      </c>
      <c r="C49" s="2224">
        <f ca="1">ROUND(F49*F51*F50*(1-F52),0)</f>
        <v>0</v>
      </c>
      <c r="D49" s="2225" t="s">
        <v>1439</v>
      </c>
      <c r="E49" s="2226" t="s">
        <v>1361</v>
      </c>
      <c r="F49" s="2227"/>
      <c r="G49" s="2228"/>
      <c r="H49" s="2221"/>
      <c r="I49" s="2307" t="s">
        <v>1362</v>
      </c>
      <c r="J49" s="2311"/>
      <c r="K49" s="2309" t="s">
        <v>1363</v>
      </c>
      <c r="L49" s="2312"/>
      <c r="O49" s="2313" t="s">
        <v>1364</v>
      </c>
      <c r="P49" s="2306" t="s">
        <v>1365</v>
      </c>
      <c r="Q49" s="2347">
        <f ca="1">C29</f>
        <v>0</v>
      </c>
      <c r="R49" s="2347" t="s">
        <v>1352</v>
      </c>
    </row>
    <row r="50" s="1180" customFormat="1" ht="13.75" spans="1:18">
      <c r="A50" s="2229"/>
      <c r="B50" s="2230"/>
      <c r="C50" s="2231"/>
      <c r="D50" s="2232"/>
      <c r="E50" s="2233" t="s">
        <v>1258</v>
      </c>
      <c r="F50" s="2234">
        <f ca="1">F7</f>
        <v>0</v>
      </c>
      <c r="H50" s="2221"/>
      <c r="I50" s="2307" t="s">
        <v>1366</v>
      </c>
      <c r="J50" s="2314">
        <f>SUMPRODUCT((I63:I65=J47)*(J62:L62=J48)*(J63:L65))</f>
        <v>0</v>
      </c>
      <c r="K50" s="2309" t="s">
        <v>1367</v>
      </c>
      <c r="L50" s="2312"/>
      <c r="M50" s="2315"/>
      <c r="O50" s="2313" t="s">
        <v>1368</v>
      </c>
      <c r="P50" s="2306" t="s">
        <v>1369</v>
      </c>
      <c r="Q50" s="2348" t="e">
        <f ca="1">J58</f>
        <v>#DIV/0!</v>
      </c>
      <c r="R50" s="2347"/>
    </row>
    <row r="51" s="1180" customFormat="1" ht="13.75" spans="1:18">
      <c r="A51" s="2235"/>
      <c r="B51" s="2230"/>
      <c r="C51" s="2231"/>
      <c r="D51" s="2232"/>
      <c r="E51" s="2236" t="s">
        <v>1259</v>
      </c>
      <c r="F51" s="2120">
        <f ca="1">F8</f>
        <v>0</v>
      </c>
      <c r="I51" s="2316" t="s">
        <v>1370</v>
      </c>
      <c r="J51" s="2317">
        <f>IF(J49="",J50,J49+J50-YEAR('数据-取费表'!B2))</f>
        <v>0</v>
      </c>
      <c r="K51" s="2318" t="s">
        <v>1371</v>
      </c>
      <c r="L51" s="2319">
        <f ca="1">ROUND(-PV(INDIRECT("'数据-取费表'!h"&amp;$G$1),J51,(C39-C13*C76),0),0)</f>
        <v>0</v>
      </c>
      <c r="M51" s="2320"/>
      <c r="O51" s="2313" t="s">
        <v>1372</v>
      </c>
      <c r="P51" s="2306" t="s">
        <v>1373</v>
      </c>
      <c r="Q51" s="2348">
        <f>J52</f>
        <v>0</v>
      </c>
      <c r="R51" s="2347"/>
    </row>
    <row r="52" s="1180" customFormat="1" ht="13.75" spans="1:18">
      <c r="A52" s="2235"/>
      <c r="B52" s="2230"/>
      <c r="C52" s="2231"/>
      <c r="D52" s="2232"/>
      <c r="E52" s="2236" t="s">
        <v>1260</v>
      </c>
      <c r="F52" s="2237"/>
      <c r="I52" s="2321" t="s">
        <v>1374</v>
      </c>
      <c r="J52" s="2322"/>
      <c r="K52" s="2321" t="s">
        <v>1375</v>
      </c>
      <c r="L52" s="2322"/>
      <c r="O52" s="2313" t="s">
        <v>1376</v>
      </c>
      <c r="P52" s="2306" t="s">
        <v>1377</v>
      </c>
      <c r="Q52" s="2347">
        <f ca="1">J53</f>
        <v>0</v>
      </c>
      <c r="R52" s="2347" t="s">
        <v>1378</v>
      </c>
    </row>
    <row r="53" s="1180" customFormat="1" ht="30.75" customHeight="1" spans="1:18">
      <c r="A53" s="2238" t="s">
        <v>1379</v>
      </c>
      <c r="B53" s="2162" t="s">
        <v>1261</v>
      </c>
      <c r="C53" s="1427">
        <f ca="1">ROUND(IF(F53="押一",C49/12*F11,IF(F53="押二",C49/12*2*F11,IF(F53="押三",C49/12*3*F11,C54*F11))),0)</f>
        <v>0</v>
      </c>
      <c r="D53" s="2131" t="s">
        <v>1440</v>
      </c>
      <c r="E53" s="2132" t="s">
        <v>1263</v>
      </c>
      <c r="F53" s="2133"/>
      <c r="I53" s="2323" t="s">
        <v>1380</v>
      </c>
      <c r="J53" s="2324">
        <f ca="1">IF(M47="住宅",IF(D1="——",MAX(J51,L48),MAX(J51,L48-'数据-取费表'!B24)),IF(D1="——",MIN(J51,L48),MIN(J51,L48-'数据-取费表'!B24)))</f>
        <v>0</v>
      </c>
      <c r="K53" s="2325" t="s">
        <v>1381</v>
      </c>
      <c r="L53" s="2326"/>
      <c r="O53" s="2305" t="s">
        <v>1115</v>
      </c>
      <c r="P53" s="2306" t="s">
        <v>1382</v>
      </c>
      <c r="Q53" s="2347" t="e">
        <f ca="1">Q47+Q48</f>
        <v>#DIV/0!</v>
      </c>
      <c r="R53" s="2347" t="s">
        <v>1383</v>
      </c>
    </row>
    <row r="54" s="1180" customFormat="1" ht="13.75" spans="1:18">
      <c r="A54" s="2222"/>
      <c r="B54" s="2239" t="s">
        <v>1436</v>
      </c>
      <c r="C54" s="2136"/>
      <c r="D54" s="2131"/>
      <c r="E54" s="2240"/>
      <c r="F54" s="2241"/>
      <c r="I54" s="23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28"/>
      <c r="K54" s="2328"/>
      <c r="L54" s="2328"/>
      <c r="M54" s="2228"/>
      <c r="O54" s="2293" t="s">
        <v>1384</v>
      </c>
      <c r="P54" s="2329"/>
      <c r="Q54" s="2329"/>
      <c r="R54" s="2329"/>
    </row>
    <row r="55" s="1180" customFormat="1" ht="13.75" spans="1:18">
      <c r="A55" s="2139" t="s">
        <v>954</v>
      </c>
      <c r="B55" s="2140" t="s">
        <v>1267</v>
      </c>
      <c r="C55" s="2141"/>
      <c r="D55" s="2131"/>
      <c r="E55" s="2240"/>
      <c r="F55" s="2241"/>
      <c r="I55" s="2330" t="s">
        <v>1385</v>
      </c>
      <c r="J55" s="2331" t="e">
        <f ca="1">ROUND(IF(J47="钢混",J57/J50,1-(1-2%)*(J50-J57)/J50),3)</f>
        <v>#DIV/0!</v>
      </c>
      <c r="K55" s="2332" t="s">
        <v>1386</v>
      </c>
      <c r="L55" s="2333"/>
      <c r="O55" s="2298" t="s">
        <v>1344</v>
      </c>
      <c r="P55" s="2299" t="s">
        <v>1345</v>
      </c>
      <c r="Q55" s="2346" t="s">
        <v>1346</v>
      </c>
      <c r="R55" s="2346" t="s">
        <v>1347</v>
      </c>
    </row>
    <row r="56" s="1180" customFormat="1" ht="36" customHeight="1" spans="1:18">
      <c r="A56" s="2242">
        <v>2</v>
      </c>
      <c r="B56" s="2243" t="s">
        <v>1268</v>
      </c>
      <c r="C56" s="429">
        <f ca="1">C13</f>
        <v>0</v>
      </c>
      <c r="D56" s="2244"/>
      <c r="E56" s="2245"/>
      <c r="F56" s="2241"/>
      <c r="I56" s="2334" t="s">
        <v>1387</v>
      </c>
      <c r="J56" s="2335"/>
      <c r="K56" s="2307" t="s">
        <v>1389</v>
      </c>
      <c r="L56" s="2310">
        <f ca="1">IF(L48&lt;J51,"——",L48-J51)</f>
        <v>0</v>
      </c>
      <c r="O56" s="2305" t="s">
        <v>1011</v>
      </c>
      <c r="P56" s="2306" t="s">
        <v>1351</v>
      </c>
      <c r="Q56" s="2347" t="e">
        <f ca="1">C40+J29</f>
        <v>#DIV/0!</v>
      </c>
      <c r="R56" s="2347" t="s">
        <v>1352</v>
      </c>
    </row>
    <row r="57" s="1180" customFormat="1" ht="26.75" spans="1:18">
      <c r="A57" s="2246"/>
      <c r="B57" s="2247" t="s">
        <v>1331</v>
      </c>
      <c r="C57" s="439">
        <f ca="1">C29</f>
        <v>0</v>
      </c>
      <c r="D57" s="2248"/>
      <c r="E57" s="2249"/>
      <c r="F57" s="2250"/>
      <c r="I57" s="2336" t="s">
        <v>1390</v>
      </c>
      <c r="J57" s="2337">
        <f ca="1">IF(OR(M47="住宅",J51&lt;L48,J56="是"),"——",J51-L48)</f>
        <v>0</v>
      </c>
      <c r="K57" s="2307" t="s">
        <v>1441</v>
      </c>
      <c r="L57" s="2310">
        <f ca="1">IF(L48&lt;J51,"——",IF(L55="比较法",L49,IF(L55="基准地价",L50,L51)))</f>
        <v>0</v>
      </c>
      <c r="O57" s="2305" t="s">
        <v>1014</v>
      </c>
      <c r="P57" s="2306" t="s">
        <v>1392</v>
      </c>
      <c r="Q57" s="2347" t="e">
        <f ca="1">L60</f>
        <v>#DIV/0!</v>
      </c>
      <c r="R57" s="2347" t="s">
        <v>1393</v>
      </c>
    </row>
    <row r="58" s="1180" customFormat="1" ht="26.75" spans="1:18">
      <c r="A58" s="2251" t="s">
        <v>1276</v>
      </c>
      <c r="B58" s="2243" t="s">
        <v>1277</v>
      </c>
      <c r="C58" s="1427">
        <f ca="1">ROUND(C59+C64+C65+C66,0)</f>
        <v>0</v>
      </c>
      <c r="D58" s="2252" t="s">
        <v>1278</v>
      </c>
      <c r="E58" s="2253"/>
      <c r="F58" s="2220"/>
      <c r="I58" s="2336" t="s">
        <v>1394</v>
      </c>
      <c r="J58" s="2338" t="e">
        <f ca="1">IF(J55&lt;0.4,0.4,J55)</f>
        <v>#DIV/0!</v>
      </c>
      <c r="K58" s="2318" t="s">
        <v>1442</v>
      </c>
      <c r="L58" s="2310" t="e">
        <f ca="1">ROUND(POWER(1+L52,L47-L48)*(POWER(1+L52,L48)-1)/(POWER(1+L52,L47)-1),4)</f>
        <v>#DIV/0!</v>
      </c>
      <c r="O58" s="2313" t="s">
        <v>1364</v>
      </c>
      <c r="P58" s="2306" t="s">
        <v>1396</v>
      </c>
      <c r="Q58" s="2347">
        <f>IF(L55="比较法",L49,IF(L55="基准地价",L50,0))</f>
        <v>0</v>
      </c>
      <c r="R58" s="2347" t="s">
        <v>1352</v>
      </c>
    </row>
    <row r="59" s="1180" customFormat="1" ht="26.75" spans="1:18">
      <c r="A59" s="2150" t="s">
        <v>903</v>
      </c>
      <c r="B59" s="2247" t="s">
        <v>1283</v>
      </c>
      <c r="C59" s="2174">
        <f ca="1">ROUND(IF(AND(项目基本情况!B11="自然人",项目基本情况!B10="北京市"),C49*F59/(1+'数据-取费表'!C42),C60+C61+C62),0)</f>
        <v>0</v>
      </c>
      <c r="D59" s="2254" t="s">
        <v>1284</v>
      </c>
      <c r="E59" s="2255" t="s">
        <v>1285</v>
      </c>
      <c r="F59" s="2176" t="str">
        <f ca="1">IF(项目基本情况!B11="企业","——",IF('数据-取费表'!B10="住宅",IF(F49*F50*F51/12/(1+'数据-取费表'!F30)&gt;100000,4%,2.5%),IF(F49*F50*F51/12/(1+'数据-取费表'!F30)&gt;100000,12%,7%)))</f>
        <v>——</v>
      </c>
      <c r="I59" s="2336" t="s">
        <v>1397</v>
      </c>
      <c r="J59" s="2337" t="e">
        <f ca="1">IF(OR(M47="住宅",J51&lt;L48,J56="是"),"——",ROUND(C29*J58,0))</f>
        <v>#DIV/0!</v>
      </c>
      <c r="K59" s="23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0" t="e">
        <f ca="1">ROUND(IF(D1="在建（套用方法）",M59,IF(D1="土地（套用方法）",N59,POWER(1+L52,L47-J51)*(POWER(1+L52,J51)-1)/(POWER(1+L52,L47)-1))),4)</f>
        <v>#DIV/0!</v>
      </c>
      <c r="M59" s="2329" t="e">
        <f ca="1">ROUND(POWER(1+L52,L47-(J51+'数据-取费表'!B24))*(POWER(1+L52,(J51+'数据-取费表'!B24))-1)/(POWER(1+L52,L47)-1),4)</f>
        <v>#DIV/0!</v>
      </c>
      <c r="N59" s="2329" t="e">
        <f ca="1">ROUND(POWER(1+L52,L47-(J51+'数据-取费表'!B20))*(POWER(1+L52,(J51+'数据-取费表'!B20))-1)/(POWER(1+L52,L47)-1),4)</f>
        <v>#DIV/0!</v>
      </c>
      <c r="O59" s="2313" t="s">
        <v>1368</v>
      </c>
      <c r="P59" s="2306" t="s">
        <v>1398</v>
      </c>
      <c r="Q59" s="2348">
        <f>L52</f>
        <v>0</v>
      </c>
      <c r="R59" s="2347"/>
    </row>
    <row r="60" s="1180" customFormat="1" ht="16.75" spans="1:18">
      <c r="A60" s="2150" t="s">
        <v>926</v>
      </c>
      <c r="B60" s="2247" t="s">
        <v>1287</v>
      </c>
      <c r="C60" s="1428">
        <f ca="1">IF(项目基本情况!B11="自然人","——",ROUND(C48*F60/(1+'数据-取费表'!C42),0))</f>
        <v>0</v>
      </c>
      <c r="D60" s="2255" t="s">
        <v>1288</v>
      </c>
      <c r="E60" s="2247" t="s">
        <v>1275</v>
      </c>
      <c r="F60" s="2166">
        <f t="shared" ref="F60:F66" si="0">F32</f>
        <v>0.056</v>
      </c>
      <c r="I60" s="2339" t="s">
        <v>1399</v>
      </c>
      <c r="J60" s="2340" t="e">
        <f ca="1">IF(OR(M47="住宅",J51&lt;L48,J56="是"),"0",ROUND(J59/(1+J52)^J53,0))</f>
        <v>#DIV/0!</v>
      </c>
      <c r="K60" s="2341" t="s">
        <v>1400</v>
      </c>
      <c r="L60" s="2340" t="e">
        <f ca="1">IF(OR(M47="住宅",L48&lt;J51),0,ROUND(L57*(L58/L59-1),0))</f>
        <v>#DIV/0!</v>
      </c>
      <c r="O60" s="2313" t="s">
        <v>1372</v>
      </c>
      <c r="P60" s="2306" t="s">
        <v>1401</v>
      </c>
      <c r="Q60" s="2347" t="e">
        <f ca="1">L58</f>
        <v>#DIV/0!</v>
      </c>
      <c r="R60" s="2347" t="s">
        <v>1402</v>
      </c>
    </row>
    <row r="61" s="1180" customFormat="1" ht="13.75" spans="1:18">
      <c r="A61" s="2150" t="s">
        <v>931</v>
      </c>
      <c r="B61" s="2247" t="s">
        <v>1291</v>
      </c>
      <c r="C61" s="1428">
        <f ca="1">IF(项目基本情况!B11="自然人","——",IF(D61="按租金收入计税",ROUND(C49*F61/(1+'数据-取费表'!C42),0),IF(D61="按房产原值计税",ROUND(C57*F61*0.7,0),INDIRECT("'数据-取费表'!Aj"&amp;$G$1))))</f>
        <v>0</v>
      </c>
      <c r="D61" s="2178" t="s">
        <v>1292</v>
      </c>
      <c r="E61" s="2247" t="s">
        <v>1275</v>
      </c>
      <c r="F61" s="2159">
        <f t="shared" si="0"/>
        <v>0.12</v>
      </c>
      <c r="I61" s="2194"/>
      <c r="J61" s="2194"/>
      <c r="K61" s="2194"/>
      <c r="L61" s="2194"/>
      <c r="O61" s="2313" t="s">
        <v>1376</v>
      </c>
      <c r="P61" s="2306" t="str">
        <f>K59</f>
        <v>建筑物剩余耐用年限下的土地年期修正系数Kn</v>
      </c>
      <c r="Q61" s="2347" t="e">
        <f ca="1">L59</f>
        <v>#DIV/0!</v>
      </c>
      <c r="R61" s="2347" t="s">
        <v>1403</v>
      </c>
    </row>
    <row r="62" s="1180" customFormat="1" ht="13.75" spans="1:18">
      <c r="A62" s="2150" t="s">
        <v>934</v>
      </c>
      <c r="B62" s="2256" t="s">
        <v>1295</v>
      </c>
      <c r="C62" s="2180">
        <f ca="1">IF(项目基本情况!B11="自然人","——",ROUND(F62*F63,0))</f>
        <v>0</v>
      </c>
      <c r="D62" s="2257" t="s">
        <v>1296</v>
      </c>
      <c r="E62" s="2247" t="s">
        <v>1297</v>
      </c>
      <c r="F62" s="2165">
        <f t="shared" si="0"/>
        <v>0</v>
      </c>
      <c r="I62" s="2342" t="s">
        <v>1404</v>
      </c>
      <c r="J62" s="2343" t="s">
        <v>1405</v>
      </c>
      <c r="K62" s="2343" t="s">
        <v>1406</v>
      </c>
      <c r="L62" s="2343" t="s">
        <v>1407</v>
      </c>
      <c r="M62" s="2344" t="s">
        <v>1408</v>
      </c>
      <c r="O62" s="2305" t="s">
        <v>1115</v>
      </c>
      <c r="P62" s="2306" t="s">
        <v>1382</v>
      </c>
      <c r="Q62" s="2347" t="e">
        <f ca="1">Q56+Q57</f>
        <v>#DIV/0!</v>
      </c>
      <c r="R62" s="2347" t="s">
        <v>1383</v>
      </c>
    </row>
    <row r="63" s="1180" customFormat="1" ht="13.75" spans="1:18">
      <c r="A63" s="2163"/>
      <c r="B63" s="2258"/>
      <c r="C63" s="2184"/>
      <c r="D63" s="2259"/>
      <c r="E63" s="2247" t="s">
        <v>1301</v>
      </c>
      <c r="F63" s="2120">
        <f ca="1" t="shared" si="0"/>
        <v>0</v>
      </c>
      <c r="I63" s="2342" t="s">
        <v>1409</v>
      </c>
      <c r="J63" s="2343">
        <v>70</v>
      </c>
      <c r="K63" s="2343">
        <v>50</v>
      </c>
      <c r="L63" s="2343">
        <v>80</v>
      </c>
      <c r="M63" s="2345">
        <v>0.02</v>
      </c>
      <c r="O63" s="2293" t="s">
        <v>1410</v>
      </c>
      <c r="P63" s="2329"/>
      <c r="Q63" s="2329"/>
      <c r="R63" s="2329"/>
    </row>
    <row r="64" s="1180" customFormat="1" ht="13.75" spans="1:18">
      <c r="A64" s="2150" t="s">
        <v>907</v>
      </c>
      <c r="B64" s="2247" t="s">
        <v>1303</v>
      </c>
      <c r="C64" s="1428">
        <f ca="1">ROUND(C57*F64,0)</f>
        <v>0</v>
      </c>
      <c r="D64" s="2255" t="s">
        <v>1336</v>
      </c>
      <c r="E64" s="2247" t="s">
        <v>1275</v>
      </c>
      <c r="F64" s="2187">
        <f ca="1" t="shared" si="0"/>
        <v>0</v>
      </c>
      <c r="I64" s="2342" t="s">
        <v>1411</v>
      </c>
      <c r="J64" s="2343">
        <v>50</v>
      </c>
      <c r="K64" s="2343">
        <v>35</v>
      </c>
      <c r="L64" s="2343">
        <v>60</v>
      </c>
      <c r="M64" s="2344">
        <v>0</v>
      </c>
      <c r="O64" s="2298" t="s">
        <v>1344</v>
      </c>
      <c r="P64" s="2299" t="s">
        <v>1345</v>
      </c>
      <c r="Q64" s="2346" t="s">
        <v>1346</v>
      </c>
      <c r="R64" s="2346" t="s">
        <v>1347</v>
      </c>
    </row>
    <row r="65" s="1180" customFormat="1" ht="13.75" spans="1:18">
      <c r="A65" s="2150" t="s">
        <v>954</v>
      </c>
      <c r="B65" s="2247" t="s">
        <v>1307</v>
      </c>
      <c r="C65" s="1428">
        <f ca="1">ROUND(C56*F65,0)</f>
        <v>0</v>
      </c>
      <c r="D65" s="2255" t="s">
        <v>1308</v>
      </c>
      <c r="E65" s="2247" t="s">
        <v>1275</v>
      </c>
      <c r="F65" s="2188">
        <f ca="1" t="shared" si="0"/>
        <v>0</v>
      </c>
      <c r="I65" s="2342" t="s">
        <v>1412</v>
      </c>
      <c r="J65" s="2343">
        <v>40</v>
      </c>
      <c r="K65" s="2343">
        <v>30</v>
      </c>
      <c r="L65" s="2343">
        <v>50</v>
      </c>
      <c r="M65" s="2345">
        <v>0.02</v>
      </c>
      <c r="O65" s="2305" t="s">
        <v>1011</v>
      </c>
      <c r="P65" s="2306" t="s">
        <v>1351</v>
      </c>
      <c r="Q65" s="2347" t="e">
        <f ca="1">C40+J29</f>
        <v>#DIV/0!</v>
      </c>
      <c r="R65" s="2347" t="s">
        <v>1352</v>
      </c>
    </row>
    <row r="66" s="1180" customFormat="1" ht="16.75" spans="1:18">
      <c r="A66" s="2150" t="s">
        <v>957</v>
      </c>
      <c r="B66" s="2247" t="s">
        <v>1293</v>
      </c>
      <c r="C66" s="1428">
        <f ca="1">ROUND(C48*F66,0)</f>
        <v>0</v>
      </c>
      <c r="D66" s="2255" t="s">
        <v>1311</v>
      </c>
      <c r="E66" s="2247" t="s">
        <v>1275</v>
      </c>
      <c r="F66" s="2129">
        <f ca="1" t="shared" si="0"/>
        <v>0</v>
      </c>
      <c r="O66" s="2305" t="s">
        <v>1014</v>
      </c>
      <c r="P66" s="2306" t="s">
        <v>1392</v>
      </c>
      <c r="Q66" s="2347" t="e">
        <f ca="1">L60</f>
        <v>#DIV/0!</v>
      </c>
      <c r="R66" s="2347" t="s">
        <v>1393</v>
      </c>
    </row>
    <row r="67" s="1180" customFormat="1" ht="26.75" spans="1:18">
      <c r="A67" s="2242" t="s">
        <v>1314</v>
      </c>
      <c r="B67" s="2349" t="s">
        <v>1315</v>
      </c>
      <c r="C67" s="1427">
        <f ca="1">C48-C58</f>
        <v>0</v>
      </c>
      <c r="D67" s="2254" t="s">
        <v>1316</v>
      </c>
      <c r="E67" s="2350"/>
      <c r="F67" s="2351"/>
      <c r="O67" s="2313" t="s">
        <v>1364</v>
      </c>
      <c r="P67" s="2306" t="s">
        <v>1396</v>
      </c>
      <c r="Q67" s="2371">
        <f ca="1">L51</f>
        <v>0</v>
      </c>
      <c r="R67" s="2347" t="s">
        <v>1413</v>
      </c>
    </row>
    <row r="68" s="1180" customFormat="1" ht="16.75" spans="1:18">
      <c r="A68" s="2352" t="s">
        <v>1320</v>
      </c>
      <c r="B68" s="2353" t="s">
        <v>1337</v>
      </c>
      <c r="C68" s="2193" t="e">
        <f ca="1">ROUND(C67*(1-((1+F70)/(1+F68))^F69)/(F68-F70),0)</f>
        <v>#DIV/0!</v>
      </c>
      <c r="D68" s="2257" t="s">
        <v>1322</v>
      </c>
      <c r="E68" s="2247" t="s">
        <v>1323</v>
      </c>
      <c r="F68" s="2129">
        <f ca="1">F40</f>
        <v>0</v>
      </c>
      <c r="O68" s="2313" t="s">
        <v>1368</v>
      </c>
      <c r="P68" s="2370" t="s">
        <v>1414</v>
      </c>
      <c r="Q68" s="2347">
        <f ca="1">ROUND(Q69-Q70*Q71,0)</f>
        <v>0</v>
      </c>
      <c r="R68" s="2347" t="s">
        <v>1415</v>
      </c>
    </row>
    <row r="69" s="1180" customFormat="1" ht="13.75" spans="1:18">
      <c r="A69" s="2354"/>
      <c r="B69" s="2355"/>
      <c r="C69" s="2127"/>
      <c r="D69" s="2356" t="s">
        <v>1326</v>
      </c>
      <c r="E69" s="2247" t="s">
        <v>1327</v>
      </c>
      <c r="F69" s="2197">
        <f ca="1">F41</f>
        <v>0</v>
      </c>
      <c r="O69" s="2313" t="s">
        <v>1416</v>
      </c>
      <c r="P69" s="2370" t="s">
        <v>1417</v>
      </c>
      <c r="Q69" s="2347">
        <f ca="1">C39</f>
        <v>0</v>
      </c>
      <c r="R69" s="2347" t="s">
        <v>1352</v>
      </c>
    </row>
    <row r="70" s="1180" customFormat="1" ht="13.75" spans="1:18">
      <c r="A70" s="2357"/>
      <c r="B70" s="2358"/>
      <c r="C70" s="2147"/>
      <c r="D70" s="2259"/>
      <c r="E70" s="2247" t="s">
        <v>1330</v>
      </c>
      <c r="F70" s="2237"/>
      <c r="O70" s="2313" t="s">
        <v>1418</v>
      </c>
      <c r="P70" s="2370" t="s">
        <v>1419</v>
      </c>
      <c r="Q70" s="2347">
        <f ca="1">C13</f>
        <v>0</v>
      </c>
      <c r="R70" s="2347" t="s">
        <v>1352</v>
      </c>
    </row>
    <row r="71" s="1180" customFormat="1" ht="13.75" spans="1:18">
      <c r="A71" s="2359" t="s">
        <v>1332</v>
      </c>
      <c r="B71" s="2360" t="s">
        <v>1338</v>
      </c>
      <c r="C71" s="2201" t="e">
        <f ca="1">ROUND(C68/F71,0)</f>
        <v>#DIV/0!</v>
      </c>
      <c r="D71" s="2361" t="s">
        <v>1339</v>
      </c>
      <c r="E71" s="2362" t="s">
        <v>1340</v>
      </c>
      <c r="F71" s="2204">
        <f ca="1">F43</f>
        <v>0</v>
      </c>
      <c r="O71" s="2313" t="s">
        <v>1420</v>
      </c>
      <c r="P71" s="2370" t="s">
        <v>1421</v>
      </c>
      <c r="Q71" s="2348">
        <f ca="1">C76</f>
        <v>0</v>
      </c>
      <c r="R71" s="2347"/>
    </row>
    <row r="72" s="1180" customFormat="1" ht="13.75" spans="2:18">
      <c r="B72" s="1462"/>
      <c r="C72" s="1462"/>
      <c r="O72" s="2313" t="s">
        <v>1372</v>
      </c>
      <c r="P72" s="2306" t="s">
        <v>1398</v>
      </c>
      <c r="Q72" s="2348">
        <f>L52</f>
        <v>0</v>
      </c>
      <c r="R72" s="2347"/>
    </row>
    <row r="73" ht="16.75" spans="1:18">
      <c r="A73" s="1180"/>
      <c r="B73" s="1462"/>
      <c r="C73" s="1462"/>
      <c r="D73" s="1180"/>
      <c r="E73" s="1180"/>
      <c r="F73" s="1180"/>
      <c r="O73" s="2313" t="s">
        <v>1376</v>
      </c>
      <c r="P73" s="2306" t="s">
        <v>1401</v>
      </c>
      <c r="Q73" s="2347" t="e">
        <f ca="1">L58</f>
        <v>#DIV/0!</v>
      </c>
      <c r="R73" s="2347" t="s">
        <v>1402</v>
      </c>
    </row>
    <row r="74" ht="13.75" spans="1:18">
      <c r="A74" s="1180"/>
      <c r="B74" s="474" t="s">
        <v>1422</v>
      </c>
      <c r="C74" s="2363"/>
      <c r="D74" s="1180"/>
      <c r="E74" s="1180"/>
      <c r="F74" s="1180"/>
      <c r="O74" s="2313" t="s">
        <v>1423</v>
      </c>
      <c r="P74" s="2306" t="str">
        <f>K59</f>
        <v>建筑物剩余耐用年限下的土地年期修正系数Kn</v>
      </c>
      <c r="Q74" s="2347" t="e">
        <f ca="1">L59</f>
        <v>#DIV/0!</v>
      </c>
      <c r="R74" s="2347" t="s">
        <v>1403</v>
      </c>
    </row>
    <row r="75" ht="13.75" spans="1:18">
      <c r="A75" s="1180"/>
      <c r="B75" s="2364" t="s">
        <v>1424</v>
      </c>
      <c r="C75" s="2365">
        <f ca="1">ROUND(C13*C76,0)</f>
        <v>0</v>
      </c>
      <c r="D75" s="1180"/>
      <c r="E75" s="1180"/>
      <c r="F75" s="1180"/>
      <c r="K75" s="2292"/>
      <c r="L75" s="1180"/>
      <c r="O75" s="2305" t="s">
        <v>1115</v>
      </c>
      <c r="P75" s="2306" t="s">
        <v>1382</v>
      </c>
      <c r="Q75" s="2347" t="e">
        <f ca="1">Q65+Q66</f>
        <v>#DIV/0!</v>
      </c>
      <c r="R75" s="2347" t="s">
        <v>1383</v>
      </c>
    </row>
    <row r="76" ht="13" spans="2:12">
      <c r="B76" s="959" t="s">
        <v>1425</v>
      </c>
      <c r="C76" s="2366">
        <f ca="1">INDIRECT("'数据-取费表'!j"&amp;$G$1)</f>
        <v>0</v>
      </c>
      <c r="I76" s="1180"/>
      <c r="J76" s="1180"/>
      <c r="K76" s="2292"/>
      <c r="L76" s="1180"/>
    </row>
    <row r="77" ht="13" spans="2:12">
      <c r="B77" s="2367" t="s">
        <v>1426</v>
      </c>
      <c r="C77" s="2368"/>
      <c r="I77" s="1180"/>
      <c r="J77" s="1180"/>
      <c r="K77" s="2292"/>
      <c r="L77" s="1180"/>
    </row>
    <row r="78" ht="13" spans="2:3">
      <c r="B78" s="472" t="s">
        <v>1427</v>
      </c>
      <c r="C78" s="2369"/>
    </row>
    <row r="79" ht="13" spans="2:3">
      <c r="B79" s="2364" t="s">
        <v>1428</v>
      </c>
      <c r="C79" s="475" t="e">
        <f ca="1">1-C80</f>
        <v>#DIV/0!</v>
      </c>
    </row>
    <row r="80" ht="13" spans="2:3">
      <c r="B80" s="2364" t="s">
        <v>1429</v>
      </c>
      <c r="C80" s="475" t="e">
        <f ca="1">ROUND(C75/C39,3)</f>
        <v>#DIV/0!</v>
      </c>
    </row>
    <row r="81" ht="13" spans="2:3">
      <c r="B81" s="472" t="s">
        <v>1430</v>
      </c>
      <c r="C81" s="439"/>
    </row>
    <row r="82" ht="13" spans="2:3">
      <c r="B82" s="474" t="s">
        <v>1091</v>
      </c>
      <c r="C82" s="476" t="e">
        <f ca="1">1-C83</f>
        <v>#DIV/0!</v>
      </c>
    </row>
    <row r="83" ht="13" spans="2:3">
      <c r="B83" s="474" t="s">
        <v>1092</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
  <cols>
    <col min="1" max="1" width="23.6272727272727" style="1352" customWidth="1"/>
    <col min="2" max="2" width="12" style="1352" customWidth="1"/>
    <col min="3" max="3" width="9" style="1352"/>
    <col min="4" max="4" width="14.1272727272727" style="1352" customWidth="1"/>
    <col min="5" max="5" width="9" style="1352"/>
    <col min="6" max="6" width="12.8727272727273" style="1352" customWidth="1"/>
    <col min="7" max="16384" width="9" style="1352"/>
  </cols>
  <sheetData>
    <row r="1" ht="21" spans="1:19">
      <c r="A1" s="1353" t="s">
        <v>1443</v>
      </c>
      <c r="B1" s="2060"/>
      <c r="C1" s="2060"/>
      <c r="D1" s="2060"/>
      <c r="E1" s="2061"/>
      <c r="F1" s="2062"/>
      <c r="G1" s="2063"/>
      <c r="H1" s="2063"/>
      <c r="I1" s="2063"/>
      <c r="J1" s="2063"/>
      <c r="K1" s="2063"/>
      <c r="L1" s="2063"/>
      <c r="M1" s="2063"/>
      <c r="N1" s="2063"/>
      <c r="O1" s="2063"/>
      <c r="P1" s="2063"/>
      <c r="Q1" s="2063"/>
      <c r="R1" s="2063"/>
      <c r="S1" s="2063"/>
    </row>
    <row r="2" ht="15" spans="1:19">
      <c r="A2" s="2064" t="s">
        <v>995</v>
      </c>
      <c r="B2" s="2065">
        <f ca="1">SUMIF(B6:B13,"&lt;&gt;#ref!",B6:B13)</f>
        <v>5589</v>
      </c>
      <c r="C2" s="2066" t="s">
        <v>1444</v>
      </c>
      <c r="D2" s="2067" t="s">
        <v>1445</v>
      </c>
      <c r="E2" s="2068">
        <f>SUM(E6:E13)</f>
        <v>3013</v>
      </c>
      <c r="F2" s="2062"/>
      <c r="G2" s="2063"/>
      <c r="H2" s="2063"/>
      <c r="I2" s="2063"/>
      <c r="J2" s="2063"/>
      <c r="K2" s="2063"/>
      <c r="L2" s="2063"/>
      <c r="M2" s="2063"/>
      <c r="N2" s="2063"/>
      <c r="O2" s="2063"/>
      <c r="P2" s="2063"/>
      <c r="Q2" s="2063"/>
      <c r="R2" s="2063"/>
      <c r="S2" s="2063"/>
    </row>
    <row r="3" ht="15" spans="1:19">
      <c r="A3" s="2064" t="s">
        <v>997</v>
      </c>
      <c r="B3" s="2069">
        <f ca="1">ROUND(B2*10000/E2,0)</f>
        <v>18550</v>
      </c>
      <c r="C3" s="2066" t="s">
        <v>1446</v>
      </c>
      <c r="D3" s="2070"/>
      <c r="E3" s="2071"/>
      <c r="F3" s="2062"/>
      <c r="G3" s="2063"/>
      <c r="H3" s="2063"/>
      <c r="I3" s="2063"/>
      <c r="J3" s="2063"/>
      <c r="K3" s="2063"/>
      <c r="L3" s="2063"/>
      <c r="M3" s="2063"/>
      <c r="N3" s="2063"/>
      <c r="O3" s="2063"/>
      <c r="P3" s="2063"/>
      <c r="Q3" s="2063"/>
      <c r="R3" s="2063"/>
      <c r="S3" s="2063"/>
    </row>
    <row r="4" ht="15.5" spans="1:19">
      <c r="A4" s="2072"/>
      <c r="B4" s="2070"/>
      <c r="C4" s="2070"/>
      <c r="D4" s="2070"/>
      <c r="E4" s="2071"/>
      <c r="F4" s="2062"/>
      <c r="G4" s="2063"/>
      <c r="H4" s="2063"/>
      <c r="I4" s="2063"/>
      <c r="J4" s="2063"/>
      <c r="K4" s="2063"/>
      <c r="L4" s="2063"/>
      <c r="M4" s="2063"/>
      <c r="N4" s="2063"/>
      <c r="O4" s="2063"/>
      <c r="P4" s="2063"/>
      <c r="Q4" s="2063"/>
      <c r="R4" s="2063"/>
      <c r="S4" s="2063"/>
    </row>
    <row r="5" spans="1:19">
      <c r="A5" s="2073" t="s">
        <v>1447</v>
      </c>
      <c r="B5" s="2074" t="s">
        <v>1448</v>
      </c>
      <c r="C5" s="2075"/>
      <c r="D5" s="2076"/>
      <c r="E5" s="2077" t="s">
        <v>1449</v>
      </c>
      <c r="F5" s="2078" t="s">
        <v>1450</v>
      </c>
      <c r="G5" s="2063"/>
      <c r="H5" s="2063"/>
      <c r="I5" s="2063"/>
      <c r="J5" s="2063"/>
      <c r="K5" s="2063"/>
      <c r="L5" s="2063"/>
      <c r="M5" s="2063"/>
      <c r="N5" s="2063"/>
      <c r="O5" s="2063"/>
      <c r="P5" s="2063"/>
      <c r="Q5" s="2063"/>
      <c r="R5" s="2063"/>
      <c r="S5" s="2063"/>
    </row>
    <row r="6" spans="1:19">
      <c r="A6" s="2079" t="str">
        <f>'数据-取费表'!AN6</f>
        <v>收益法</v>
      </c>
      <c r="B6" s="1357">
        <f ca="1">IF(F6="是",'数据-取费表'!AO6,0)</f>
        <v>5589</v>
      </c>
      <c r="C6" s="2066" t="s">
        <v>1444</v>
      </c>
      <c r="D6" s="2070"/>
      <c r="E6" s="2080">
        <f>IF(OR(A6=0,F6="否"),0,'数据-取费表'!K6+'数据-取费表'!S6)</f>
        <v>3013</v>
      </c>
      <c r="F6" s="2081" t="s">
        <v>1451</v>
      </c>
      <c r="G6" s="2063"/>
      <c r="H6" s="2063"/>
      <c r="I6" s="2063"/>
      <c r="J6" s="2063"/>
      <c r="K6" s="2063"/>
      <c r="L6" s="2063"/>
      <c r="M6" s="2063"/>
      <c r="N6" s="2063"/>
      <c r="O6" s="2063"/>
      <c r="P6" s="2063"/>
      <c r="Q6" s="2063"/>
      <c r="R6" s="2063"/>
      <c r="S6" s="2063"/>
    </row>
    <row r="7" spans="1:19">
      <c r="A7" s="2079">
        <f>'数据-取费表'!AN7</f>
        <v>0</v>
      </c>
      <c r="B7" s="1357" t="e">
        <f ca="1">IF(F7="是",'数据-取费表'!AO7,0)</f>
        <v>#REF!</v>
      </c>
      <c r="C7" s="2066" t="s">
        <v>1444</v>
      </c>
      <c r="D7" s="2070"/>
      <c r="E7" s="2080">
        <f>IF(OR(A7=0,F7="否"),0,'数据-取费表'!K7+'数据-取费表'!S7)</f>
        <v>0</v>
      </c>
      <c r="F7" s="2081" t="s">
        <v>1451</v>
      </c>
      <c r="G7" s="2063"/>
      <c r="H7" s="2063"/>
      <c r="I7" s="2063"/>
      <c r="J7" s="2063"/>
      <c r="K7" s="2063"/>
      <c r="L7" s="2063"/>
      <c r="M7" s="2063"/>
      <c r="N7" s="2063"/>
      <c r="O7" s="2063"/>
      <c r="P7" s="2063"/>
      <c r="Q7" s="2063"/>
      <c r="R7" s="2063"/>
      <c r="S7" s="2063"/>
    </row>
    <row r="8" spans="1:19">
      <c r="A8" s="2079">
        <f>'数据-取费表'!AN8</f>
        <v>0</v>
      </c>
      <c r="B8" s="1357" t="e">
        <f ca="1">IF(F8="是",'数据-取费表'!AO8,0)</f>
        <v>#REF!</v>
      </c>
      <c r="C8" s="2066" t="s">
        <v>1444</v>
      </c>
      <c r="D8" s="2070"/>
      <c r="E8" s="2080">
        <f>IF(OR(A8=0,F8="否"),0,'数据-取费表'!K8+'数据-取费表'!S8)</f>
        <v>0</v>
      </c>
      <c r="F8" s="2081" t="s">
        <v>1451</v>
      </c>
      <c r="G8" s="2063"/>
      <c r="H8" s="2063"/>
      <c r="I8" s="2063"/>
      <c r="J8" s="2063"/>
      <c r="K8" s="2063"/>
      <c r="L8" s="2063"/>
      <c r="M8" s="2063"/>
      <c r="N8" s="2063"/>
      <c r="O8" s="2063"/>
      <c r="P8" s="2063"/>
      <c r="Q8" s="2063"/>
      <c r="R8" s="2063"/>
      <c r="S8" s="2063"/>
    </row>
    <row r="9" spans="1:19">
      <c r="A9" s="2079">
        <f>'数据-取费表'!AN9</f>
        <v>0</v>
      </c>
      <c r="B9" s="1357" t="e">
        <f ca="1">IF(F9="是",'数据-取费表'!AO9,0)</f>
        <v>#REF!</v>
      </c>
      <c r="C9" s="2066" t="s">
        <v>1444</v>
      </c>
      <c r="D9" s="2070"/>
      <c r="E9" s="2080">
        <f>IF(OR(A9=0,F9="否"),0,'数据-取费表'!K9+'数据-取费表'!S9)</f>
        <v>0</v>
      </c>
      <c r="F9" s="2081" t="s">
        <v>1451</v>
      </c>
      <c r="G9" s="2063"/>
      <c r="H9" s="2063"/>
      <c r="I9" s="2063"/>
      <c r="J9" s="2063"/>
      <c r="K9" s="2063"/>
      <c r="L9" s="2063"/>
      <c r="M9" s="2063"/>
      <c r="N9" s="2063"/>
      <c r="O9" s="2063"/>
      <c r="P9" s="2063"/>
      <c r="Q9" s="2063"/>
      <c r="R9" s="2063"/>
      <c r="S9" s="2063"/>
    </row>
    <row r="10" spans="1:19">
      <c r="A10" s="2079">
        <f>'数据-取费表'!AN10</f>
        <v>0</v>
      </c>
      <c r="B10" s="1357" t="e">
        <f ca="1">IF(F10="是",'数据-取费表'!AO10,0)</f>
        <v>#REF!</v>
      </c>
      <c r="C10" s="2066" t="s">
        <v>1444</v>
      </c>
      <c r="D10" s="2070"/>
      <c r="E10" s="2080">
        <f>IF(OR(A10=0,F10="否"),0,'数据-取费表'!K10+'数据-取费表'!S10)</f>
        <v>0</v>
      </c>
      <c r="F10" s="2081" t="s">
        <v>1451</v>
      </c>
      <c r="G10" s="2063"/>
      <c r="H10" s="2063"/>
      <c r="I10" s="2063"/>
      <c r="J10" s="2063"/>
      <c r="K10" s="2063"/>
      <c r="L10" s="2063"/>
      <c r="M10" s="2063"/>
      <c r="N10" s="2063"/>
      <c r="O10" s="2063"/>
      <c r="P10" s="2063"/>
      <c r="Q10" s="2063"/>
      <c r="R10" s="2063"/>
      <c r="S10" s="2063"/>
    </row>
    <row r="11" spans="1:19">
      <c r="A11" s="2079">
        <f>'数据-取费表'!AN11</f>
        <v>0</v>
      </c>
      <c r="B11" s="1357" t="e">
        <f ca="1">IF(F11="是",'数据-取费表'!AO11,0)</f>
        <v>#REF!</v>
      </c>
      <c r="C11" s="2066" t="s">
        <v>1444</v>
      </c>
      <c r="D11" s="2070"/>
      <c r="E11" s="2080">
        <f>IF(OR(A11=0,F11="否"),0,'数据-取费表'!K11+'数据-取费表'!S11)</f>
        <v>0</v>
      </c>
      <c r="F11" s="2081" t="s">
        <v>1451</v>
      </c>
      <c r="G11" s="2063"/>
      <c r="H11" s="2063"/>
      <c r="I11" s="2063"/>
      <c r="J11" s="2063"/>
      <c r="K11" s="2063"/>
      <c r="L11" s="2063"/>
      <c r="M11" s="2063"/>
      <c r="N11" s="2063"/>
      <c r="O11" s="2063"/>
      <c r="P11" s="2063"/>
      <c r="Q11" s="2063"/>
      <c r="R11" s="2063"/>
      <c r="S11" s="2063"/>
    </row>
    <row r="12" spans="1:19">
      <c r="A12" s="2079">
        <f>'数据-取费表'!AN12</f>
        <v>0</v>
      </c>
      <c r="B12" s="1357" t="e">
        <f ca="1">IF(F12="是",'数据-取费表'!AO12,0)</f>
        <v>#REF!</v>
      </c>
      <c r="C12" s="2066" t="s">
        <v>1444</v>
      </c>
      <c r="D12" s="2070"/>
      <c r="E12" s="2080">
        <f>IF(OR(A12=0,F12="否"),0,'数据-取费表'!K12+'数据-取费表'!S12)</f>
        <v>0</v>
      </c>
      <c r="F12" s="2081" t="s">
        <v>1451</v>
      </c>
      <c r="G12" s="2063"/>
      <c r="H12" s="2063"/>
      <c r="I12" s="2063"/>
      <c r="J12" s="2063"/>
      <c r="K12" s="2063"/>
      <c r="L12" s="2063"/>
      <c r="M12" s="2063"/>
      <c r="N12" s="2063"/>
      <c r="O12" s="2063"/>
      <c r="P12" s="2063"/>
      <c r="Q12" s="2063"/>
      <c r="R12" s="2063"/>
      <c r="S12" s="2063"/>
    </row>
    <row r="13" ht="14.75" spans="1:19">
      <c r="A13" s="2082">
        <f>'数据-取费表'!AN13</f>
        <v>0</v>
      </c>
      <c r="B13" s="1357" t="e">
        <f ca="1">IF(F13="是",'数据-取费表'!AO13,0)</f>
        <v>#REF!</v>
      </c>
      <c r="C13" s="2083" t="s">
        <v>1444</v>
      </c>
      <c r="D13" s="2084"/>
      <c r="E13" s="2080">
        <f>IF(OR(A13=0,F13="否"),0,'数据-取费表'!K13+'数据-取费表'!S13)</f>
        <v>0</v>
      </c>
      <c r="F13" s="2081" t="s">
        <v>1451</v>
      </c>
      <c r="G13" s="2063"/>
      <c r="H13" s="2063"/>
      <c r="I13" s="2063"/>
      <c r="J13" s="2063"/>
      <c r="K13" s="2063"/>
      <c r="L13" s="2063"/>
      <c r="M13" s="2063"/>
      <c r="N13" s="2063"/>
      <c r="O13" s="2063"/>
      <c r="P13" s="2063"/>
      <c r="Q13" s="2063"/>
      <c r="R13" s="2063"/>
      <c r="S13" s="2063"/>
    </row>
    <row r="14" spans="1:22">
      <c r="A14" s="2063"/>
      <c r="B14" s="2063"/>
      <c r="C14" s="2063"/>
      <c r="D14" s="2063"/>
      <c r="E14" s="2063"/>
      <c r="F14" s="2063"/>
      <c r="G14" s="2063"/>
      <c r="H14" s="2063"/>
      <c r="I14" s="2063"/>
      <c r="J14" s="2063"/>
      <c r="K14" s="2063"/>
      <c r="L14" s="2063"/>
      <c r="M14" s="2063"/>
      <c r="N14" s="2063"/>
      <c r="O14" s="2063"/>
      <c r="P14" s="2063"/>
      <c r="Q14" s="2063"/>
      <c r="R14" s="2063"/>
      <c r="S14" s="2063"/>
      <c r="T14" s="2063"/>
      <c r="U14" s="2063"/>
      <c r="V14" s="2063"/>
    </row>
    <row r="15" spans="1:22">
      <c r="A15" s="2063"/>
      <c r="B15" s="2063"/>
      <c r="C15" s="2063"/>
      <c r="D15" s="2063"/>
      <c r="E15" s="2063"/>
      <c r="F15" s="2063"/>
      <c r="G15" s="2063"/>
      <c r="H15" s="2063"/>
      <c r="I15" s="2063"/>
      <c r="J15" s="2063"/>
      <c r="K15" s="2063"/>
      <c r="L15" s="2063"/>
      <c r="M15" s="2063"/>
      <c r="N15" s="2063"/>
      <c r="O15" s="2063"/>
      <c r="P15" s="2063"/>
      <c r="Q15" s="2063"/>
      <c r="R15" s="2063"/>
      <c r="S15" s="2063"/>
      <c r="T15" s="2063"/>
      <c r="U15" s="2063"/>
      <c r="V15" s="2063"/>
    </row>
    <row r="16" spans="1:22">
      <c r="A16" s="2063"/>
      <c r="B16" s="2063"/>
      <c r="C16" s="2063"/>
      <c r="D16" s="2063"/>
      <c r="E16" s="2063"/>
      <c r="F16" s="2063"/>
      <c r="G16" s="2063"/>
      <c r="H16" s="2063"/>
      <c r="I16" s="2063"/>
      <c r="J16" s="2063"/>
      <c r="K16" s="2063"/>
      <c r="L16" s="2063"/>
      <c r="M16" s="2063"/>
      <c r="N16" s="2063"/>
      <c r="O16" s="2063"/>
      <c r="P16" s="2063"/>
      <c r="Q16" s="2063"/>
      <c r="R16" s="2063"/>
      <c r="S16" s="2063"/>
      <c r="T16" s="2063"/>
      <c r="U16" s="2063"/>
      <c r="V16" s="2063"/>
    </row>
    <row r="17" spans="1:22">
      <c r="A17" s="2063"/>
      <c r="B17" s="2063"/>
      <c r="C17" s="2063"/>
      <c r="D17" s="2063"/>
      <c r="E17" s="2063"/>
      <c r="F17" s="2063"/>
      <c r="G17" s="2063"/>
      <c r="H17" s="2063"/>
      <c r="I17" s="2063"/>
      <c r="J17" s="2063"/>
      <c r="K17" s="2063"/>
      <c r="L17" s="2063"/>
      <c r="M17" s="2063"/>
      <c r="N17" s="2063"/>
      <c r="O17" s="2063"/>
      <c r="P17" s="2063"/>
      <c r="Q17" s="2063"/>
      <c r="R17" s="2063"/>
      <c r="S17" s="2063"/>
      <c r="T17" s="2063"/>
      <c r="U17" s="2063"/>
      <c r="V17" s="2063"/>
    </row>
    <row r="18" spans="1:22">
      <c r="A18" s="2063"/>
      <c r="B18" s="2063"/>
      <c r="C18" s="2063"/>
      <c r="D18" s="2063"/>
      <c r="E18" s="2063"/>
      <c r="F18" s="2063"/>
      <c r="G18" s="2063"/>
      <c r="H18" s="2063"/>
      <c r="I18" s="2063"/>
      <c r="J18" s="2063"/>
      <c r="K18" s="2063"/>
      <c r="L18" s="2063"/>
      <c r="M18" s="2063"/>
      <c r="N18" s="2063"/>
      <c r="O18" s="2063"/>
      <c r="P18" s="2063"/>
      <c r="Q18" s="2063"/>
      <c r="R18" s="2063"/>
      <c r="S18" s="2063"/>
      <c r="T18" s="2063"/>
      <c r="U18" s="2063"/>
      <c r="V18" s="2063"/>
    </row>
    <row r="19" spans="1:22">
      <c r="A19" s="2063"/>
      <c r="B19" s="2063"/>
      <c r="C19" s="2063"/>
      <c r="D19" s="2063"/>
      <c r="E19" s="2063"/>
      <c r="F19" s="2063"/>
      <c r="G19" s="2063"/>
      <c r="H19" s="2063"/>
      <c r="I19" s="2063"/>
      <c r="J19" s="2063"/>
      <c r="K19" s="2063"/>
      <c r="L19" s="2063"/>
      <c r="M19" s="2063"/>
      <c r="N19" s="2063"/>
      <c r="O19" s="2063"/>
      <c r="P19" s="2063"/>
      <c r="Q19" s="2063"/>
      <c r="R19" s="2063"/>
      <c r="S19" s="2063"/>
      <c r="T19" s="2063"/>
      <c r="U19" s="2063"/>
      <c r="V19" s="2063"/>
    </row>
    <row r="20" spans="1:22">
      <c r="A20" s="2063"/>
      <c r="B20" s="2063"/>
      <c r="C20" s="2063"/>
      <c r="D20" s="2063"/>
      <c r="E20" s="2063"/>
      <c r="F20" s="2063"/>
      <c r="G20" s="2063"/>
      <c r="H20" s="2063"/>
      <c r="I20" s="2063"/>
      <c r="J20" s="2063"/>
      <c r="K20" s="2063"/>
      <c r="L20" s="2063"/>
      <c r="M20" s="2063"/>
      <c r="N20" s="2063"/>
      <c r="O20" s="2063"/>
      <c r="P20" s="2063"/>
      <c r="Q20" s="2063"/>
      <c r="R20" s="2063"/>
      <c r="S20" s="2063"/>
      <c r="T20" s="2063"/>
      <c r="U20" s="2063"/>
      <c r="V20" s="2063"/>
    </row>
    <row r="21" spans="1:22">
      <c r="A21" s="2063"/>
      <c r="B21" s="2063"/>
      <c r="C21" s="2063"/>
      <c r="D21" s="2063"/>
      <c r="E21" s="2063"/>
      <c r="F21" s="2063"/>
      <c r="G21" s="2063"/>
      <c r="H21" s="2063"/>
      <c r="I21" s="2063"/>
      <c r="J21" s="2063"/>
      <c r="K21" s="2063"/>
      <c r="L21" s="2063"/>
      <c r="M21" s="2063"/>
      <c r="N21" s="2063"/>
      <c r="O21" s="2063"/>
      <c r="P21" s="2063"/>
      <c r="Q21" s="2063"/>
      <c r="R21" s="2063"/>
      <c r="S21" s="2063"/>
      <c r="T21" s="2063"/>
      <c r="U21" s="2063"/>
      <c r="V21" s="2063"/>
    </row>
    <row r="22" spans="1:22">
      <c r="A22" s="2063"/>
      <c r="B22" s="2063"/>
      <c r="C22" s="2063"/>
      <c r="D22" s="2063"/>
      <c r="E22" s="2063"/>
      <c r="F22" s="2063"/>
      <c r="G22" s="2063"/>
      <c r="H22" s="2063"/>
      <c r="I22" s="2063"/>
      <c r="J22" s="2063"/>
      <c r="K22" s="2063"/>
      <c r="L22" s="2063"/>
      <c r="M22" s="2063"/>
      <c r="N22" s="2063"/>
      <c r="O22" s="2063"/>
      <c r="P22" s="2063"/>
      <c r="Q22" s="2063"/>
      <c r="R22" s="2063"/>
      <c r="S22" s="2063"/>
      <c r="T22" s="2063"/>
      <c r="U22" s="2063"/>
      <c r="V22" s="2063"/>
    </row>
    <row r="23" spans="1:22">
      <c r="A23" s="2063"/>
      <c r="B23" s="2063"/>
      <c r="C23" s="2063"/>
      <c r="D23" s="2063"/>
      <c r="E23" s="2063"/>
      <c r="F23" s="2063"/>
      <c r="G23" s="2063"/>
      <c r="H23" s="2063"/>
      <c r="I23" s="2063"/>
      <c r="J23" s="2063"/>
      <c r="K23" s="2063"/>
      <c r="L23" s="2063"/>
      <c r="M23" s="2063"/>
      <c r="N23" s="2063"/>
      <c r="O23" s="2063"/>
      <c r="P23" s="2063"/>
      <c r="Q23" s="2063"/>
      <c r="R23" s="2063"/>
      <c r="S23" s="2063"/>
      <c r="T23" s="2063"/>
      <c r="U23" s="2063"/>
      <c r="V23" s="2063"/>
    </row>
    <row r="24" spans="1:22">
      <c r="A24" s="2063"/>
      <c r="B24" s="2063"/>
      <c r="C24" s="2063"/>
      <c r="D24" s="2063"/>
      <c r="E24" s="2063"/>
      <c r="F24" s="2063"/>
      <c r="G24" s="2063"/>
      <c r="H24" s="2063"/>
      <c r="I24" s="2063"/>
      <c r="J24" s="2063"/>
      <c r="K24" s="2063"/>
      <c r="L24" s="2063"/>
      <c r="M24" s="2063"/>
      <c r="N24" s="2063"/>
      <c r="O24" s="2063"/>
      <c r="P24" s="2063"/>
      <c r="Q24" s="2063"/>
      <c r="R24" s="2063"/>
      <c r="S24" s="2063"/>
      <c r="T24" s="2063"/>
      <c r="U24" s="2063"/>
      <c r="V24" s="2063"/>
    </row>
    <row r="25" spans="1:22">
      <c r="A25" s="2063"/>
      <c r="B25" s="2063"/>
      <c r="C25" s="2063"/>
      <c r="D25" s="2063"/>
      <c r="E25" s="2063"/>
      <c r="F25" s="2063"/>
      <c r="G25" s="2063"/>
      <c r="H25" s="2063"/>
      <c r="I25" s="2063"/>
      <c r="J25" s="2063"/>
      <c r="K25" s="2063"/>
      <c r="L25" s="2063"/>
      <c r="M25" s="2063"/>
      <c r="N25" s="2063"/>
      <c r="O25" s="2063"/>
      <c r="P25" s="2063"/>
      <c r="Q25" s="2063"/>
      <c r="R25" s="2063"/>
      <c r="S25" s="2063"/>
      <c r="T25" s="2063"/>
      <c r="U25" s="2063"/>
      <c r="V25" s="2063"/>
    </row>
    <row r="26" spans="1:22">
      <c r="A26" s="2063"/>
      <c r="B26" s="2063"/>
      <c r="C26" s="2063"/>
      <c r="D26" s="2063"/>
      <c r="E26" s="2063"/>
      <c r="F26" s="2063"/>
      <c r="G26" s="2063"/>
      <c r="H26" s="2063"/>
      <c r="I26" s="2063"/>
      <c r="J26" s="2063"/>
      <c r="K26" s="2063"/>
      <c r="L26" s="2063"/>
      <c r="M26" s="2063"/>
      <c r="N26" s="2063"/>
      <c r="O26" s="2063"/>
      <c r="P26" s="2063"/>
      <c r="Q26" s="2063"/>
      <c r="R26" s="2063"/>
      <c r="S26" s="2063"/>
      <c r="T26" s="2063"/>
      <c r="U26" s="2063"/>
      <c r="V26" s="2063"/>
    </row>
    <row r="27" spans="1:22">
      <c r="A27" s="2063"/>
      <c r="B27" s="2063"/>
      <c r="C27" s="2063"/>
      <c r="D27" s="2063"/>
      <c r="E27" s="2063"/>
      <c r="F27" s="2063"/>
      <c r="G27" s="2063"/>
      <c r="H27" s="2063"/>
      <c r="I27" s="2063"/>
      <c r="J27" s="2063"/>
      <c r="K27" s="2063"/>
      <c r="L27" s="2063"/>
      <c r="M27" s="2063"/>
      <c r="N27" s="2063"/>
      <c r="O27" s="2063"/>
      <c r="P27" s="2063"/>
      <c r="Q27" s="2063"/>
      <c r="R27" s="2063"/>
      <c r="S27" s="2063"/>
      <c r="T27" s="2063"/>
      <c r="U27" s="2063"/>
      <c r="V27" s="2063"/>
    </row>
    <row r="28" spans="1:22">
      <c r="A28" s="2063"/>
      <c r="B28" s="2063"/>
      <c r="C28" s="2063"/>
      <c r="D28" s="2063"/>
      <c r="E28" s="2063"/>
      <c r="F28" s="2063"/>
      <c r="G28" s="2063"/>
      <c r="H28" s="2063"/>
      <c r="I28" s="2063"/>
      <c r="J28" s="2063"/>
      <c r="K28" s="2063"/>
      <c r="L28" s="2063"/>
      <c r="M28" s="2063"/>
      <c r="N28" s="2063"/>
      <c r="O28" s="2063"/>
      <c r="P28" s="2063"/>
      <c r="Q28" s="2063"/>
      <c r="R28" s="2063"/>
      <c r="S28" s="2063"/>
      <c r="T28" s="2063"/>
      <c r="U28" s="2063"/>
      <c r="V28" s="2063"/>
    </row>
    <row r="29" spans="1:22">
      <c r="A29" s="2063"/>
      <c r="B29" s="2063"/>
      <c r="C29" s="2063"/>
      <c r="D29" s="2063"/>
      <c r="E29" s="2063"/>
      <c r="F29" s="2063"/>
      <c r="G29" s="2063"/>
      <c r="H29" s="2063"/>
      <c r="I29" s="2063"/>
      <c r="J29" s="2063"/>
      <c r="K29" s="2063"/>
      <c r="L29" s="2063"/>
      <c r="M29" s="2063"/>
      <c r="N29" s="2063"/>
      <c r="O29" s="2063"/>
      <c r="P29" s="2063"/>
      <c r="Q29" s="2063"/>
      <c r="R29" s="2063"/>
      <c r="S29" s="2063"/>
      <c r="T29" s="2063"/>
      <c r="U29" s="2063"/>
      <c r="V29" s="2063"/>
    </row>
    <row r="30" spans="1:22">
      <c r="A30" s="2063"/>
      <c r="B30" s="2063"/>
      <c r="C30" s="2063"/>
      <c r="D30" s="2063"/>
      <c r="E30" s="2063"/>
      <c r="F30" s="2063"/>
      <c r="G30" s="2063"/>
      <c r="H30" s="2063"/>
      <c r="I30" s="2063"/>
      <c r="J30" s="2063"/>
      <c r="K30" s="2063"/>
      <c r="L30" s="2063"/>
      <c r="M30" s="2063"/>
      <c r="N30" s="2063"/>
      <c r="O30" s="2063"/>
      <c r="P30" s="2063"/>
      <c r="Q30" s="2063"/>
      <c r="R30" s="2063"/>
      <c r="S30" s="2063"/>
      <c r="T30" s="2063"/>
      <c r="U30" s="2063"/>
      <c r="V30" s="2063"/>
    </row>
    <row r="31" spans="1:22">
      <c r="A31" s="2063"/>
      <c r="B31" s="2063"/>
      <c r="C31" s="2063"/>
      <c r="D31" s="2063"/>
      <c r="E31" s="2063"/>
      <c r="F31" s="2063"/>
      <c r="G31" s="2063"/>
      <c r="H31" s="2063"/>
      <c r="I31" s="2063"/>
      <c r="J31" s="2063"/>
      <c r="K31" s="2063"/>
      <c r="L31" s="2063"/>
      <c r="M31" s="2063"/>
      <c r="N31" s="2063"/>
      <c r="O31" s="2063"/>
      <c r="P31" s="2063"/>
      <c r="Q31" s="2063"/>
      <c r="R31" s="2063"/>
      <c r="S31" s="2063"/>
      <c r="T31" s="2063"/>
      <c r="U31" s="2063"/>
      <c r="V31" s="2063"/>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20" sqref="F20"/>
    </sheetView>
  </sheetViews>
  <sheetFormatPr defaultColWidth="9" defaultRowHeight="14"/>
  <cols>
    <col min="1" max="1" width="10.5" style="573" customWidth="1"/>
    <col min="2" max="3" width="15.7545454545455" style="573" customWidth="1"/>
    <col min="4" max="4" width="12.2545454545455" style="573" customWidth="1"/>
    <col min="5" max="5" width="17.1272727272727" style="573" customWidth="1"/>
    <col min="6" max="6" width="12.2545454545455" style="573" customWidth="1"/>
    <col min="7" max="7" width="16.5" style="573" customWidth="1"/>
    <col min="8" max="8" width="12.2545454545455" style="573" customWidth="1"/>
    <col min="9" max="9" width="15.6272727272727" style="573" customWidth="1"/>
    <col min="10" max="10" width="12.2545454545455" style="573" customWidth="1"/>
    <col min="11" max="11" width="12.2545454545455" style="574" customWidth="1"/>
    <col min="12" max="12" width="12.2545454545455" style="575" customWidth="1"/>
    <col min="13" max="15" width="12.2545454545455" style="573" customWidth="1"/>
    <col min="16" max="16" width="4.75454545454545" style="1955" customWidth="1"/>
    <col min="17" max="17" width="19.5" style="573" customWidth="1"/>
    <col min="18" max="22" width="6.12727272727273" style="573" customWidth="1"/>
    <col min="23" max="23" width="5.75454545454545" style="573" customWidth="1"/>
    <col min="24" max="24" width="4.25454545454545" style="573" customWidth="1"/>
    <col min="25" max="25" width="3.5" style="573" customWidth="1"/>
    <col min="26" max="26" width="19.7545454545455" style="573" customWidth="1"/>
    <col min="27" max="28" width="9.37272727272727" style="573" customWidth="1"/>
    <col min="29" max="16384" width="9" style="573"/>
  </cols>
  <sheetData>
    <row r="1" s="566" customFormat="1" ht="28.5" customHeight="1" spans="1:29">
      <c r="A1" s="577" t="s">
        <v>1152</v>
      </c>
      <c r="B1" s="1956" t="s">
        <v>1452</v>
      </c>
      <c r="C1" s="748" t="s">
        <v>1154</v>
      </c>
      <c r="D1" s="580"/>
      <c r="E1" s="1957"/>
      <c r="F1" s="582"/>
      <c r="G1" s="583" t="s">
        <v>1157</v>
      </c>
      <c r="H1" s="584"/>
      <c r="I1" s="584"/>
      <c r="J1" s="584"/>
      <c r="K1" s="746"/>
      <c r="L1" s="747"/>
      <c r="M1" s="748"/>
      <c r="N1" s="748"/>
      <c r="O1" s="748"/>
      <c r="P1" s="1989"/>
      <c r="Q1" s="579"/>
      <c r="R1" s="579"/>
      <c r="S1" s="579"/>
      <c r="T1" s="579"/>
      <c r="U1" s="579"/>
      <c r="V1" s="579"/>
      <c r="W1" s="579"/>
      <c r="X1" s="579"/>
      <c r="Y1" s="579"/>
      <c r="Z1" s="579"/>
      <c r="AA1" s="579"/>
      <c r="AB1" s="579"/>
      <c r="AC1" s="846"/>
    </row>
    <row r="2" s="1979" customFormat="1" ht="28.5" customHeight="1" spans="1:29">
      <c r="A2" s="585" t="s">
        <v>995</v>
      </c>
      <c r="B2" s="1980" t="b">
        <f ca="1">IF(E1="项目模式",IF(C2="——",ROUND(C49*D3/10000,0),ROUND(C49*D3/10000,0)-D2),IF(E1="单套模式",IF(C2="——",ROUND(C49*D3/10000,4),ROUND(C49*D3/10000,4)-D2)))</f>
        <v>0</v>
      </c>
      <c r="C2" s="587"/>
      <c r="D2" s="588" t="e">
        <f ca="1">IF(E1="项目模式",SUMIF(INDIRECT("'"&amp;F2&amp;"'"&amp;"!A:A"),"承租人权益价值",INDIRECT("'"&amp;F2&amp;"'"&amp;"!c:c")),SUMIF(INDIRECT("'"&amp;F2&amp;"'"&amp;"!A:A"),"承租人权益价值（单套）",INDIRECT("'"&amp;F2&amp;"'"&amp;"!c:c")))</f>
        <v>#REF!</v>
      </c>
      <c r="E2" s="589" t="s">
        <v>996</v>
      </c>
      <c r="F2" s="590"/>
      <c r="G2" s="1821"/>
      <c r="H2" s="1821"/>
      <c r="I2" s="1821"/>
      <c r="J2" s="1821"/>
      <c r="K2" s="1990"/>
      <c r="L2" s="1991"/>
      <c r="M2" s="1992"/>
      <c r="N2" s="1992"/>
      <c r="O2" s="1992"/>
      <c r="P2" s="1993"/>
      <c r="Q2" s="2011"/>
      <c r="R2" s="2011"/>
      <c r="S2" s="2011"/>
      <c r="T2" s="2011"/>
      <c r="U2" s="2011"/>
      <c r="V2" s="2011"/>
      <c r="W2" s="2011"/>
      <c r="X2" s="2011"/>
      <c r="Y2" s="2011"/>
      <c r="Z2" s="2011"/>
      <c r="AA2" s="2011"/>
      <c r="AB2" s="2011"/>
      <c r="AC2" s="2012"/>
    </row>
    <row r="3" s="1979" customFormat="1" ht="28.5" customHeight="1" spans="1:29">
      <c r="A3" s="396" t="s">
        <v>997</v>
      </c>
      <c r="B3" s="594">
        <f ca="1">IF(C2="——",C49,ROUND(B2*10000/D3,0))</f>
        <v>0</v>
      </c>
      <c r="C3" s="593" t="s">
        <v>1158</v>
      </c>
      <c r="D3" s="594">
        <f>IF(D1="",'数据-汇总表'!E3,SUMIF('数据-汇总表'!$C19:$C33,D1,'数据-汇总表'!$E19:$E33))</f>
        <v>3013</v>
      </c>
      <c r="E3" s="1821"/>
      <c r="F3" s="1981"/>
      <c r="G3" s="1821"/>
      <c r="H3" s="1821"/>
      <c r="I3" s="1821"/>
      <c r="J3" s="1821"/>
      <c r="K3" s="1990"/>
      <c r="L3" s="1991"/>
      <c r="M3" s="1992"/>
      <c r="N3" s="1992"/>
      <c r="O3" s="1992"/>
      <c r="P3" s="1993"/>
      <c r="Q3" s="2011"/>
      <c r="R3" s="2011"/>
      <c r="S3" s="2011"/>
      <c r="T3" s="2011"/>
      <c r="U3" s="2011"/>
      <c r="V3" s="2011"/>
      <c r="W3" s="2011"/>
      <c r="X3" s="2011"/>
      <c r="Y3" s="2011"/>
      <c r="Z3" s="2011"/>
      <c r="AA3" s="2011"/>
      <c r="AB3" s="2011"/>
      <c r="AC3" s="2013"/>
    </row>
    <row r="4" spans="1:29">
      <c r="A4" s="597" t="s">
        <v>1159</v>
      </c>
      <c r="B4" s="598"/>
      <c r="C4" s="599" t="s">
        <v>1160</v>
      </c>
      <c r="D4" s="600"/>
      <c r="E4" s="601" t="s">
        <v>1161</v>
      </c>
      <c r="F4" s="602"/>
      <c r="G4" s="599" t="s">
        <v>1162</v>
      </c>
      <c r="H4" s="600"/>
      <c r="I4" s="599" t="s">
        <v>1163</v>
      </c>
      <c r="J4" s="600"/>
      <c r="K4" s="1994" t="s">
        <v>1164</v>
      </c>
      <c r="L4" s="754"/>
      <c r="M4" s="755"/>
      <c r="N4" s="755"/>
      <c r="O4" s="755"/>
      <c r="P4" s="1575" t="s">
        <v>1165</v>
      </c>
      <c r="Q4" s="1594"/>
      <c r="R4" s="1595" t="s">
        <v>1161</v>
      </c>
      <c r="S4" s="1596"/>
      <c r="T4" s="1595" t="s">
        <v>1162</v>
      </c>
      <c r="U4" s="1596"/>
      <c r="V4" s="820" t="s">
        <v>1163</v>
      </c>
      <c r="W4" s="820"/>
      <c r="X4" s="821"/>
      <c r="Y4" s="1595" t="s">
        <v>1165</v>
      </c>
      <c r="Z4" s="1596"/>
      <c r="AA4" s="1602" t="s">
        <v>1161</v>
      </c>
      <c r="AB4" s="1602" t="s">
        <v>1162</v>
      </c>
      <c r="AC4" s="1602" t="s">
        <v>1163</v>
      </c>
    </row>
    <row r="5" spans="1:29">
      <c r="A5" s="603"/>
      <c r="B5" s="604"/>
      <c r="C5" s="605" t="s">
        <v>1166</v>
      </c>
      <c r="D5" s="606"/>
      <c r="E5" s="609" t="s">
        <v>1453</v>
      </c>
      <c r="F5" s="608"/>
      <c r="G5" s="605" t="s">
        <v>1454</v>
      </c>
      <c r="H5" s="606"/>
      <c r="I5" s="605" t="s">
        <v>1455</v>
      </c>
      <c r="J5" s="606"/>
      <c r="K5" s="1995"/>
      <c r="L5" s="754"/>
      <c r="M5" s="755"/>
      <c r="N5" s="755"/>
      <c r="O5" s="755"/>
      <c r="P5" s="1576"/>
      <c r="Q5" s="817"/>
      <c r="R5" s="818"/>
      <c r="S5" s="819"/>
      <c r="T5" s="818"/>
      <c r="U5" s="819"/>
      <c r="V5" s="820"/>
      <c r="W5" s="820"/>
      <c r="X5" s="821"/>
      <c r="Y5" s="818"/>
      <c r="Z5" s="819"/>
      <c r="AA5" s="821"/>
      <c r="AB5" s="821"/>
      <c r="AC5" s="821"/>
    </row>
    <row r="6" ht="14.75" spans="1:29">
      <c r="A6" s="610"/>
      <c r="B6" s="611"/>
      <c r="C6" s="612" t="s">
        <v>1170</v>
      </c>
      <c r="D6" s="613"/>
      <c r="E6" s="614" t="s">
        <v>1170</v>
      </c>
      <c r="F6" s="615"/>
      <c r="G6" s="612" t="s">
        <v>1170</v>
      </c>
      <c r="H6" s="613"/>
      <c r="I6" s="612" t="s">
        <v>1170</v>
      </c>
      <c r="J6" s="613"/>
      <c r="K6" s="1995" t="s">
        <v>1171</v>
      </c>
      <c r="L6" s="754"/>
      <c r="M6" s="755"/>
      <c r="N6" s="755"/>
      <c r="O6" s="755"/>
      <c r="P6" s="1577"/>
      <c r="Q6" s="822"/>
      <c r="R6" s="818"/>
      <c r="S6" s="819"/>
      <c r="T6" s="823"/>
      <c r="U6" s="824"/>
      <c r="V6" s="820"/>
      <c r="W6" s="820"/>
      <c r="X6" s="821"/>
      <c r="Y6" s="823"/>
      <c r="Z6" s="824"/>
      <c r="AA6" s="850"/>
      <c r="AB6" s="850"/>
      <c r="AC6" s="850"/>
    </row>
    <row r="7" s="568" customFormat="1" ht="14.75" spans="1:29">
      <c r="A7" s="616" t="s">
        <v>1172</v>
      </c>
      <c r="B7" s="617"/>
      <c r="C7" s="618">
        <f>'数据-取费表'!B2</f>
        <v>45538</v>
      </c>
      <c r="D7" s="619">
        <v>100</v>
      </c>
      <c r="E7" s="620"/>
      <c r="F7" s="621">
        <f>SUMIF(58:58,YEAR(E7)&amp;"-"&amp;MONTH(E7),59:59)</f>
        <v>0</v>
      </c>
      <c r="G7" s="620"/>
      <c r="H7" s="619">
        <f>SUMIF(58:58,YEAR(G7)&amp;"-"&amp;MONTH(G7),59:59)</f>
        <v>0</v>
      </c>
      <c r="I7" s="620"/>
      <c r="J7" s="619">
        <f>SUMIF(58:58,YEAR(I7)&amp;"-"&amp;MONTH(I7),59:59)</f>
        <v>0</v>
      </c>
      <c r="K7" s="1996"/>
      <c r="L7" s="760"/>
      <c r="M7" s="761"/>
      <c r="N7" s="761"/>
      <c r="O7" s="761"/>
      <c r="P7" s="852" t="s">
        <v>1173</v>
      </c>
      <c r="Q7" s="825"/>
      <c r="R7" s="826" t="s">
        <v>1174</v>
      </c>
      <c r="S7" s="827">
        <f t="shared" ref="S7:S15" si="0">F7</f>
        <v>0</v>
      </c>
      <c r="T7" s="826" t="s">
        <v>1174</v>
      </c>
      <c r="U7" s="827">
        <f t="shared" ref="U7:U15" si="1">H7</f>
        <v>0</v>
      </c>
      <c r="V7" s="826" t="s">
        <v>1174</v>
      </c>
      <c r="W7" s="827">
        <f t="shared" ref="W7:W15" si="2">J7</f>
        <v>0</v>
      </c>
      <c r="X7" s="828"/>
      <c r="Y7" s="852" t="s">
        <v>1173</v>
      </c>
      <c r="Z7" s="829"/>
      <c r="AA7" s="853" t="e">
        <f>D7/F7</f>
        <v>#DIV/0!</v>
      </c>
      <c r="AB7" s="853" t="e">
        <f>D7/H7</f>
        <v>#DIV/0!</v>
      </c>
      <c r="AC7" s="853" t="e">
        <f>D7/J7</f>
        <v>#DIV/0!</v>
      </c>
    </row>
    <row r="8" s="568" customFormat="1" ht="14.75" spans="1:29">
      <c r="A8" s="616" t="s">
        <v>1175</v>
      </c>
      <c r="B8" s="617"/>
      <c r="C8" s="622"/>
      <c r="D8" s="619">
        <v>100</v>
      </c>
      <c r="E8" s="1982"/>
      <c r="F8" s="621">
        <f>SUMIF(61:61,E8,62:62)-SUMIF(61:61,C8,62:62)+100</f>
        <v>100</v>
      </c>
      <c r="G8" s="622"/>
      <c r="H8" s="619">
        <f>SUMIF(61:61,G8,62:62)-SUMIF(61:61,C8,62:62)+100</f>
        <v>100</v>
      </c>
      <c r="I8" s="1982"/>
      <c r="J8" s="619">
        <f>SUMIF(61:61,I8,62:62)-SUMIF(61:61,C8,62:62)+100</f>
        <v>100</v>
      </c>
      <c r="K8" s="1996"/>
      <c r="L8" s="760"/>
      <c r="M8" s="761"/>
      <c r="N8" s="761"/>
      <c r="O8" s="761"/>
      <c r="P8" s="852" t="s">
        <v>1177</v>
      </c>
      <c r="Q8" s="829"/>
      <c r="R8" s="826" t="s">
        <v>1174</v>
      </c>
      <c r="S8" s="827">
        <f t="shared" si="0"/>
        <v>100</v>
      </c>
      <c r="T8" s="826" t="s">
        <v>1174</v>
      </c>
      <c r="U8" s="827">
        <f t="shared" si="1"/>
        <v>100</v>
      </c>
      <c r="V8" s="826" t="s">
        <v>1174</v>
      </c>
      <c r="W8" s="827">
        <f t="shared" si="2"/>
        <v>100</v>
      </c>
      <c r="X8" s="828"/>
      <c r="Y8" s="852" t="s">
        <v>1177</v>
      </c>
      <c r="Z8" s="829"/>
      <c r="AA8" s="853">
        <f t="shared" ref="AA8:AA19" si="3">D8/F8</f>
        <v>1</v>
      </c>
      <c r="AB8" s="853">
        <f t="shared" ref="AB8:AB19" si="4">D8/H8</f>
        <v>1</v>
      </c>
      <c r="AC8" s="853">
        <f t="shared" ref="AC8:AC19" si="5">D8/J8</f>
        <v>1</v>
      </c>
    </row>
    <row r="9" s="568" customFormat="1" spans="1:29">
      <c r="A9" s="623" t="s">
        <v>1178</v>
      </c>
      <c r="B9" s="624" t="s">
        <v>1179</v>
      </c>
      <c r="C9" s="1856"/>
      <c r="D9" s="626">
        <v>100</v>
      </c>
      <c r="E9" s="628"/>
      <c r="F9" s="1857">
        <f>SUMIF(63:63,E9,64:64)-SUMIF(63:63,C9,64:64)+100</f>
        <v>100</v>
      </c>
      <c r="G9" s="627"/>
      <c r="H9" s="626">
        <f>SUMIF(63:63,G9,64:64)-SUMIF(63:63,C9,64:64)+100</f>
        <v>100</v>
      </c>
      <c r="I9" s="627"/>
      <c r="J9" s="626">
        <f>SUMIF(63:63,I9,64:64)-SUMIF(63:63,C9,64:64)+100</f>
        <v>100</v>
      </c>
      <c r="K9" s="1996"/>
      <c r="L9" s="760"/>
      <c r="M9" s="761"/>
      <c r="N9" s="761"/>
      <c r="O9" s="761"/>
      <c r="P9" s="763" t="s">
        <v>1182</v>
      </c>
      <c r="Q9" s="830" t="str">
        <f t="shared" ref="Q9:Q15" si="6">B9</f>
        <v>用途</v>
      </c>
      <c r="R9" s="826" t="s">
        <v>1174</v>
      </c>
      <c r="S9" s="827">
        <f t="shared" si="0"/>
        <v>100</v>
      </c>
      <c r="T9" s="826" t="s">
        <v>1174</v>
      </c>
      <c r="U9" s="827">
        <f t="shared" si="1"/>
        <v>100</v>
      </c>
      <c r="V9" s="826" t="s">
        <v>1174</v>
      </c>
      <c r="W9" s="827">
        <f t="shared" si="2"/>
        <v>100</v>
      </c>
      <c r="X9" s="828"/>
      <c r="Y9" s="830" t="s">
        <v>1183</v>
      </c>
      <c r="Z9" s="855" t="str">
        <f t="shared" ref="Z9:Z15" si="7">Q9</f>
        <v>用途</v>
      </c>
      <c r="AA9" s="853">
        <f t="shared" si="3"/>
        <v>1</v>
      </c>
      <c r="AB9" s="853">
        <f t="shared" si="4"/>
        <v>1</v>
      </c>
      <c r="AC9" s="853">
        <f t="shared" si="5"/>
        <v>1</v>
      </c>
    </row>
    <row r="10" s="569" customFormat="1" ht="28" spans="1:29">
      <c r="A10" s="629"/>
      <c r="B10" s="630" t="s">
        <v>1184</v>
      </c>
      <c r="C10" s="631"/>
      <c r="D10" s="632">
        <v>100</v>
      </c>
      <c r="E10" s="633"/>
      <c r="F10" s="684">
        <f>SUMIF(65:65,E10,66:66)-SUMIF(65:65,C10,66:66)+100</f>
        <v>100</v>
      </c>
      <c r="G10" s="631"/>
      <c r="H10" s="632">
        <f>SUMIF(65:65,G10,66:66)-SUMIF(65:65,C10,66:66)+100</f>
        <v>100</v>
      </c>
      <c r="I10" s="631"/>
      <c r="J10" s="632">
        <f>SUMIF(65:65,I10,66:66)-SUMIF(65:65,C10,66:66)+100</f>
        <v>100</v>
      </c>
      <c r="K10" s="1996"/>
      <c r="L10" s="764"/>
      <c r="M10" s="765"/>
      <c r="N10" s="765"/>
      <c r="O10" s="765"/>
      <c r="P10" s="763"/>
      <c r="Q10" s="830" t="str">
        <f t="shared" si="6"/>
        <v>土地使用年限（年）</v>
      </c>
      <c r="R10" s="826" t="s">
        <v>1174</v>
      </c>
      <c r="S10" s="827">
        <f t="shared" si="0"/>
        <v>100</v>
      </c>
      <c r="T10" s="826" t="s">
        <v>1174</v>
      </c>
      <c r="U10" s="827">
        <f t="shared" si="1"/>
        <v>100</v>
      </c>
      <c r="V10" s="826" t="s">
        <v>1174</v>
      </c>
      <c r="W10" s="827">
        <f t="shared" si="2"/>
        <v>100</v>
      </c>
      <c r="X10" s="828"/>
      <c r="Y10" s="830"/>
      <c r="Z10" s="855" t="str">
        <f t="shared" si="7"/>
        <v>土地使用年限（年）</v>
      </c>
      <c r="AA10" s="853">
        <f t="shared" si="3"/>
        <v>1</v>
      </c>
      <c r="AB10" s="853">
        <f t="shared" si="4"/>
        <v>1</v>
      </c>
      <c r="AC10" s="853">
        <f t="shared" si="5"/>
        <v>1</v>
      </c>
    </row>
    <row r="11" ht="15.5" spans="1:29">
      <c r="A11" s="634"/>
      <c r="B11" s="630" t="s">
        <v>1185</v>
      </c>
      <c r="C11" s="635"/>
      <c r="D11" s="632">
        <v>100</v>
      </c>
      <c r="E11" s="636"/>
      <c r="F11" s="684" t="e">
        <f>LOOKUP(E11,68:68,69:69)-LOOKUP(C11,68:68,69:69)+100</f>
        <v>#N/A</v>
      </c>
      <c r="G11" s="635"/>
      <c r="H11" s="632" t="e">
        <f>LOOKUP(G11,68:68,69:69)-LOOKUP(C11,68:68,69:69)+100</f>
        <v>#N/A</v>
      </c>
      <c r="I11" s="635"/>
      <c r="J11" s="632" t="e">
        <f>LOOKUP(I11,68:68,69:69)-LOOKUP(C11,68:68,69:69)+100</f>
        <v>#N/A</v>
      </c>
      <c r="K11" s="1997"/>
      <c r="L11" s="767"/>
      <c r="M11" s="755"/>
      <c r="N11" s="755"/>
      <c r="O11" s="755"/>
      <c r="P11" s="763"/>
      <c r="Q11" s="830" t="str">
        <f t="shared" si="6"/>
        <v>容积率</v>
      </c>
      <c r="R11" s="826" t="s">
        <v>1174</v>
      </c>
      <c r="S11" s="827" t="e">
        <f t="shared" si="0"/>
        <v>#N/A</v>
      </c>
      <c r="T11" s="826" t="s">
        <v>1174</v>
      </c>
      <c r="U11" s="827" t="e">
        <f t="shared" si="1"/>
        <v>#N/A</v>
      </c>
      <c r="V11" s="826" t="s">
        <v>1174</v>
      </c>
      <c r="W11" s="827" t="e">
        <f t="shared" si="2"/>
        <v>#N/A</v>
      </c>
      <c r="X11" s="828"/>
      <c r="Y11" s="830"/>
      <c r="Z11" s="855" t="str">
        <f t="shared" si="7"/>
        <v>容积率</v>
      </c>
      <c r="AA11" s="853" t="e">
        <f t="shared" si="3"/>
        <v>#N/A</v>
      </c>
      <c r="AB11" s="853" t="e">
        <f t="shared" si="4"/>
        <v>#N/A</v>
      </c>
      <c r="AC11" s="853" t="e">
        <f t="shared" si="5"/>
        <v>#N/A</v>
      </c>
    </row>
    <row r="12" s="568" customFormat="1" ht="15.5" spans="1:29">
      <c r="A12" s="637"/>
      <c r="B12" s="638">
        <v>111</v>
      </c>
      <c r="C12" s="639"/>
      <c r="D12" s="640">
        <v>100</v>
      </c>
      <c r="E12" s="639"/>
      <c r="F12" s="684">
        <f>SUMIF(70:70,E12,71:71)-SUMIF(70:70,C12,71:71)+100</f>
        <v>100</v>
      </c>
      <c r="G12" s="639"/>
      <c r="H12" s="632">
        <f>SUMIF(70:70,G12,71:71)-SUMIF(70:70,C12,71:71)+100</f>
        <v>100</v>
      </c>
      <c r="I12" s="639"/>
      <c r="J12" s="632">
        <f>SUMIF(70:70,I12,71:71)-SUMIF(70:70,C12,71:71)+100</f>
        <v>100</v>
      </c>
      <c r="K12" s="1998"/>
      <c r="L12" s="760"/>
      <c r="M12" s="761"/>
      <c r="N12" s="761"/>
      <c r="O12" s="761"/>
      <c r="P12" s="763"/>
      <c r="Q12" s="830">
        <f t="shared" si="6"/>
        <v>111</v>
      </c>
      <c r="R12" s="826" t="s">
        <v>1174</v>
      </c>
      <c r="S12" s="827">
        <f t="shared" si="0"/>
        <v>100</v>
      </c>
      <c r="T12" s="826" t="s">
        <v>1174</v>
      </c>
      <c r="U12" s="827">
        <f t="shared" si="1"/>
        <v>100</v>
      </c>
      <c r="V12" s="826" t="s">
        <v>1174</v>
      </c>
      <c r="W12" s="827">
        <f t="shared" si="2"/>
        <v>100</v>
      </c>
      <c r="X12" s="828"/>
      <c r="Y12" s="830"/>
      <c r="Z12" s="855">
        <f t="shared" si="7"/>
        <v>111</v>
      </c>
      <c r="AA12" s="853">
        <f t="shared" si="3"/>
        <v>1</v>
      </c>
      <c r="AB12" s="853">
        <f t="shared" si="4"/>
        <v>1</v>
      </c>
      <c r="AC12" s="853">
        <f t="shared" si="5"/>
        <v>1</v>
      </c>
    </row>
    <row r="13" ht="15.5" spans="1:29">
      <c r="A13" s="634"/>
      <c r="B13" s="638">
        <v>111</v>
      </c>
      <c r="C13" s="642"/>
      <c r="D13" s="643">
        <v>100</v>
      </c>
      <c r="E13" s="642"/>
      <c r="F13" s="684">
        <f>SUMIF(72:72,E13,73:73)-SUMIF(72:72,C13,73:73)+100</f>
        <v>100</v>
      </c>
      <c r="G13" s="642"/>
      <c r="H13" s="643">
        <f>SUMIF(72:72,G13,73:73)-SUMIF(72:72,C13,73:73)+100</f>
        <v>100</v>
      </c>
      <c r="I13" s="642"/>
      <c r="J13" s="643">
        <f>SUMIF(72:72,I13,73:73)-SUMIF(72:72,C13,73:73)+100</f>
        <v>100</v>
      </c>
      <c r="K13" s="1998"/>
      <c r="L13" s="769"/>
      <c r="M13" s="755"/>
      <c r="N13" s="755"/>
      <c r="O13" s="755"/>
      <c r="P13" s="763"/>
      <c r="Q13" s="830">
        <f t="shared" si="6"/>
        <v>111</v>
      </c>
      <c r="R13" s="826" t="s">
        <v>1174</v>
      </c>
      <c r="S13" s="827">
        <f t="shared" si="0"/>
        <v>100</v>
      </c>
      <c r="T13" s="826" t="s">
        <v>1174</v>
      </c>
      <c r="U13" s="827">
        <f t="shared" si="1"/>
        <v>100</v>
      </c>
      <c r="V13" s="826" t="s">
        <v>1174</v>
      </c>
      <c r="W13" s="827">
        <f t="shared" si="2"/>
        <v>100</v>
      </c>
      <c r="X13" s="828"/>
      <c r="Y13" s="830"/>
      <c r="Z13" s="855">
        <f t="shared" si="7"/>
        <v>111</v>
      </c>
      <c r="AA13" s="853">
        <f t="shared" si="3"/>
        <v>1</v>
      </c>
      <c r="AB13" s="853">
        <f t="shared" si="4"/>
        <v>1</v>
      </c>
      <c r="AC13" s="853">
        <f t="shared" si="5"/>
        <v>1</v>
      </c>
    </row>
    <row r="14" ht="16.25" spans="1:29">
      <c r="A14" s="644"/>
      <c r="B14" s="645">
        <v>111</v>
      </c>
      <c r="C14" s="646"/>
      <c r="D14" s="647">
        <v>100</v>
      </c>
      <c r="E14" s="646"/>
      <c r="F14" s="692">
        <f>SUMIF(74:74,E14,75:75)-SUMIF(74:74,C14,75:75)+100</f>
        <v>100</v>
      </c>
      <c r="G14" s="646"/>
      <c r="H14" s="647">
        <f>SUMIF(74:74,G14,75:75)-SUMIF(74:74,C14,75:75)+100</f>
        <v>100</v>
      </c>
      <c r="I14" s="646"/>
      <c r="J14" s="647">
        <f>SUMIF(74:74,I14,75:75)-SUMIF(74:74,C14,75:75)+100</f>
        <v>100</v>
      </c>
      <c r="K14" s="1998"/>
      <c r="L14" s="769"/>
      <c r="M14" s="755"/>
      <c r="N14" s="755"/>
      <c r="O14" s="755"/>
      <c r="P14" s="763"/>
      <c r="Q14" s="830">
        <f t="shared" si="6"/>
        <v>111</v>
      </c>
      <c r="R14" s="826" t="s">
        <v>1174</v>
      </c>
      <c r="S14" s="827">
        <f t="shared" si="0"/>
        <v>100</v>
      </c>
      <c r="T14" s="826" t="s">
        <v>1174</v>
      </c>
      <c r="U14" s="827">
        <f t="shared" si="1"/>
        <v>100</v>
      </c>
      <c r="V14" s="826" t="s">
        <v>1174</v>
      </c>
      <c r="W14" s="827">
        <f t="shared" si="2"/>
        <v>100</v>
      </c>
      <c r="X14" s="828"/>
      <c r="Y14" s="830"/>
      <c r="Z14" s="855">
        <f t="shared" si="7"/>
        <v>111</v>
      </c>
      <c r="AA14" s="853">
        <f t="shared" si="3"/>
        <v>1</v>
      </c>
      <c r="AB14" s="853">
        <f t="shared" si="4"/>
        <v>1</v>
      </c>
      <c r="AC14" s="853">
        <f t="shared" si="5"/>
        <v>1</v>
      </c>
    </row>
    <row r="15" ht="98" spans="1:29">
      <c r="A15" s="649" t="s">
        <v>1186</v>
      </c>
      <c r="B15" s="1828" t="s">
        <v>1456</v>
      </c>
      <c r="C15" s="1829" t="str">
        <f>估价对象房地状况!C3</f>
        <v>估价对象周边居住用地比例、居住小区规模和社区发展完善程度，综合评价居住社区成熟度一般</v>
      </c>
      <c r="D15" s="652">
        <v>100</v>
      </c>
      <c r="E15" s="653"/>
      <c r="F15" s="652">
        <f>SUMIF(76:76,E16,77:77)-SUMIF(76:76,C16,77:77)+100</f>
        <v>100</v>
      </c>
      <c r="G15" s="654"/>
      <c r="H15" s="652">
        <f>SUMIF(76:76,G16,77:77)-SUMIF(76:76,C16,77:77)+100</f>
        <v>100</v>
      </c>
      <c r="I15" s="654"/>
      <c r="J15" s="652">
        <f>SUMIF(76:76,I16,77:77)-SUMIF(76:76,C16,77:77)+100</f>
        <v>100</v>
      </c>
      <c r="K15" s="1999"/>
      <c r="L15" s="769"/>
      <c r="M15" s="755"/>
      <c r="N15" s="755"/>
      <c r="O15" s="755"/>
      <c r="P15" s="772" t="s">
        <v>1189</v>
      </c>
      <c r="Q15" s="831" t="str">
        <f t="shared" si="6"/>
        <v>居住社区成熟度</v>
      </c>
      <c r="R15" s="832" t="s">
        <v>1174</v>
      </c>
      <c r="S15" s="833">
        <f t="shared" si="0"/>
        <v>100</v>
      </c>
      <c r="T15" s="832" t="s">
        <v>1174</v>
      </c>
      <c r="U15" s="833">
        <f t="shared" si="1"/>
        <v>100</v>
      </c>
      <c r="V15" s="832" t="s">
        <v>1174</v>
      </c>
      <c r="W15" s="833">
        <f t="shared" si="2"/>
        <v>100</v>
      </c>
      <c r="X15" s="821"/>
      <c r="Y15" s="856" t="s">
        <v>1189</v>
      </c>
      <c r="Z15" s="820" t="str">
        <f t="shared" si="7"/>
        <v>居住社区成熟度</v>
      </c>
      <c r="AA15" s="838">
        <f t="shared" si="3"/>
        <v>1</v>
      </c>
      <c r="AB15" s="838">
        <f t="shared" si="4"/>
        <v>1</v>
      </c>
      <c r="AC15" s="838">
        <f t="shared" si="5"/>
        <v>1</v>
      </c>
    </row>
    <row r="16" ht="15.5" spans="1:29">
      <c r="A16" s="634"/>
      <c r="B16" s="839"/>
      <c r="C16" s="669"/>
      <c r="D16" s="657"/>
      <c r="E16" s="1583"/>
      <c r="F16" s="657"/>
      <c r="G16" s="1511"/>
      <c r="H16" s="658"/>
      <c r="I16" s="1511"/>
      <c r="J16" s="657"/>
      <c r="K16" s="2000"/>
      <c r="L16" s="769"/>
      <c r="M16" s="755"/>
      <c r="N16" s="755"/>
      <c r="O16" s="755"/>
      <c r="P16" s="774"/>
      <c r="Q16" s="831"/>
      <c r="R16" s="832"/>
      <c r="S16" s="833"/>
      <c r="T16" s="832"/>
      <c r="U16" s="833"/>
      <c r="V16" s="832"/>
      <c r="W16" s="833"/>
      <c r="X16" s="821"/>
      <c r="Y16" s="858"/>
      <c r="Z16" s="820"/>
      <c r="AA16" s="838">
        <v>1</v>
      </c>
      <c r="AB16" s="838">
        <v>1</v>
      </c>
      <c r="AC16" s="838">
        <v>1</v>
      </c>
    </row>
    <row r="17" ht="84" spans="1:29">
      <c r="A17" s="634"/>
      <c r="B17" s="1830" t="s">
        <v>1191</v>
      </c>
      <c r="C17" s="1510" t="str">
        <f>估价对象房地状况!C6</f>
        <v>估价对象周边道路状况、公共交通通达情况、停车便捷程度，综合评价交通便捷度较好</v>
      </c>
      <c r="D17" s="658">
        <v>100</v>
      </c>
      <c r="E17" s="661"/>
      <c r="F17" s="658">
        <f>SUMIF(78:78,E18,79:79)-SUMIF(78:78,C18,79:79)+100</f>
        <v>100</v>
      </c>
      <c r="G17" s="662"/>
      <c r="H17" s="663">
        <f>SUMIF(78:78,G18,79:79)-SUMIF(78:78,C18,79:79)+100</f>
        <v>100</v>
      </c>
      <c r="I17" s="662"/>
      <c r="J17" s="663">
        <f>SUMIF(78:78,I18,79:79)-SUMIF(78:78,C18,79:79)+100</f>
        <v>100</v>
      </c>
      <c r="K17" s="1999"/>
      <c r="L17" s="769"/>
      <c r="M17" s="755"/>
      <c r="N17" s="755"/>
      <c r="O17" s="755"/>
      <c r="P17" s="774"/>
      <c r="Q17" s="831" t="str">
        <f>B17</f>
        <v>交通便捷度</v>
      </c>
      <c r="R17" s="832" t="s">
        <v>1174</v>
      </c>
      <c r="S17" s="833">
        <f>F17</f>
        <v>100</v>
      </c>
      <c r="T17" s="832" t="s">
        <v>1174</v>
      </c>
      <c r="U17" s="833">
        <f>H17</f>
        <v>100</v>
      </c>
      <c r="V17" s="832" t="s">
        <v>1174</v>
      </c>
      <c r="W17" s="833">
        <f>J17</f>
        <v>100</v>
      </c>
      <c r="X17" s="821"/>
      <c r="Y17" s="858"/>
      <c r="Z17" s="820" t="str">
        <f>Q17</f>
        <v>交通便捷度</v>
      </c>
      <c r="AA17" s="838">
        <f t="shared" si="3"/>
        <v>1</v>
      </c>
      <c r="AB17" s="838">
        <f t="shared" si="4"/>
        <v>1</v>
      </c>
      <c r="AC17" s="838">
        <f t="shared" si="5"/>
        <v>1</v>
      </c>
    </row>
    <row r="18" ht="15.5" spans="1:29">
      <c r="A18" s="634"/>
      <c r="B18" s="1526"/>
      <c r="C18" s="1831"/>
      <c r="D18" s="658"/>
      <c r="E18" s="1840"/>
      <c r="F18" s="658"/>
      <c r="G18" s="1832"/>
      <c r="H18" s="657"/>
      <c r="I18" s="1832"/>
      <c r="J18" s="657"/>
      <c r="K18" s="2000"/>
      <c r="L18" s="769"/>
      <c r="M18" s="755"/>
      <c r="N18" s="755"/>
      <c r="O18" s="755"/>
      <c r="P18" s="774"/>
      <c r="Q18" s="831"/>
      <c r="R18" s="832"/>
      <c r="S18" s="833"/>
      <c r="T18" s="832"/>
      <c r="U18" s="833"/>
      <c r="V18" s="832"/>
      <c r="W18" s="833"/>
      <c r="X18" s="821"/>
      <c r="Y18" s="858"/>
      <c r="Z18" s="820"/>
      <c r="AA18" s="838">
        <v>1</v>
      </c>
      <c r="AB18" s="838">
        <v>1</v>
      </c>
      <c r="AC18" s="838">
        <v>1</v>
      </c>
    </row>
    <row r="19" ht="42" spans="1:29">
      <c r="A19" s="634"/>
      <c r="B19" s="1830" t="s">
        <v>1192</v>
      </c>
      <c r="C19" s="1510" t="str">
        <f>估价对象房地状况!C7</f>
        <v>估价对象所在区域公共配套设施齐备情况</v>
      </c>
      <c r="D19" s="663">
        <v>100</v>
      </c>
      <c r="E19" s="665"/>
      <c r="F19" s="663">
        <f>SUMIF(80:80,E20,81:81)-SUMIF(80:80,C20,81:81)+100</f>
        <v>100</v>
      </c>
      <c r="G19" s="666"/>
      <c r="H19" s="658">
        <f>SUMIF(80:80,G20,81:81)-SUMIF(80:80,C20,81:81)+100</f>
        <v>100</v>
      </c>
      <c r="I19" s="666"/>
      <c r="J19" s="658">
        <f>SUMIF(80:80,I20,81:81)-SUMIF(80:80,C20,81:81)+100</f>
        <v>100</v>
      </c>
      <c r="K19" s="1999"/>
      <c r="L19" s="769"/>
      <c r="M19" s="755"/>
      <c r="N19" s="755"/>
      <c r="O19" s="755"/>
      <c r="P19" s="774"/>
      <c r="Q19" s="831" t="str">
        <f>B19</f>
        <v>公共配套设施</v>
      </c>
      <c r="R19" s="832" t="s">
        <v>1174</v>
      </c>
      <c r="S19" s="833">
        <f>F19</f>
        <v>100</v>
      </c>
      <c r="T19" s="832" t="s">
        <v>1174</v>
      </c>
      <c r="U19" s="833">
        <f>H19</f>
        <v>100</v>
      </c>
      <c r="V19" s="832" t="s">
        <v>1174</v>
      </c>
      <c r="W19" s="833">
        <f>J19</f>
        <v>100</v>
      </c>
      <c r="X19" s="821"/>
      <c r="Y19" s="858"/>
      <c r="Z19" s="820" t="str">
        <f>Q19</f>
        <v>公共配套设施</v>
      </c>
      <c r="AA19" s="838">
        <f t="shared" si="3"/>
        <v>1</v>
      </c>
      <c r="AB19" s="838">
        <f t="shared" si="4"/>
        <v>1</v>
      </c>
      <c r="AC19" s="838">
        <f t="shared" si="5"/>
        <v>1</v>
      </c>
    </row>
    <row r="20" ht="15.5" spans="1:29">
      <c r="A20" s="634"/>
      <c r="B20" s="1526"/>
      <c r="C20" s="669"/>
      <c r="D20" s="657"/>
      <c r="E20" s="1583"/>
      <c r="F20" s="657"/>
      <c r="G20" s="1511"/>
      <c r="H20" s="657"/>
      <c r="I20" s="1511"/>
      <c r="J20" s="657"/>
      <c r="K20" s="2000"/>
      <c r="L20" s="769"/>
      <c r="M20" s="755"/>
      <c r="N20" s="755"/>
      <c r="O20" s="755"/>
      <c r="P20" s="774"/>
      <c r="Q20" s="831"/>
      <c r="R20" s="832"/>
      <c r="S20" s="833"/>
      <c r="T20" s="832"/>
      <c r="U20" s="833"/>
      <c r="V20" s="832"/>
      <c r="W20" s="833"/>
      <c r="X20" s="821"/>
      <c r="Y20" s="858"/>
      <c r="Z20" s="820"/>
      <c r="AA20" s="838">
        <v>1</v>
      </c>
      <c r="AB20" s="838">
        <v>1</v>
      </c>
      <c r="AC20" s="838">
        <v>1</v>
      </c>
    </row>
    <row r="21" ht="28" spans="1:29">
      <c r="A21" s="634"/>
      <c r="B21" s="1833" t="s">
        <v>1193</v>
      </c>
      <c r="C21" s="1510" t="str">
        <f>估价对象房地状况!C8</f>
        <v>估价对象所在区域基础设施水平</v>
      </c>
      <c r="D21" s="658">
        <v>100</v>
      </c>
      <c r="E21" s="665"/>
      <c r="F21" s="663">
        <f>SUMIF(82:82,E22,83:83)-SUMIF(82:82,C22,83:83)+100</f>
        <v>100</v>
      </c>
      <c r="G21" s="666"/>
      <c r="H21" s="658">
        <f>SUMIF(82:82,G22,83:83)-SUMIF(82:82,C22,83:83)+100</f>
        <v>100</v>
      </c>
      <c r="I21" s="666"/>
      <c r="J21" s="658">
        <f>SUMIF(82:82,I22,83:83)-SUMIF(82:82,C22,83:83)+100</f>
        <v>100</v>
      </c>
      <c r="K21" s="1999"/>
      <c r="L21" s="769"/>
      <c r="M21" s="755"/>
      <c r="N21" s="755"/>
      <c r="O21" s="755"/>
      <c r="P21" s="774"/>
      <c r="Q21" s="831" t="str">
        <f>B21</f>
        <v>基础设施水平</v>
      </c>
      <c r="R21" s="832" t="s">
        <v>1174</v>
      </c>
      <c r="S21" s="833">
        <f>F21</f>
        <v>100</v>
      </c>
      <c r="T21" s="832" t="s">
        <v>1174</v>
      </c>
      <c r="U21" s="833">
        <f>H21</f>
        <v>100</v>
      </c>
      <c r="V21" s="832" t="s">
        <v>1174</v>
      </c>
      <c r="W21" s="833">
        <f>J21</f>
        <v>100</v>
      </c>
      <c r="X21" s="821"/>
      <c r="Y21" s="858"/>
      <c r="Z21" s="820" t="str">
        <f>Q21</f>
        <v>基础设施水平</v>
      </c>
      <c r="AA21" s="838">
        <f t="shared" ref="AA21" si="8">D21/F21</f>
        <v>1</v>
      </c>
      <c r="AB21" s="838">
        <f t="shared" ref="AB21" si="9">D21/H21</f>
        <v>1</v>
      </c>
      <c r="AC21" s="838">
        <f t="shared" ref="AC21" si="10">D21/J21</f>
        <v>1</v>
      </c>
    </row>
    <row r="22" ht="15.5" spans="1:29">
      <c r="A22" s="634"/>
      <c r="B22" s="1833"/>
      <c r="C22" s="1831"/>
      <c r="D22" s="657"/>
      <c r="E22" s="669"/>
      <c r="F22" s="657"/>
      <c r="G22" s="656"/>
      <c r="H22" s="657"/>
      <c r="I22" s="669"/>
      <c r="J22" s="657"/>
      <c r="K22" s="2001"/>
      <c r="L22" s="769"/>
      <c r="M22" s="755"/>
      <c r="N22" s="755"/>
      <c r="O22" s="755"/>
      <c r="P22" s="774"/>
      <c r="Q22" s="831"/>
      <c r="R22" s="832"/>
      <c r="S22" s="833"/>
      <c r="T22" s="832"/>
      <c r="U22" s="833"/>
      <c r="V22" s="832"/>
      <c r="W22" s="833"/>
      <c r="X22" s="821"/>
      <c r="Y22" s="858"/>
      <c r="Z22" s="820"/>
      <c r="AA22" s="838">
        <v>1</v>
      </c>
      <c r="AB22" s="838">
        <v>1</v>
      </c>
      <c r="AC22" s="838">
        <v>1</v>
      </c>
    </row>
    <row r="23" ht="56" spans="1:29">
      <c r="A23" s="634"/>
      <c r="B23" s="1830" t="s">
        <v>1457</v>
      </c>
      <c r="C23" s="1510" t="str">
        <f>估价对象房地状况!C9</f>
        <v>区域自然环境：；人文环境；综合评价环境状况一般</v>
      </c>
      <c r="D23" s="658">
        <v>100</v>
      </c>
      <c r="E23" s="661"/>
      <c r="F23" s="658">
        <f>SUMIF(84:84,E24,85:85)-SUMIF(84:84,C24,85:85)+100</f>
        <v>100</v>
      </c>
      <c r="G23" s="662"/>
      <c r="H23" s="658">
        <f>SUMIF(84:84,G24,85:85)-SUMIF(84:84,C24,85:85)+100</f>
        <v>100</v>
      </c>
      <c r="I23" s="662"/>
      <c r="J23" s="658">
        <f>SUMIF(84:84,I24,85:85)-SUMIF(84:84,C24,85:85)+100</f>
        <v>100</v>
      </c>
      <c r="K23" s="1999"/>
      <c r="L23" s="769"/>
      <c r="M23" s="755"/>
      <c r="N23" s="755"/>
      <c r="O23" s="755"/>
      <c r="P23" s="774"/>
      <c r="Q23" s="831" t="str">
        <f>B23</f>
        <v>自然及人文环境</v>
      </c>
      <c r="R23" s="832" t="s">
        <v>1174</v>
      </c>
      <c r="S23" s="833">
        <f>F23</f>
        <v>100</v>
      </c>
      <c r="T23" s="832" t="s">
        <v>1174</v>
      </c>
      <c r="U23" s="833">
        <f>H23</f>
        <v>100</v>
      </c>
      <c r="V23" s="832" t="s">
        <v>1174</v>
      </c>
      <c r="W23" s="833">
        <f>J23</f>
        <v>100</v>
      </c>
      <c r="X23" s="821"/>
      <c r="Y23" s="858"/>
      <c r="Z23" s="820" t="str">
        <f>Q23</f>
        <v>自然及人文环境</v>
      </c>
      <c r="AA23" s="838">
        <f>D23/F23</f>
        <v>1</v>
      </c>
      <c r="AB23" s="838">
        <f>D23/H23</f>
        <v>1</v>
      </c>
      <c r="AC23" s="838">
        <f>D23/J23</f>
        <v>1</v>
      </c>
    </row>
    <row r="24" ht="15.5" spans="1:29">
      <c r="A24" s="634"/>
      <c r="B24" s="1526"/>
      <c r="C24" s="669"/>
      <c r="D24" s="657"/>
      <c r="E24" s="1583"/>
      <c r="F24" s="657"/>
      <c r="G24" s="1511"/>
      <c r="H24" s="657"/>
      <c r="I24" s="1511"/>
      <c r="J24" s="657"/>
      <c r="K24" s="2000"/>
      <c r="L24" s="769"/>
      <c r="M24" s="755"/>
      <c r="N24" s="755"/>
      <c r="O24" s="755"/>
      <c r="P24" s="774"/>
      <c r="Q24" s="831"/>
      <c r="R24" s="832"/>
      <c r="S24" s="833"/>
      <c r="T24" s="832"/>
      <c r="U24" s="833"/>
      <c r="V24" s="832"/>
      <c r="W24" s="833"/>
      <c r="X24" s="821"/>
      <c r="Y24" s="858"/>
      <c r="Z24" s="820"/>
      <c r="AA24" s="838">
        <v>1</v>
      </c>
      <c r="AB24" s="838">
        <v>1</v>
      </c>
      <c r="AC24" s="838">
        <v>1</v>
      </c>
    </row>
    <row r="25" ht="15.5" spans="1:29">
      <c r="A25" s="634"/>
      <c r="B25" s="630" t="s">
        <v>1458</v>
      </c>
      <c r="C25" s="686"/>
      <c r="D25" s="643">
        <v>100</v>
      </c>
      <c r="E25" s="1528"/>
      <c r="F25" s="643">
        <f>SUMIF(86:86,E25,87:87)-SUMIF(86:86,C25,87:87)+100</f>
        <v>100</v>
      </c>
      <c r="G25" s="1983"/>
      <c r="H25" s="643">
        <f>SUMIF(86:86,G25,87:87)-SUMIF(86:86,C25,87:87)+100</f>
        <v>100</v>
      </c>
      <c r="I25" s="1983"/>
      <c r="J25" s="643">
        <f>SUMIF(86:86,I25,87:87)-SUMIF(86:86,C25,87:87)+100</f>
        <v>100</v>
      </c>
      <c r="K25" s="1997"/>
      <c r="L25" s="769"/>
      <c r="M25" s="755"/>
      <c r="N25" s="755"/>
      <c r="O25" s="755"/>
      <c r="P25" s="774"/>
      <c r="Q25" s="831" t="str">
        <f t="shared" ref="Q25:Q46" si="11">B25</f>
        <v>楼层-1</v>
      </c>
      <c r="R25" s="832" t="s">
        <v>1174</v>
      </c>
      <c r="S25" s="833">
        <f t="shared" ref="S25:S46" si="12">F25</f>
        <v>100</v>
      </c>
      <c r="T25" s="832" t="s">
        <v>1174</v>
      </c>
      <c r="U25" s="833">
        <f t="shared" ref="U25:U46" si="13">H25</f>
        <v>100</v>
      </c>
      <c r="V25" s="832" t="s">
        <v>1174</v>
      </c>
      <c r="W25" s="833">
        <f t="shared" ref="W25:W46" si="14">J25</f>
        <v>100</v>
      </c>
      <c r="X25" s="821"/>
      <c r="Y25" s="858"/>
      <c r="Z25" s="820" t="str">
        <f>Q25</f>
        <v>楼层-1</v>
      </c>
      <c r="AA25" s="838">
        <f t="shared" ref="AA25:AA46" si="15">D25/F25</f>
        <v>1</v>
      </c>
      <c r="AB25" s="838">
        <f t="shared" ref="AB25:AB46" si="16">D25/H25</f>
        <v>1</v>
      </c>
      <c r="AC25" s="838">
        <f t="shared" ref="AC25:AC46" si="17">D25/J25</f>
        <v>1</v>
      </c>
    </row>
    <row r="26" ht="15.5" spans="1:29">
      <c r="A26" s="634"/>
      <c r="B26" s="630" t="s">
        <v>1197</v>
      </c>
      <c r="C26" s="686"/>
      <c r="D26" s="643">
        <v>100</v>
      </c>
      <c r="E26" s="1528"/>
      <c r="F26" s="643">
        <f>SUMIF(88:88,E26,89:89)-SUMIF(88:88,C26,89:89)+100</f>
        <v>100</v>
      </c>
      <c r="G26" s="1983"/>
      <c r="H26" s="643">
        <f>SUMIF(88:88,G26,89:89)-SUMIF(88:88,C26,89:89)+100</f>
        <v>100</v>
      </c>
      <c r="I26" s="1983"/>
      <c r="J26" s="643">
        <f>SUMIF(88:88,I26,89:89)-SUMIF(88:88,C26,89:89)+100</f>
        <v>100</v>
      </c>
      <c r="K26" s="1997"/>
      <c r="L26" s="769"/>
      <c r="M26" s="755"/>
      <c r="N26" s="755"/>
      <c r="O26" s="755"/>
      <c r="P26" s="774"/>
      <c r="Q26" s="831" t="str">
        <f t="shared" si="11"/>
        <v>朝向</v>
      </c>
      <c r="R26" s="832" t="s">
        <v>1174</v>
      </c>
      <c r="S26" s="833">
        <f t="shared" si="12"/>
        <v>100</v>
      </c>
      <c r="T26" s="832" t="s">
        <v>1174</v>
      </c>
      <c r="U26" s="833">
        <f t="shared" si="13"/>
        <v>100</v>
      </c>
      <c r="V26" s="832" t="s">
        <v>1174</v>
      </c>
      <c r="W26" s="833">
        <f t="shared" si="14"/>
        <v>100</v>
      </c>
      <c r="X26" s="821"/>
      <c r="Y26" s="858"/>
      <c r="Z26" s="820" t="str">
        <f>Q26</f>
        <v>朝向</v>
      </c>
      <c r="AA26" s="838">
        <f t="shared" si="15"/>
        <v>1</v>
      </c>
      <c r="AB26" s="838">
        <f t="shared" si="16"/>
        <v>1</v>
      </c>
      <c r="AC26" s="838">
        <f t="shared" si="17"/>
        <v>1</v>
      </c>
    </row>
    <row r="27" s="568" customFormat="1" ht="15.5" spans="1:29">
      <c r="A27" s="637"/>
      <c r="B27" s="690">
        <v>111</v>
      </c>
      <c r="C27" s="639"/>
      <c r="D27" s="674">
        <v>100</v>
      </c>
      <c r="E27" s="1822"/>
      <c r="F27" s="674">
        <f>SUMIF(90:90,E27,91:91)-SUMIF(90:90,C27,91:91)+100</f>
        <v>100</v>
      </c>
      <c r="G27" s="1823"/>
      <c r="H27" s="674">
        <f>SUMIF(90:90,G27,91:91)-SUMIF(90:90,C27,91:91)+100</f>
        <v>100</v>
      </c>
      <c r="I27" s="1823"/>
      <c r="J27" s="674">
        <f>SUMIF(90:90,I27,91:91)-SUMIF(90:90,C27,91:91)+100</f>
        <v>100</v>
      </c>
      <c r="K27" s="1998"/>
      <c r="L27" s="760"/>
      <c r="M27" s="761"/>
      <c r="N27" s="761"/>
      <c r="O27" s="761"/>
      <c r="P27" s="774"/>
      <c r="Q27" s="830">
        <f t="shared" si="11"/>
        <v>111</v>
      </c>
      <c r="R27" s="826" t="s">
        <v>1174</v>
      </c>
      <c r="S27" s="827">
        <f t="shared" si="12"/>
        <v>100</v>
      </c>
      <c r="T27" s="826" t="s">
        <v>1174</v>
      </c>
      <c r="U27" s="827">
        <f t="shared" si="13"/>
        <v>100</v>
      </c>
      <c r="V27" s="826" t="s">
        <v>1174</v>
      </c>
      <c r="W27" s="827">
        <f t="shared" si="14"/>
        <v>100</v>
      </c>
      <c r="X27" s="828"/>
      <c r="Y27" s="858"/>
      <c r="Z27" s="855">
        <f>Q27</f>
        <v>111</v>
      </c>
      <c r="AA27" s="838">
        <f t="shared" si="15"/>
        <v>1</v>
      </c>
      <c r="AB27" s="838">
        <f t="shared" si="16"/>
        <v>1</v>
      </c>
      <c r="AC27" s="838">
        <f t="shared" si="17"/>
        <v>1</v>
      </c>
    </row>
    <row r="28" ht="15.5" spans="1:29">
      <c r="A28" s="634"/>
      <c r="B28" s="690">
        <v>111</v>
      </c>
      <c r="C28" s="642"/>
      <c r="D28" s="643">
        <v>100</v>
      </c>
      <c r="E28" s="642"/>
      <c r="F28" s="643">
        <f>SUMIF(92:92,E28,93:93)-SUMIF(92:92,C28,93:93)+100</f>
        <v>100</v>
      </c>
      <c r="G28" s="670"/>
      <c r="H28" s="643">
        <f>SUMIF(92:92,G28,93:93)-SUMIF(92:92,C28,93:93)+100</f>
        <v>100</v>
      </c>
      <c r="I28" s="642"/>
      <c r="J28" s="643">
        <f>SUMIF(92:92,I28,93:93)-SUMIF(92:92,C28,93:93)+100</f>
        <v>100</v>
      </c>
      <c r="K28" s="1998"/>
      <c r="L28" s="769"/>
      <c r="M28" s="755"/>
      <c r="N28" s="755"/>
      <c r="O28" s="755"/>
      <c r="P28" s="774"/>
      <c r="Q28" s="831">
        <f t="shared" si="11"/>
        <v>111</v>
      </c>
      <c r="R28" s="832" t="s">
        <v>1174</v>
      </c>
      <c r="S28" s="833">
        <f t="shared" si="12"/>
        <v>100</v>
      </c>
      <c r="T28" s="832" t="s">
        <v>1174</v>
      </c>
      <c r="U28" s="833">
        <f t="shared" si="13"/>
        <v>100</v>
      </c>
      <c r="V28" s="832" t="s">
        <v>1174</v>
      </c>
      <c r="W28" s="833">
        <f t="shared" si="14"/>
        <v>100</v>
      </c>
      <c r="X28" s="821"/>
      <c r="Y28" s="858"/>
      <c r="Z28" s="820">
        <f t="shared" ref="Z28:Z46" si="18">Q28</f>
        <v>111</v>
      </c>
      <c r="AA28" s="838">
        <f t="shared" si="15"/>
        <v>1</v>
      </c>
      <c r="AB28" s="838">
        <f t="shared" si="16"/>
        <v>1</v>
      </c>
      <c r="AC28" s="838">
        <f t="shared" si="17"/>
        <v>1</v>
      </c>
    </row>
    <row r="29" ht="15.5" spans="1:29">
      <c r="A29" s="634"/>
      <c r="B29" s="690">
        <v>111</v>
      </c>
      <c r="C29" s="642"/>
      <c r="D29" s="643">
        <v>100</v>
      </c>
      <c r="E29" s="642"/>
      <c r="F29" s="643">
        <f>SUMIF(94:94,E29,95:95)-SUMIF(94:94,C29,95:95)+100</f>
        <v>100</v>
      </c>
      <c r="G29" s="670"/>
      <c r="H29" s="643">
        <f>SUMIF(94:94,G29,95:95)-SUMIF(94:94,C29,95:95)+100</f>
        <v>100</v>
      </c>
      <c r="I29" s="642"/>
      <c r="J29" s="643">
        <f>SUMIF(94:94,I29,95:95)-SUMIF(94:94,C29,95:95)+100</f>
        <v>100</v>
      </c>
      <c r="K29" s="1998"/>
      <c r="L29" s="769"/>
      <c r="M29" s="755"/>
      <c r="N29" s="755"/>
      <c r="O29" s="755"/>
      <c r="P29" s="774"/>
      <c r="Q29" s="831">
        <f t="shared" si="11"/>
        <v>111</v>
      </c>
      <c r="R29" s="832" t="s">
        <v>1174</v>
      </c>
      <c r="S29" s="833">
        <f t="shared" si="12"/>
        <v>100</v>
      </c>
      <c r="T29" s="832" t="s">
        <v>1174</v>
      </c>
      <c r="U29" s="833">
        <f t="shared" si="13"/>
        <v>100</v>
      </c>
      <c r="V29" s="832" t="s">
        <v>1174</v>
      </c>
      <c r="W29" s="833">
        <f t="shared" si="14"/>
        <v>100</v>
      </c>
      <c r="X29" s="821"/>
      <c r="Y29" s="858"/>
      <c r="Z29" s="820">
        <f t="shared" si="18"/>
        <v>111</v>
      </c>
      <c r="AA29" s="838">
        <f t="shared" si="15"/>
        <v>1</v>
      </c>
      <c r="AB29" s="838">
        <f t="shared" si="16"/>
        <v>1</v>
      </c>
      <c r="AC29" s="838">
        <f t="shared" si="17"/>
        <v>1</v>
      </c>
    </row>
    <row r="30" ht="15.5" spans="1:29">
      <c r="A30" s="634"/>
      <c r="B30" s="690">
        <v>111</v>
      </c>
      <c r="C30" s="642"/>
      <c r="D30" s="643">
        <v>100</v>
      </c>
      <c r="E30" s="642"/>
      <c r="F30" s="643">
        <f>SUMIF(96:96,E30,97:97)-SUMIF(96:96,C30,97:97)+100</f>
        <v>100</v>
      </c>
      <c r="G30" s="670"/>
      <c r="H30" s="643">
        <f>SUMIF(96:96,G30,97:97)-SUMIF(96:96,C30,97:97)+100</f>
        <v>100</v>
      </c>
      <c r="I30" s="642"/>
      <c r="J30" s="643">
        <f>SUMIF(96:96,I30,97:97)-SUMIF(96:96,C30,97:97)+100</f>
        <v>100</v>
      </c>
      <c r="K30" s="1998"/>
      <c r="L30" s="769"/>
      <c r="M30" s="755"/>
      <c r="N30" s="755"/>
      <c r="O30" s="755"/>
      <c r="P30" s="774"/>
      <c r="Q30" s="831">
        <f t="shared" si="11"/>
        <v>111</v>
      </c>
      <c r="R30" s="832" t="s">
        <v>1174</v>
      </c>
      <c r="S30" s="833">
        <f t="shared" si="12"/>
        <v>100</v>
      </c>
      <c r="T30" s="832" t="s">
        <v>1174</v>
      </c>
      <c r="U30" s="833">
        <f t="shared" si="13"/>
        <v>100</v>
      </c>
      <c r="V30" s="832" t="s">
        <v>1174</v>
      </c>
      <c r="W30" s="833">
        <f t="shared" si="14"/>
        <v>100</v>
      </c>
      <c r="X30" s="821"/>
      <c r="Y30" s="858"/>
      <c r="Z30" s="820">
        <f t="shared" si="18"/>
        <v>111</v>
      </c>
      <c r="AA30" s="838">
        <f t="shared" si="15"/>
        <v>1</v>
      </c>
      <c r="AB30" s="838">
        <f t="shared" si="16"/>
        <v>1</v>
      </c>
      <c r="AC30" s="838">
        <f t="shared" si="17"/>
        <v>1</v>
      </c>
    </row>
    <row r="31" ht="16.25" spans="1:29">
      <c r="A31" s="644"/>
      <c r="B31" s="690">
        <v>111</v>
      </c>
      <c r="C31" s="646"/>
      <c r="D31" s="647">
        <v>100</v>
      </c>
      <c r="E31" s="646"/>
      <c r="F31" s="647">
        <f>SUMIF(98:98,E31,99:99)-SUMIF(98:98,C31,99:99)+100</f>
        <v>100</v>
      </c>
      <c r="G31" s="678"/>
      <c r="H31" s="647">
        <f>SUMIF(98:98,G31,99:99)-SUMIF(98:98,C31,99:99)+100</f>
        <v>100</v>
      </c>
      <c r="I31" s="646"/>
      <c r="J31" s="647">
        <f>SUMIF(98:98,I31,99:99)-SUMIF(98:98,C31,99:99)+100</f>
        <v>100</v>
      </c>
      <c r="K31" s="1998"/>
      <c r="L31" s="769"/>
      <c r="M31" s="755"/>
      <c r="N31" s="755"/>
      <c r="O31" s="755"/>
      <c r="P31" s="774"/>
      <c r="Q31" s="831">
        <f t="shared" si="11"/>
        <v>111</v>
      </c>
      <c r="R31" s="832" t="s">
        <v>1174</v>
      </c>
      <c r="S31" s="833">
        <f t="shared" si="12"/>
        <v>100</v>
      </c>
      <c r="T31" s="832" t="s">
        <v>1174</v>
      </c>
      <c r="U31" s="833">
        <f t="shared" si="13"/>
        <v>100</v>
      </c>
      <c r="V31" s="832" t="s">
        <v>1174</v>
      </c>
      <c r="W31" s="833">
        <f t="shared" si="14"/>
        <v>100</v>
      </c>
      <c r="X31" s="821"/>
      <c r="Y31" s="858"/>
      <c r="Z31" s="820">
        <f t="shared" si="18"/>
        <v>111</v>
      </c>
      <c r="AA31" s="838">
        <f t="shared" si="15"/>
        <v>1</v>
      </c>
      <c r="AB31" s="838">
        <f t="shared" si="16"/>
        <v>1</v>
      </c>
      <c r="AC31" s="838">
        <f t="shared" si="17"/>
        <v>1</v>
      </c>
    </row>
    <row r="32" ht="15.5" spans="1:29">
      <c r="A32" s="649" t="s">
        <v>1198</v>
      </c>
      <c r="B32" s="624" t="s">
        <v>1199</v>
      </c>
      <c r="C32" s="1958"/>
      <c r="D32" s="680">
        <v>100</v>
      </c>
      <c r="E32" s="1984"/>
      <c r="F32" s="681">
        <f>SUMIF(100:100,E32,101:101)-SUMIF(100:100,C32,101:101)+100</f>
        <v>100</v>
      </c>
      <c r="G32" s="1958"/>
      <c r="H32" s="680">
        <f>SUMIF(100:100,G32,101:101)-SUMIF(100:100,C32,101:101)+100</f>
        <v>100</v>
      </c>
      <c r="I32" s="1984"/>
      <c r="J32" s="643">
        <f>SUMIF(100:100,I32,101:101)-SUMIF(100:100,C32,101:101)+100</f>
        <v>100</v>
      </c>
      <c r="K32" s="1997"/>
      <c r="L32" s="769"/>
      <c r="M32" s="755"/>
      <c r="N32" s="755"/>
      <c r="O32" s="755"/>
      <c r="P32" s="776" t="s">
        <v>1202</v>
      </c>
      <c r="Q32" s="831" t="str">
        <f t="shared" si="11"/>
        <v>建筑类型</v>
      </c>
      <c r="R32" s="832" t="s">
        <v>1174</v>
      </c>
      <c r="S32" s="833">
        <f t="shared" si="12"/>
        <v>100</v>
      </c>
      <c r="T32" s="832" t="s">
        <v>1174</v>
      </c>
      <c r="U32" s="833">
        <f t="shared" si="13"/>
        <v>100</v>
      </c>
      <c r="V32" s="832" t="s">
        <v>1174</v>
      </c>
      <c r="W32" s="833">
        <f t="shared" si="14"/>
        <v>100</v>
      </c>
      <c r="X32" s="821"/>
      <c r="Y32" s="859" t="s">
        <v>1202</v>
      </c>
      <c r="Z32" s="820" t="str">
        <f t="shared" si="18"/>
        <v>建筑类型</v>
      </c>
      <c r="AA32" s="838">
        <f t="shared" si="15"/>
        <v>1</v>
      </c>
      <c r="AB32" s="838">
        <f t="shared" si="16"/>
        <v>1</v>
      </c>
      <c r="AC32" s="838">
        <f t="shared" si="17"/>
        <v>1</v>
      </c>
    </row>
    <row r="33" s="570" customFormat="1" ht="15.5" spans="1:29">
      <c r="A33" s="682"/>
      <c r="B33" s="630" t="s">
        <v>1203</v>
      </c>
      <c r="C33" s="683"/>
      <c r="D33" s="632">
        <v>100</v>
      </c>
      <c r="E33" s="636"/>
      <c r="F33" s="684" t="e">
        <f>LOOKUP(E33,103:103,104:104)-LOOKUP(C33,103:103,104:104)+100</f>
        <v>#N/A</v>
      </c>
      <c r="G33" s="635"/>
      <c r="H33" s="632" t="e">
        <f>LOOKUP(G33,103:103,104:104)-LOOKUP(C33,103:103,104:104)+100</f>
        <v>#N/A</v>
      </c>
      <c r="I33" s="636"/>
      <c r="J33" s="632" t="e">
        <f>LOOKUP(I33,103:103,104:104)-LOOKUP(C33,103:103,104:104)+100</f>
        <v>#N/A</v>
      </c>
      <c r="K33" s="1998"/>
      <c r="L33" s="767"/>
      <c r="M33" s="777"/>
      <c r="N33" s="777"/>
      <c r="O33" s="777"/>
      <c r="P33" s="778"/>
      <c r="Q33" s="834" t="str">
        <f t="shared" si="11"/>
        <v>项目建筑规模</v>
      </c>
      <c r="R33" s="835" t="s">
        <v>1174</v>
      </c>
      <c r="S33" s="836" t="e">
        <f t="shared" si="12"/>
        <v>#N/A</v>
      </c>
      <c r="T33" s="835" t="s">
        <v>1174</v>
      </c>
      <c r="U33" s="836" t="e">
        <f t="shared" si="13"/>
        <v>#N/A</v>
      </c>
      <c r="V33" s="835" t="s">
        <v>1174</v>
      </c>
      <c r="W33" s="836" t="e">
        <f t="shared" si="14"/>
        <v>#N/A</v>
      </c>
      <c r="X33" s="837"/>
      <c r="Y33" s="859"/>
      <c r="Z33" s="860" t="str">
        <f t="shared" si="18"/>
        <v>项目建筑规模</v>
      </c>
      <c r="AA33" s="838" t="e">
        <f t="shared" si="15"/>
        <v>#N/A</v>
      </c>
      <c r="AB33" s="838" t="e">
        <f t="shared" si="16"/>
        <v>#N/A</v>
      </c>
      <c r="AC33" s="838" t="e">
        <f t="shared" si="17"/>
        <v>#N/A</v>
      </c>
    </row>
    <row r="34" ht="15.5" spans="1:29">
      <c r="A34" s="685"/>
      <c r="B34" s="630" t="s">
        <v>1204</v>
      </c>
      <c r="C34" s="1959"/>
      <c r="D34" s="643">
        <v>100</v>
      </c>
      <c r="E34" s="1985"/>
      <c r="F34" s="681">
        <f>SUMIF(105:105,E34,106:106)-SUMIF(105:105,C34,106:106)+100</f>
        <v>100</v>
      </c>
      <c r="G34" s="1959"/>
      <c r="H34" s="643">
        <f>SUMIF(105:105,G34,106:106)-SUMIF(105:105,C34,106:106)+100</f>
        <v>100</v>
      </c>
      <c r="I34" s="1985"/>
      <c r="J34" s="643">
        <f>SUMIF(105:105,I34,106:106)-SUMIF(105:105,C34,106:106)+100</f>
        <v>100</v>
      </c>
      <c r="K34" s="1997"/>
      <c r="L34" s="769"/>
      <c r="M34" s="755"/>
      <c r="N34" s="755"/>
      <c r="O34" s="755"/>
      <c r="P34" s="778"/>
      <c r="Q34" s="831" t="str">
        <f t="shared" si="11"/>
        <v>建筑结构</v>
      </c>
      <c r="R34" s="832" t="s">
        <v>1174</v>
      </c>
      <c r="S34" s="833">
        <f t="shared" si="12"/>
        <v>100</v>
      </c>
      <c r="T34" s="832" t="s">
        <v>1174</v>
      </c>
      <c r="U34" s="833">
        <f t="shared" si="13"/>
        <v>100</v>
      </c>
      <c r="V34" s="832" t="s">
        <v>1174</v>
      </c>
      <c r="W34" s="833">
        <f t="shared" si="14"/>
        <v>100</v>
      </c>
      <c r="X34" s="821"/>
      <c r="Y34" s="859"/>
      <c r="Z34" s="820" t="str">
        <f t="shared" si="18"/>
        <v>建筑结构</v>
      </c>
      <c r="AA34" s="838">
        <f t="shared" si="15"/>
        <v>1</v>
      </c>
      <c r="AB34" s="838">
        <f t="shared" si="16"/>
        <v>1</v>
      </c>
      <c r="AC34" s="838">
        <f t="shared" si="17"/>
        <v>1</v>
      </c>
    </row>
    <row r="35" ht="15.5" spans="1:29">
      <c r="A35" s="685"/>
      <c r="B35" s="630" t="s">
        <v>1459</v>
      </c>
      <c r="C35" s="1528"/>
      <c r="D35" s="643">
        <v>100</v>
      </c>
      <c r="E35" s="1983"/>
      <c r="F35" s="681">
        <f>SUMIF(107:107,E35,108:108)-SUMIF(107:107,C35,108:108)+100</f>
        <v>100</v>
      </c>
      <c r="G35" s="1528"/>
      <c r="H35" s="643">
        <f>SUMIF(107:107,G35,108:108)-SUMIF(107:107,C35,108:108)+100</f>
        <v>100</v>
      </c>
      <c r="I35" s="1983"/>
      <c r="J35" s="643">
        <f>SUMIF(107:107,I35,108:108)-SUMIF(107:107,C35,108:108)+100</f>
        <v>100</v>
      </c>
      <c r="K35" s="1997"/>
      <c r="L35" s="769"/>
      <c r="M35" s="755"/>
      <c r="N35" s="755"/>
      <c r="O35" s="755"/>
      <c r="P35" s="778"/>
      <c r="Q35" s="831" t="str">
        <f t="shared" si="11"/>
        <v>建筑品质</v>
      </c>
      <c r="R35" s="832" t="s">
        <v>1174</v>
      </c>
      <c r="S35" s="833">
        <f t="shared" si="12"/>
        <v>100</v>
      </c>
      <c r="T35" s="832" t="s">
        <v>1174</v>
      </c>
      <c r="U35" s="833">
        <f t="shared" si="13"/>
        <v>100</v>
      </c>
      <c r="V35" s="832" t="s">
        <v>1174</v>
      </c>
      <c r="W35" s="833">
        <f t="shared" si="14"/>
        <v>100</v>
      </c>
      <c r="X35" s="821"/>
      <c r="Y35" s="859"/>
      <c r="Z35" s="820" t="str">
        <f t="shared" si="18"/>
        <v>建筑品质</v>
      </c>
      <c r="AA35" s="838">
        <f t="shared" si="15"/>
        <v>1</v>
      </c>
      <c r="AB35" s="838">
        <f t="shared" si="16"/>
        <v>1</v>
      </c>
      <c r="AC35" s="838">
        <f t="shared" si="17"/>
        <v>1</v>
      </c>
    </row>
    <row r="36" ht="15.5" spans="1:29">
      <c r="A36" s="685"/>
      <c r="B36" s="630" t="s">
        <v>1205</v>
      </c>
      <c r="C36" s="1528"/>
      <c r="D36" s="643">
        <v>100</v>
      </c>
      <c r="E36" s="1983"/>
      <c r="F36" s="681">
        <f>SUMIF(109:109,E36,110:110)-SUMIF(109:109,C36,110:110)+100</f>
        <v>100</v>
      </c>
      <c r="G36" s="1528"/>
      <c r="H36" s="643">
        <f>SUMIF(109:109,G36,110:110)-SUMIF(109:109,C36,110:110)+100</f>
        <v>100</v>
      </c>
      <c r="I36" s="1983"/>
      <c r="J36" s="643">
        <f>SUMIF(109:109,I36,110:110)-SUMIF(109:109,C36,110:110)+100</f>
        <v>100</v>
      </c>
      <c r="K36" s="1997"/>
      <c r="L36" s="769"/>
      <c r="M36" s="755"/>
      <c r="N36" s="755"/>
      <c r="O36" s="755"/>
      <c r="P36" s="778"/>
      <c r="Q36" s="831" t="str">
        <f t="shared" si="11"/>
        <v>公共部分装修</v>
      </c>
      <c r="R36" s="832" t="s">
        <v>1174</v>
      </c>
      <c r="S36" s="833">
        <f t="shared" si="12"/>
        <v>100</v>
      </c>
      <c r="T36" s="832" t="s">
        <v>1174</v>
      </c>
      <c r="U36" s="833">
        <f t="shared" si="13"/>
        <v>100</v>
      </c>
      <c r="V36" s="832" t="s">
        <v>1174</v>
      </c>
      <c r="W36" s="833">
        <f t="shared" si="14"/>
        <v>100</v>
      </c>
      <c r="X36" s="821"/>
      <c r="Y36" s="859"/>
      <c r="Z36" s="820" t="str">
        <f t="shared" si="18"/>
        <v>公共部分装修</v>
      </c>
      <c r="AA36" s="838">
        <f t="shared" si="15"/>
        <v>1</v>
      </c>
      <c r="AB36" s="838">
        <f t="shared" si="16"/>
        <v>1</v>
      </c>
      <c r="AC36" s="838">
        <f t="shared" si="17"/>
        <v>1</v>
      </c>
    </row>
    <row r="37" s="568" customFormat="1" ht="15.5" spans="1:29">
      <c r="A37" s="688"/>
      <c r="B37" s="630" t="s">
        <v>636</v>
      </c>
      <c r="C37" s="687"/>
      <c r="D37" s="632">
        <v>100</v>
      </c>
      <c r="E37" s="687"/>
      <c r="F37" s="684" t="e">
        <f>LOOKUP(E37,112:112,113:113)-LOOKUP(C37,112:112,113:113)+100</f>
        <v>#N/A</v>
      </c>
      <c r="G37" s="1869"/>
      <c r="H37" s="632" t="e">
        <f>LOOKUP(G37,112:112,113:113)-LOOKUP(C37,112:112,113:113)+100</f>
        <v>#N/A</v>
      </c>
      <c r="I37" s="1868"/>
      <c r="J37" s="632" t="e">
        <f>LOOKUP(I37,112:112,113:113)-LOOKUP(C37,112:112,113:113)+100</f>
        <v>#N/A</v>
      </c>
      <c r="K37" s="1997"/>
      <c r="L37" s="760"/>
      <c r="M37" s="761"/>
      <c r="N37" s="761"/>
      <c r="O37" s="761"/>
      <c r="P37" s="778"/>
      <c r="Q37" s="830" t="str">
        <f t="shared" si="11"/>
        <v>成新度</v>
      </c>
      <c r="R37" s="826" t="s">
        <v>1174</v>
      </c>
      <c r="S37" s="827" t="e">
        <f t="shared" si="12"/>
        <v>#N/A</v>
      </c>
      <c r="T37" s="826" t="s">
        <v>1174</v>
      </c>
      <c r="U37" s="827" t="e">
        <f t="shared" si="13"/>
        <v>#N/A</v>
      </c>
      <c r="V37" s="826" t="s">
        <v>1174</v>
      </c>
      <c r="W37" s="827" t="e">
        <f t="shared" si="14"/>
        <v>#N/A</v>
      </c>
      <c r="X37" s="828"/>
      <c r="Y37" s="859"/>
      <c r="Z37" s="855" t="str">
        <f t="shared" si="18"/>
        <v>成新度</v>
      </c>
      <c r="AA37" s="853" t="e">
        <f t="shared" si="15"/>
        <v>#N/A</v>
      </c>
      <c r="AB37" s="853" t="e">
        <f t="shared" si="16"/>
        <v>#N/A</v>
      </c>
      <c r="AC37" s="853" t="e">
        <f t="shared" si="17"/>
        <v>#N/A</v>
      </c>
    </row>
    <row r="38" ht="15.5" spans="1:29">
      <c r="A38" s="685"/>
      <c r="B38" s="630" t="s">
        <v>1207</v>
      </c>
      <c r="C38" s="1528"/>
      <c r="D38" s="643">
        <v>100</v>
      </c>
      <c r="E38" s="1983"/>
      <c r="F38" s="681">
        <f>SUMIF(114:114,E38,115:115)-SUMIF(114:114,C38,115:115)+100</f>
        <v>100</v>
      </c>
      <c r="G38" s="1528"/>
      <c r="H38" s="643">
        <f>SUMIF(114:114,G38,115:115)-SUMIF(114:114,C38,115:115)+100</f>
        <v>100</v>
      </c>
      <c r="I38" s="1983"/>
      <c r="J38" s="643">
        <f>SUMIF(114:114,I38,115:115)-SUMIF(114:114,C38,115:115)+100</f>
        <v>100</v>
      </c>
      <c r="K38" s="1997"/>
      <c r="L38" s="769"/>
      <c r="M38" s="755"/>
      <c r="N38" s="755"/>
      <c r="O38" s="755"/>
      <c r="P38" s="778" t="s">
        <v>1202</v>
      </c>
      <c r="Q38" s="831" t="str">
        <f t="shared" si="11"/>
        <v>物业管理</v>
      </c>
      <c r="R38" s="832" t="s">
        <v>1174</v>
      </c>
      <c r="S38" s="833">
        <f t="shared" si="12"/>
        <v>100</v>
      </c>
      <c r="T38" s="832" t="s">
        <v>1174</v>
      </c>
      <c r="U38" s="833">
        <f t="shared" si="13"/>
        <v>100</v>
      </c>
      <c r="V38" s="832" t="s">
        <v>1174</v>
      </c>
      <c r="W38" s="833">
        <f t="shared" si="14"/>
        <v>100</v>
      </c>
      <c r="X38" s="821"/>
      <c r="Y38" s="859" t="s">
        <v>1202</v>
      </c>
      <c r="Z38" s="820" t="str">
        <f t="shared" si="18"/>
        <v>物业管理</v>
      </c>
      <c r="AA38" s="838">
        <f t="shared" si="15"/>
        <v>1</v>
      </c>
      <c r="AB38" s="838">
        <f t="shared" si="16"/>
        <v>1</v>
      </c>
      <c r="AC38" s="838">
        <f t="shared" si="17"/>
        <v>1</v>
      </c>
    </row>
    <row r="39" ht="15.5" spans="1:29">
      <c r="A39" s="685"/>
      <c r="B39" s="630" t="s">
        <v>1208</v>
      </c>
      <c r="C39" s="1528"/>
      <c r="D39" s="643">
        <v>100</v>
      </c>
      <c r="E39" s="1983"/>
      <c r="F39" s="681">
        <f>SUMIF(116:116,E39,117:117)-SUMIF(116:116,C39,117:117)+100</f>
        <v>100</v>
      </c>
      <c r="G39" s="1528"/>
      <c r="H39" s="643">
        <f>SUMIF(116:116,G39,117:117)-SUMIF(116:116,C39,117:117)+100</f>
        <v>100</v>
      </c>
      <c r="I39" s="1983"/>
      <c r="J39" s="643">
        <f>SUMIF(116:116,I39,117:117)-SUMIF(116:116,C39,117:117)+100</f>
        <v>100</v>
      </c>
      <c r="K39" s="1997"/>
      <c r="L39" s="769"/>
      <c r="M39" s="755"/>
      <c r="N39" s="755"/>
      <c r="O39" s="755"/>
      <c r="P39" s="778"/>
      <c r="Q39" s="831" t="str">
        <f t="shared" si="11"/>
        <v>市政基础设施</v>
      </c>
      <c r="R39" s="832" t="s">
        <v>1174</v>
      </c>
      <c r="S39" s="833">
        <f t="shared" si="12"/>
        <v>100</v>
      </c>
      <c r="T39" s="832" t="s">
        <v>1174</v>
      </c>
      <c r="U39" s="833">
        <f t="shared" si="13"/>
        <v>100</v>
      </c>
      <c r="V39" s="832" t="s">
        <v>1174</v>
      </c>
      <c r="W39" s="833">
        <f t="shared" si="14"/>
        <v>100</v>
      </c>
      <c r="X39" s="821"/>
      <c r="Y39" s="859"/>
      <c r="Z39" s="820" t="str">
        <f t="shared" si="18"/>
        <v>市政基础设施</v>
      </c>
      <c r="AA39" s="838">
        <f t="shared" si="15"/>
        <v>1</v>
      </c>
      <c r="AB39" s="838">
        <f t="shared" si="16"/>
        <v>1</v>
      </c>
      <c r="AC39" s="838">
        <f t="shared" si="17"/>
        <v>1</v>
      </c>
    </row>
    <row r="40" ht="15.5" spans="1:29">
      <c r="A40" s="685"/>
      <c r="B40" s="630" t="s">
        <v>1460</v>
      </c>
      <c r="C40" s="1528"/>
      <c r="D40" s="643">
        <v>100</v>
      </c>
      <c r="E40" s="1983"/>
      <c r="F40" s="681">
        <f>SUMIF(118:118,E40,119:119)-SUMIF(118:118,C40,119:119)+100</f>
        <v>100</v>
      </c>
      <c r="G40" s="1528"/>
      <c r="H40" s="643">
        <f>SUMIF(118:118,G40,119:119)-SUMIF(118:118,C40,119:119)+100</f>
        <v>100</v>
      </c>
      <c r="I40" s="1983"/>
      <c r="J40" s="643">
        <f>SUMIF(118:118,I40,119:119)-SUMIF(118:118,C40,119:119)+100</f>
        <v>100</v>
      </c>
      <c r="K40" s="1997"/>
      <c r="L40" s="769"/>
      <c r="M40" s="755"/>
      <c r="N40" s="755"/>
      <c r="O40" s="755"/>
      <c r="P40" s="778"/>
      <c r="Q40" s="831" t="str">
        <f t="shared" si="11"/>
        <v>房型</v>
      </c>
      <c r="R40" s="832" t="s">
        <v>1174</v>
      </c>
      <c r="S40" s="833">
        <f t="shared" si="12"/>
        <v>100</v>
      </c>
      <c r="T40" s="832" t="s">
        <v>1174</v>
      </c>
      <c r="U40" s="833">
        <f t="shared" si="13"/>
        <v>100</v>
      </c>
      <c r="V40" s="832" t="s">
        <v>1174</v>
      </c>
      <c r="W40" s="833">
        <f t="shared" si="14"/>
        <v>100</v>
      </c>
      <c r="X40" s="821"/>
      <c r="Y40" s="859"/>
      <c r="Z40" s="820" t="str">
        <f t="shared" si="18"/>
        <v>房型</v>
      </c>
      <c r="AA40" s="838">
        <f t="shared" si="15"/>
        <v>1</v>
      </c>
      <c r="AB40" s="838">
        <f t="shared" si="16"/>
        <v>1</v>
      </c>
      <c r="AC40" s="838">
        <f t="shared" si="17"/>
        <v>1</v>
      </c>
    </row>
    <row r="41" s="570" customFormat="1" ht="28" spans="1:29">
      <c r="A41" s="682"/>
      <c r="B41" s="630" t="s">
        <v>1461</v>
      </c>
      <c r="C41" s="683"/>
      <c r="D41" s="632">
        <v>100</v>
      </c>
      <c r="E41" s="636"/>
      <c r="F41" s="684">
        <f>SUMIF(120:120,E41,121:121)-SUMIF(120:120,C41,121:121)+100</f>
        <v>100</v>
      </c>
      <c r="G41" s="635"/>
      <c r="H41" s="632">
        <f>SUMIF(120:120,G41,121:121)-SUMIF(120:120,C41,121:121)+100</f>
        <v>100</v>
      </c>
      <c r="I41" s="1518"/>
      <c r="J41" s="643">
        <f>SUMIF(120:120,I41,121:121)-SUMIF(120:120,C41,121:121)+100</f>
        <v>100</v>
      </c>
      <c r="K41" s="1998"/>
      <c r="L41" s="767"/>
      <c r="M41" s="777"/>
      <c r="N41" s="777"/>
      <c r="O41" s="777"/>
      <c r="P41" s="778"/>
      <c r="Q41" s="834" t="str">
        <f t="shared" si="11"/>
        <v>单套/主力户型建筑面积</v>
      </c>
      <c r="R41" s="835" t="s">
        <v>1174</v>
      </c>
      <c r="S41" s="836">
        <f t="shared" si="12"/>
        <v>100</v>
      </c>
      <c r="T41" s="835" t="s">
        <v>1174</v>
      </c>
      <c r="U41" s="836">
        <f t="shared" si="13"/>
        <v>100</v>
      </c>
      <c r="V41" s="835" t="s">
        <v>1174</v>
      </c>
      <c r="W41" s="836">
        <f t="shared" si="14"/>
        <v>100</v>
      </c>
      <c r="X41" s="837"/>
      <c r="Y41" s="859"/>
      <c r="Z41" s="860" t="str">
        <f t="shared" si="18"/>
        <v>单套/主力户型建筑面积</v>
      </c>
      <c r="AA41" s="838">
        <f t="shared" si="15"/>
        <v>1</v>
      </c>
      <c r="AB41" s="838">
        <f t="shared" si="16"/>
        <v>1</v>
      </c>
      <c r="AC41" s="838">
        <f t="shared" si="17"/>
        <v>1</v>
      </c>
    </row>
    <row r="42" ht="15.5" spans="1:29">
      <c r="A42" s="685"/>
      <c r="B42" s="630" t="s">
        <v>1211</v>
      </c>
      <c r="C42" s="1528"/>
      <c r="D42" s="643">
        <v>100</v>
      </c>
      <c r="E42" s="1983"/>
      <c r="F42" s="681">
        <f>SUMIF(122:122,E42,123:123)-SUMIF(122:122,C42,123:123)+100</f>
        <v>100</v>
      </c>
      <c r="G42" s="1528"/>
      <c r="H42" s="643">
        <f>SUMIF(122:122,G42,123:123)-SUMIF(122:122,C42,123:123)+100</f>
        <v>100</v>
      </c>
      <c r="I42" s="1983"/>
      <c r="J42" s="643">
        <f>SUMIF(122:122,I42,123:123)-SUMIF(122:122,C42,123:123)+100</f>
        <v>100</v>
      </c>
      <c r="K42" s="1997"/>
      <c r="L42" s="769"/>
      <c r="M42" s="755"/>
      <c r="N42" s="755"/>
      <c r="O42" s="755"/>
      <c r="P42" s="778"/>
      <c r="Q42" s="831" t="str">
        <f t="shared" si="11"/>
        <v>内部装修</v>
      </c>
      <c r="R42" s="832" t="s">
        <v>1174</v>
      </c>
      <c r="S42" s="833">
        <f t="shared" si="12"/>
        <v>100</v>
      </c>
      <c r="T42" s="832" t="s">
        <v>1174</v>
      </c>
      <c r="U42" s="833">
        <f t="shared" si="13"/>
        <v>100</v>
      </c>
      <c r="V42" s="832" t="s">
        <v>1174</v>
      </c>
      <c r="W42" s="833">
        <f t="shared" si="14"/>
        <v>100</v>
      </c>
      <c r="X42" s="821"/>
      <c r="Y42" s="859"/>
      <c r="Z42" s="820" t="str">
        <f t="shared" si="18"/>
        <v>内部装修</v>
      </c>
      <c r="AA42" s="838">
        <f t="shared" si="15"/>
        <v>1</v>
      </c>
      <c r="AB42" s="838">
        <f t="shared" si="16"/>
        <v>1</v>
      </c>
      <c r="AC42" s="838">
        <f t="shared" si="17"/>
        <v>1</v>
      </c>
    </row>
    <row r="43" ht="28" spans="1:29">
      <c r="A43" s="685"/>
      <c r="B43" s="630" t="s">
        <v>1213</v>
      </c>
      <c r="C43" s="1528"/>
      <c r="D43" s="643">
        <v>100</v>
      </c>
      <c r="E43" s="1983"/>
      <c r="F43" s="681">
        <f>SUMIF(124:124,E43,125:125)-SUMIF(124:124,C43,125:125)+100</f>
        <v>100</v>
      </c>
      <c r="G43" s="1528"/>
      <c r="H43" s="643">
        <f>SUMIF(124:124,G43,125:125)-SUMIF(124:124,C43,125:125)+100</f>
        <v>100</v>
      </c>
      <c r="I43" s="1983"/>
      <c r="J43" s="643">
        <f>SUMIF(124:124,I43,125:125)-SUMIF(124:124,C43,125:125)+100</f>
        <v>100</v>
      </c>
      <c r="K43" s="1997"/>
      <c r="L43" s="769"/>
      <c r="M43" s="755"/>
      <c r="N43" s="755"/>
      <c r="O43" s="755"/>
      <c r="P43" s="778"/>
      <c r="Q43" s="831" t="str">
        <f t="shared" si="11"/>
        <v>内部装修维护情况</v>
      </c>
      <c r="R43" s="832" t="s">
        <v>1174</v>
      </c>
      <c r="S43" s="833">
        <f t="shared" si="12"/>
        <v>100</v>
      </c>
      <c r="T43" s="832" t="s">
        <v>1174</v>
      </c>
      <c r="U43" s="833">
        <f t="shared" si="13"/>
        <v>100</v>
      </c>
      <c r="V43" s="832" t="s">
        <v>1174</v>
      </c>
      <c r="W43" s="833">
        <f t="shared" si="14"/>
        <v>100</v>
      </c>
      <c r="X43" s="821"/>
      <c r="Y43" s="859"/>
      <c r="Z43" s="820" t="str">
        <f t="shared" si="18"/>
        <v>内部装修维护情况</v>
      </c>
      <c r="AA43" s="838">
        <f t="shared" si="15"/>
        <v>1</v>
      </c>
      <c r="AB43" s="838">
        <f t="shared" si="16"/>
        <v>1</v>
      </c>
      <c r="AC43" s="838">
        <f t="shared" si="17"/>
        <v>1</v>
      </c>
    </row>
    <row r="44" s="568" customFormat="1" ht="15.5" spans="1:29">
      <c r="A44" s="688"/>
      <c r="B44" s="690">
        <v>111</v>
      </c>
      <c r="C44" s="683"/>
      <c r="D44" s="632">
        <v>100</v>
      </c>
      <c r="E44" s="683"/>
      <c r="F44" s="684">
        <f>SUMIF(126:126,E44,127:127)-SUMIF(126:126,C44,127:127)+100</f>
        <v>100</v>
      </c>
      <c r="G44" s="683"/>
      <c r="H44" s="632">
        <f>SUMIF(126:126,G44,127:127)-SUMIF(126:126,C44,127:127)+100</f>
        <v>100</v>
      </c>
      <c r="I44" s="683"/>
      <c r="J44" s="632">
        <f>SUMIF(126:126,I44,127:127)-SUMIF(126:126,C44,127:127)+100</f>
        <v>100</v>
      </c>
      <c r="K44" s="1998"/>
      <c r="L44" s="760"/>
      <c r="M44" s="761"/>
      <c r="N44" s="761"/>
      <c r="O44" s="761"/>
      <c r="P44" s="778"/>
      <c r="Q44" s="830">
        <f t="shared" si="11"/>
        <v>111</v>
      </c>
      <c r="R44" s="826" t="s">
        <v>1174</v>
      </c>
      <c r="S44" s="827">
        <f t="shared" si="12"/>
        <v>100</v>
      </c>
      <c r="T44" s="826" t="s">
        <v>1174</v>
      </c>
      <c r="U44" s="827">
        <f t="shared" si="13"/>
        <v>100</v>
      </c>
      <c r="V44" s="826" t="s">
        <v>1174</v>
      </c>
      <c r="W44" s="827">
        <f t="shared" si="14"/>
        <v>100</v>
      </c>
      <c r="X44" s="828"/>
      <c r="Y44" s="859"/>
      <c r="Z44" s="855">
        <f t="shared" si="18"/>
        <v>111</v>
      </c>
      <c r="AA44" s="853">
        <f t="shared" si="15"/>
        <v>1</v>
      </c>
      <c r="AB44" s="853">
        <f t="shared" si="16"/>
        <v>1</v>
      </c>
      <c r="AC44" s="853">
        <f t="shared" si="17"/>
        <v>1</v>
      </c>
    </row>
    <row r="45" ht="15.5" spans="1:29">
      <c r="A45" s="685"/>
      <c r="B45" s="690">
        <v>111</v>
      </c>
      <c r="C45" s="642"/>
      <c r="D45" s="643">
        <v>100</v>
      </c>
      <c r="E45" s="642"/>
      <c r="F45" s="681">
        <f>SUMIF(128:128,E45,129:129)-SUMIF(128:128,C45,129:129)+100</f>
        <v>100</v>
      </c>
      <c r="G45" s="642"/>
      <c r="H45" s="643">
        <f>SUMIF(128:128,G45,129:129)-SUMIF(128:128,C45,129:129)+100</f>
        <v>100</v>
      </c>
      <c r="I45" s="642"/>
      <c r="J45" s="643">
        <f>SUMIF(128:128,I45,129:129)-SUMIF(128:128,C45,129:129)+100</f>
        <v>100</v>
      </c>
      <c r="K45" s="1998"/>
      <c r="L45" s="769"/>
      <c r="M45" s="755"/>
      <c r="N45" s="755"/>
      <c r="O45" s="755"/>
      <c r="P45" s="778"/>
      <c r="Q45" s="831">
        <f t="shared" si="11"/>
        <v>111</v>
      </c>
      <c r="R45" s="832" t="s">
        <v>1174</v>
      </c>
      <c r="S45" s="833">
        <f t="shared" si="12"/>
        <v>100</v>
      </c>
      <c r="T45" s="832" t="s">
        <v>1174</v>
      </c>
      <c r="U45" s="833">
        <f t="shared" si="13"/>
        <v>100</v>
      </c>
      <c r="V45" s="832" t="s">
        <v>1174</v>
      </c>
      <c r="W45" s="833">
        <f t="shared" si="14"/>
        <v>100</v>
      </c>
      <c r="X45" s="821"/>
      <c r="Y45" s="859"/>
      <c r="Z45" s="820">
        <f t="shared" si="18"/>
        <v>111</v>
      </c>
      <c r="AA45" s="838">
        <f t="shared" si="15"/>
        <v>1</v>
      </c>
      <c r="AB45" s="838">
        <f t="shared" si="16"/>
        <v>1</v>
      </c>
      <c r="AC45" s="838">
        <f t="shared" si="17"/>
        <v>1</v>
      </c>
    </row>
    <row r="46" ht="16.25" spans="1:29">
      <c r="A46" s="691"/>
      <c r="B46" s="645">
        <v>111</v>
      </c>
      <c r="C46" s="646"/>
      <c r="D46" s="647">
        <v>100</v>
      </c>
      <c r="E46" s="646"/>
      <c r="F46" s="692">
        <f>SUMIF(130:130,E46,131:131)-SUMIF(130:130,C46,131:131)+100</f>
        <v>100</v>
      </c>
      <c r="G46" s="646"/>
      <c r="H46" s="647">
        <f>SUMIF(130:130,G46,131:131)-SUMIF(130:130,C46,131:131)+100</f>
        <v>100</v>
      </c>
      <c r="I46" s="646"/>
      <c r="J46" s="647">
        <f>SUMIF(130:130,I46,131:131)-SUMIF(130:130,C46,131:131)+100</f>
        <v>100</v>
      </c>
      <c r="K46" s="1998"/>
      <c r="L46" s="769"/>
      <c r="M46" s="755"/>
      <c r="N46" s="755"/>
      <c r="O46" s="755"/>
      <c r="P46" s="779"/>
      <c r="Q46" s="831">
        <f t="shared" si="11"/>
        <v>111</v>
      </c>
      <c r="R46" s="832" t="s">
        <v>1174</v>
      </c>
      <c r="S46" s="833">
        <f t="shared" si="12"/>
        <v>100</v>
      </c>
      <c r="T46" s="832" t="s">
        <v>1174</v>
      </c>
      <c r="U46" s="833">
        <f t="shared" si="13"/>
        <v>100</v>
      </c>
      <c r="V46" s="832" t="s">
        <v>1174</v>
      </c>
      <c r="W46" s="833">
        <f t="shared" si="14"/>
        <v>100</v>
      </c>
      <c r="X46" s="821"/>
      <c r="Y46" s="861"/>
      <c r="Z46" s="820">
        <f t="shared" si="18"/>
        <v>111</v>
      </c>
      <c r="AA46" s="838">
        <f t="shared" si="15"/>
        <v>1</v>
      </c>
      <c r="AB46" s="838">
        <f t="shared" si="16"/>
        <v>1</v>
      </c>
      <c r="AC46" s="838">
        <f t="shared" si="17"/>
        <v>1</v>
      </c>
    </row>
    <row r="47" spans="1:29">
      <c r="A47" s="693" t="s">
        <v>1214</v>
      </c>
      <c r="B47" s="694"/>
      <c r="C47" s="695" t="s">
        <v>124</v>
      </c>
      <c r="D47" s="696"/>
      <c r="E47" s="697"/>
      <c r="F47" s="698"/>
      <c r="G47" s="699"/>
      <c r="H47" s="700"/>
      <c r="I47" s="697"/>
      <c r="J47" s="700"/>
      <c r="K47" s="2002"/>
      <c r="L47" s="782"/>
      <c r="M47" s="710"/>
      <c r="N47" s="755"/>
      <c r="O47" s="710"/>
      <c r="P47" s="831" t="str">
        <f>A47</f>
        <v>成交单价（元/平方米）</v>
      </c>
      <c r="Q47" s="831"/>
      <c r="R47" s="838">
        <f>E47</f>
        <v>0</v>
      </c>
      <c r="S47" s="838"/>
      <c r="T47" s="838">
        <f>G47</f>
        <v>0</v>
      </c>
      <c r="U47" s="838"/>
      <c r="V47" s="838">
        <f>I47</f>
        <v>0</v>
      </c>
      <c r="W47" s="838"/>
      <c r="X47" s="721"/>
      <c r="Y47" s="862"/>
      <c r="Z47" s="721"/>
      <c r="AA47" s="721"/>
      <c r="AB47" s="721"/>
      <c r="AC47" s="721"/>
    </row>
    <row r="48" ht="14.75" spans="1:29">
      <c r="A48" s="701" t="s">
        <v>1215</v>
      </c>
      <c r="B48" s="702"/>
      <c r="C48" s="703" t="e">
        <f>R49</f>
        <v>#DIV/0!</v>
      </c>
      <c r="D48" s="704" t="s">
        <v>1216</v>
      </c>
      <c r="E48" s="705" t="e">
        <f>R48</f>
        <v>#DIV/0!</v>
      </c>
      <c r="F48" s="706"/>
      <c r="G48" s="703" t="e">
        <f>T48</f>
        <v>#DIV/0!</v>
      </c>
      <c r="H48" s="706"/>
      <c r="I48" s="705" t="e">
        <f>V48</f>
        <v>#DIV/0!</v>
      </c>
      <c r="J48" s="706"/>
      <c r="K48" s="2003">
        <f>F48+H48+J48</f>
        <v>0</v>
      </c>
      <c r="L48" s="782"/>
      <c r="M48" s="710"/>
      <c r="N48" s="710"/>
      <c r="O48" s="710"/>
      <c r="P48" s="831" t="str">
        <f>A48</f>
        <v>比较价值（元/平方米）</v>
      </c>
      <c r="Q48" s="831"/>
      <c r="R48" s="838" t="e">
        <f>IF(F1="售价",ROUND(PRODUCT(R47,AA7:AA46),0),ROUND(PRODUCT(R47,AA7:AA46),1))</f>
        <v>#DIV/0!</v>
      </c>
      <c r="S48" s="838"/>
      <c r="T48" s="838" t="e">
        <f>IF(F1="售价",ROUND(PRODUCT(T47,AB7:AB46),0),ROUND(PRODUCT(T47,AB7:AB46),1))</f>
        <v>#DIV/0!</v>
      </c>
      <c r="U48" s="838"/>
      <c r="V48" s="838" t="e">
        <f>IF(F1="售价",ROUND(PRODUCT(V47,AC7:AC46),0),ROUND(PRODUCT(V47,AC7:AC46),1))</f>
        <v>#DIV/0!</v>
      </c>
      <c r="W48" s="838"/>
      <c r="X48" s="721"/>
      <c r="Y48" s="721"/>
      <c r="Z48" s="721"/>
      <c r="AA48" s="721"/>
      <c r="AB48" s="721"/>
      <c r="AC48" s="721"/>
    </row>
    <row r="49" ht="14.75" spans="1:29">
      <c r="A49" s="707" t="s">
        <v>1217</v>
      </c>
      <c r="B49" s="708"/>
      <c r="C49" s="1986" t="e">
        <f>R49</f>
        <v>#DIV/0!</v>
      </c>
      <c r="D49" s="709"/>
      <c r="E49" s="709"/>
      <c r="F49" s="709"/>
      <c r="G49" s="709"/>
      <c r="H49" s="709"/>
      <c r="I49" s="709"/>
      <c r="J49" s="709"/>
      <c r="K49" s="2004"/>
      <c r="L49" s="782"/>
      <c r="M49" s="710"/>
      <c r="N49" s="710"/>
      <c r="O49" s="710"/>
      <c r="P49" s="689" t="str">
        <f>A49</f>
        <v>估价对象XX用房的比较价值（楼面单价，元/平方米）</v>
      </c>
      <c r="Q49" s="1598"/>
      <c r="R49" s="1947" t="e">
        <f>IF(F1="售价",ROUND(IF(D48="简单平均",AVERAGE(R48:V48),R48*F48+T48*H48+V48*J48),0),ROUND(IF(D48="简单平均",AVERAGE(R48:V48),R48*F48+T48*H48+V48*J48),1))</f>
        <v>#DIV/0!</v>
      </c>
      <c r="S49" s="1947"/>
      <c r="T49" s="1947"/>
      <c r="U49" s="1947"/>
      <c r="V49" s="1947"/>
      <c r="W49" s="1947"/>
      <c r="X49" s="721"/>
      <c r="Y49" s="721"/>
      <c r="Z49" s="721"/>
      <c r="AA49" s="721"/>
      <c r="AB49" s="721"/>
      <c r="AC49" s="721"/>
    </row>
    <row r="50" spans="1:15">
      <c r="A50" s="710"/>
      <c r="B50" s="710"/>
      <c r="C50" s="710"/>
      <c r="D50" s="710"/>
      <c r="E50" s="710"/>
      <c r="F50" s="710"/>
      <c r="G50" s="711"/>
      <c r="H50" s="710"/>
      <c r="I50" s="710"/>
      <c r="J50" s="710"/>
      <c r="K50" s="787"/>
      <c r="L50" s="788"/>
      <c r="M50" s="710"/>
      <c r="N50" s="710"/>
      <c r="O50" s="710"/>
    </row>
    <row r="51" spans="1:15">
      <c r="A51" s="710"/>
      <c r="B51" s="710"/>
      <c r="C51" s="710"/>
      <c r="D51" s="710"/>
      <c r="E51" s="710"/>
      <c r="F51" s="710"/>
      <c r="G51" s="710"/>
      <c r="H51" s="710"/>
      <c r="I51" s="710"/>
      <c r="J51" s="710"/>
      <c r="K51" s="787"/>
      <c r="L51" s="788"/>
      <c r="M51" s="710"/>
      <c r="N51" s="710"/>
      <c r="O51" s="710"/>
    </row>
    <row r="52" ht="13.5" customHeight="1" spans="1:15">
      <c r="A52" s="710"/>
      <c r="B52" s="710"/>
      <c r="C52" s="712" t="s">
        <v>1218</v>
      </c>
      <c r="D52" s="713"/>
      <c r="E52" s="714" t="e">
        <f>IF(E47&lt;E48,E48/E47-1,E47/E48-1)</f>
        <v>#DIV/0!</v>
      </c>
      <c r="F52" s="715" t="e">
        <f>IF(OR(E52&gt;=0.3,E52&lt;=-0.3),"超过30%","")</f>
        <v>#DIV/0!</v>
      </c>
      <c r="G52" s="714" t="e">
        <f>IF(G47&lt;G48,G48/G47-1,G47/G48-1)</f>
        <v>#DIV/0!</v>
      </c>
      <c r="H52" s="715" t="e">
        <f>IF(OR(G52&gt;=0.3,G52&lt;=-0.3),"超过30%","")</f>
        <v>#DIV/0!</v>
      </c>
      <c r="I52" s="714" t="e">
        <f>IF(I47&lt;I48,I48/I47-1,I47/I48-1)</f>
        <v>#DIV/0!</v>
      </c>
      <c r="J52" s="715" t="e">
        <f>IF(OR(I52&gt;=0.3,I52&lt;=-0.3),"超过30%","")</f>
        <v>#DIV/0!</v>
      </c>
      <c r="K52" s="787"/>
      <c r="L52" s="788"/>
      <c r="M52" s="710"/>
      <c r="N52" s="710"/>
      <c r="O52" s="710"/>
    </row>
    <row r="53" ht="13.5" customHeight="1" spans="1:15">
      <c r="A53" s="710"/>
      <c r="B53" s="710"/>
      <c r="C53" s="712" t="s">
        <v>1219</v>
      </c>
      <c r="D53" s="716"/>
      <c r="E53" s="714" t="e">
        <f>IF(E48&lt;G48,G48/E48-1,E48/G48-1)</f>
        <v>#DIV/0!</v>
      </c>
      <c r="F53" s="715" t="e">
        <f>IF(OR(E53&gt;=0.2,E53&lt;=-0.2),"超过20%","")</f>
        <v>#DIV/0!</v>
      </c>
      <c r="G53" s="714" t="e">
        <f>IF(G48&lt;I48,I48/G48-1,G48/I48-1)</f>
        <v>#DIV/0!</v>
      </c>
      <c r="H53" s="715" t="e">
        <f>IF(OR(G53&gt;=0.2,G53&lt;=-0.2),"超过20%","")</f>
        <v>#DIV/0!</v>
      </c>
      <c r="I53" s="714" t="e">
        <f>IF(I48&lt;E48,E48/I48-1,I48/E48-1)</f>
        <v>#DIV/0!</v>
      </c>
      <c r="J53" s="715" t="e">
        <f>IF(OR(I53&gt;=0.2,I53&lt;=-0.2),"超过20%","")</f>
        <v>#DIV/0!</v>
      </c>
      <c r="K53" s="787"/>
      <c r="L53" s="788"/>
      <c r="M53" s="710"/>
      <c r="N53" s="710"/>
      <c r="O53" s="710"/>
    </row>
    <row r="54" s="571" customFormat="1" ht="13.5" customHeight="1" spans="1:16">
      <c r="A54" s="717"/>
      <c r="B54" s="717"/>
      <c r="C54" s="712" t="s">
        <v>1220</v>
      </c>
      <c r="D54" s="716"/>
      <c r="E54" s="714" t="e">
        <f>IF(E47&lt;G47,G47/E47-1,E47/G47-1)</f>
        <v>#DIV/0!</v>
      </c>
      <c r="F54" s="715" t="e">
        <f>IF(OR(E54&gt;=0.3,E54&lt;=-0.3),"超过30%","")</f>
        <v>#DIV/0!</v>
      </c>
      <c r="G54" s="714" t="e">
        <f>IF(G47&lt;I47,I47/G47-1,G47/I47-1)</f>
        <v>#DIV/0!</v>
      </c>
      <c r="H54" s="715" t="e">
        <f>IF(OR(G54&gt;=0.3,G54&lt;=-0.3),"超过30%","")</f>
        <v>#DIV/0!</v>
      </c>
      <c r="I54" s="714" t="e">
        <f>IF(I47&lt;E47,E47/I47-1,I47/E47-1)</f>
        <v>#DIV/0!</v>
      </c>
      <c r="J54" s="715" t="e">
        <f>IF(OR(I54&gt;=0.3,I54&lt;=-0.3),"超过30%","")</f>
        <v>#DIV/0!</v>
      </c>
      <c r="K54" s="790"/>
      <c r="L54" s="791"/>
      <c r="M54" s="717"/>
      <c r="N54" s="717"/>
      <c r="O54" s="717"/>
      <c r="P54" s="2005"/>
    </row>
    <row r="55" s="571" customFormat="1" spans="1:16">
      <c r="A55" s="717"/>
      <c r="B55" s="718"/>
      <c r="C55" s="719"/>
      <c r="D55" s="717"/>
      <c r="E55" s="717"/>
      <c r="F55" s="717"/>
      <c r="G55" s="717"/>
      <c r="H55" s="717"/>
      <c r="I55" s="717"/>
      <c r="J55" s="717"/>
      <c r="K55" s="790"/>
      <c r="L55" s="791"/>
      <c r="M55" s="717"/>
      <c r="N55" s="717"/>
      <c r="O55" s="717"/>
      <c r="P55" s="2005"/>
    </row>
    <row r="56" spans="1:15">
      <c r="A56" s="710"/>
      <c r="B56" s="718"/>
      <c r="C56" s="719"/>
      <c r="D56" s="710"/>
      <c r="E56" s="710"/>
      <c r="F56" s="710"/>
      <c r="G56" s="710"/>
      <c r="H56" s="710"/>
      <c r="I56" s="710"/>
      <c r="J56" s="710"/>
      <c r="K56" s="787"/>
      <c r="L56" s="788"/>
      <c r="M56" s="710"/>
      <c r="N56" s="710"/>
      <c r="O56" s="710"/>
    </row>
    <row r="57" ht="21.75" spans="1:17">
      <c r="A57" s="720" t="s">
        <v>1221</v>
      </c>
      <c r="B57" s="721"/>
      <c r="C57" s="722"/>
      <c r="D57" s="722"/>
      <c r="E57" s="722"/>
      <c r="F57" s="723"/>
      <c r="G57" s="723"/>
      <c r="H57" s="722"/>
      <c r="I57" s="722"/>
      <c r="J57" s="722"/>
      <c r="K57" s="1853"/>
      <c r="L57" s="794"/>
      <c r="M57" s="795"/>
      <c r="N57" s="795"/>
      <c r="O57" s="795"/>
      <c r="P57" s="2006"/>
      <c r="Q57" s="1937"/>
    </row>
    <row r="58" s="572" customFormat="1" spans="1:16">
      <c r="A58" s="724" t="s">
        <v>1172</v>
      </c>
      <c r="B58" s="725"/>
      <c r="C58" s="1987" t="str">
        <f>YEAR(C7)&amp;"-"&amp;MONTH(C7)</f>
        <v>2024-9</v>
      </c>
      <c r="D58" s="727">
        <f>EDATE(C58,-1)</f>
        <v>45505</v>
      </c>
      <c r="E58" s="727">
        <f>EDATE(D58,-1)</f>
        <v>45474</v>
      </c>
      <c r="F58" s="727">
        <f t="shared" ref="F58:O58" si="19">EDATE(E58,-1)</f>
        <v>45444</v>
      </c>
      <c r="G58" s="727">
        <f t="shared" si="19"/>
        <v>45413</v>
      </c>
      <c r="H58" s="727">
        <f t="shared" si="19"/>
        <v>45383</v>
      </c>
      <c r="I58" s="727">
        <f t="shared" si="19"/>
        <v>45352</v>
      </c>
      <c r="J58" s="727">
        <f t="shared" si="19"/>
        <v>45323</v>
      </c>
      <c r="K58" s="727">
        <f t="shared" si="19"/>
        <v>45292</v>
      </c>
      <c r="L58" s="727">
        <f t="shared" si="19"/>
        <v>45261</v>
      </c>
      <c r="M58" s="727">
        <f t="shared" si="19"/>
        <v>45231</v>
      </c>
      <c r="N58" s="727">
        <f t="shared" si="19"/>
        <v>45200</v>
      </c>
      <c r="O58" s="727">
        <f t="shared" si="19"/>
        <v>45170</v>
      </c>
      <c r="P58" s="2007"/>
    </row>
    <row r="59" s="568" customFormat="1" spans="1:16">
      <c r="A59" s="728"/>
      <c r="B59" s="1988"/>
      <c r="C59" s="730">
        <v>100</v>
      </c>
      <c r="D59" s="740"/>
      <c r="E59" s="731"/>
      <c r="F59" s="731"/>
      <c r="G59" s="731"/>
      <c r="H59" s="731"/>
      <c r="I59" s="731"/>
      <c r="J59" s="731"/>
      <c r="K59" s="731"/>
      <c r="L59" s="731"/>
      <c r="M59" s="799"/>
      <c r="N59" s="731"/>
      <c r="O59" s="799"/>
      <c r="P59" s="2008"/>
    </row>
    <row r="60" s="568" customFormat="1" ht="14.75" spans="1:17">
      <c r="A60" s="732" t="s">
        <v>1222</v>
      </c>
      <c r="B60" s="733"/>
      <c r="C60" s="734"/>
      <c r="D60" s="735"/>
      <c r="E60" s="735"/>
      <c r="F60" s="735"/>
      <c r="G60" s="735"/>
      <c r="H60" s="735"/>
      <c r="I60" s="735"/>
      <c r="J60" s="735"/>
      <c r="K60" s="735"/>
      <c r="L60" s="735"/>
      <c r="M60" s="801"/>
      <c r="N60" s="735"/>
      <c r="O60" s="801"/>
      <c r="P60" s="2008"/>
      <c r="Q60" s="1937"/>
    </row>
    <row r="61" s="568" customFormat="1" spans="1:17">
      <c r="A61" s="736" t="s">
        <v>1175</v>
      </c>
      <c r="B61" s="729"/>
      <c r="C61" s="737" t="s">
        <v>1223</v>
      </c>
      <c r="D61" s="739"/>
      <c r="E61" s="739"/>
      <c r="F61" s="739"/>
      <c r="G61" s="739"/>
      <c r="H61" s="739"/>
      <c r="I61" s="739"/>
      <c r="J61" s="739"/>
      <c r="K61" s="739"/>
      <c r="L61" s="802"/>
      <c r="M61" s="803"/>
      <c r="N61" s="1940"/>
      <c r="O61" s="1940"/>
      <c r="P61" s="2009"/>
      <c r="Q61" s="1937"/>
    </row>
    <row r="62" s="568" customFormat="1" ht="14.75" spans="1:17">
      <c r="A62" s="736"/>
      <c r="B62" s="729"/>
      <c r="C62" s="740">
        <v>100</v>
      </c>
      <c r="D62" s="731"/>
      <c r="E62" s="731"/>
      <c r="F62" s="731"/>
      <c r="G62" s="731"/>
      <c r="H62" s="731"/>
      <c r="I62" s="731"/>
      <c r="J62" s="731"/>
      <c r="K62" s="731"/>
      <c r="L62" s="731"/>
      <c r="M62" s="806"/>
      <c r="N62" s="1940"/>
      <c r="O62" s="1940"/>
      <c r="P62" s="2008"/>
      <c r="Q62" s="1937"/>
    </row>
    <row r="63" spans="1:17">
      <c r="A63" s="741" t="s">
        <v>1224</v>
      </c>
      <c r="B63" s="742" t="s">
        <v>1179</v>
      </c>
      <c r="C63" s="743">
        <f>C9</f>
        <v>0</v>
      </c>
      <c r="D63" s="745"/>
      <c r="E63" s="745"/>
      <c r="F63" s="745"/>
      <c r="G63" s="745"/>
      <c r="H63" s="745"/>
      <c r="I63" s="745"/>
      <c r="J63" s="745"/>
      <c r="K63" s="807"/>
      <c r="L63" s="808"/>
      <c r="M63" s="809"/>
      <c r="N63" s="1942"/>
      <c r="O63" s="1942"/>
      <c r="P63" s="2010"/>
      <c r="Q63" s="1937"/>
    </row>
    <row r="64" ht="14.75" spans="1:17">
      <c r="A64" s="864"/>
      <c r="B64" s="865"/>
      <c r="C64" s="866">
        <v>100</v>
      </c>
      <c r="D64" s="866"/>
      <c r="E64" s="866"/>
      <c r="F64" s="866"/>
      <c r="G64" s="866"/>
      <c r="H64" s="866"/>
      <c r="I64" s="866"/>
      <c r="J64" s="866"/>
      <c r="K64" s="866"/>
      <c r="L64" s="866"/>
      <c r="M64" s="903"/>
      <c r="N64" s="1944"/>
      <c r="O64" s="1944"/>
      <c r="P64" s="2010"/>
      <c r="Q64" s="1937"/>
    </row>
    <row r="65" ht="28.75" spans="1:17">
      <c r="A65" s="864"/>
      <c r="B65" s="867" t="s">
        <v>1184</v>
      </c>
      <c r="C65" s="868"/>
      <c r="D65" s="868"/>
      <c r="E65" s="868"/>
      <c r="F65" s="868"/>
      <c r="G65" s="868"/>
      <c r="H65" s="868"/>
      <c r="I65" s="868"/>
      <c r="J65" s="868"/>
      <c r="K65" s="868"/>
      <c r="L65" s="868"/>
      <c r="M65" s="868"/>
      <c r="N65" s="1944"/>
      <c r="O65" s="1944"/>
      <c r="P65" s="2010"/>
      <c r="Q65" s="1937"/>
    </row>
    <row r="66" ht="14.75" spans="1:17">
      <c r="A66" s="864"/>
      <c r="B66" s="869"/>
      <c r="C66" s="866"/>
      <c r="D66" s="866"/>
      <c r="E66" s="866"/>
      <c r="F66" s="866"/>
      <c r="G66" s="866"/>
      <c r="H66" s="866"/>
      <c r="I66" s="866"/>
      <c r="J66" s="866"/>
      <c r="K66" s="866"/>
      <c r="L66" s="866"/>
      <c r="M66" s="903"/>
      <c r="N66" s="1944"/>
      <c r="O66" s="1944"/>
      <c r="P66" s="2010"/>
      <c r="Q66" s="1937"/>
    </row>
    <row r="67" ht="14.75" spans="1:17">
      <c r="A67" s="864"/>
      <c r="B67" s="870" t="s">
        <v>1185</v>
      </c>
      <c r="C67" s="871" t="str">
        <f>C68&amp;"（含）"&amp;"-"&amp;D68</f>
        <v>（含）-</v>
      </c>
      <c r="D67" s="871" t="str">
        <f t="shared" ref="D67:L67" si="20">D68&amp;"（含）"&amp;"-"&amp;E68</f>
        <v>（含）-</v>
      </c>
      <c r="E67" s="871" t="str">
        <f t="shared" si="20"/>
        <v>（含）-</v>
      </c>
      <c r="F67" s="871" t="str">
        <f t="shared" si="20"/>
        <v>（含）-</v>
      </c>
      <c r="G67" s="871" t="str">
        <f t="shared" si="20"/>
        <v>（含）-</v>
      </c>
      <c r="H67" s="871" t="str">
        <f t="shared" si="20"/>
        <v>（含）-</v>
      </c>
      <c r="I67" s="871" t="str">
        <f t="shared" si="20"/>
        <v>（含）-</v>
      </c>
      <c r="J67" s="871" t="str">
        <f t="shared" si="20"/>
        <v>（含）-</v>
      </c>
      <c r="K67" s="871" t="str">
        <f t="shared" si="20"/>
        <v>（含）-</v>
      </c>
      <c r="L67" s="871" t="str">
        <f t="shared" si="20"/>
        <v>（含）-</v>
      </c>
      <c r="M67" s="657" t="str">
        <f>M68&amp;"（含）"&amp;"-"&amp;P68</f>
        <v>（含）-</v>
      </c>
      <c r="N67" s="1944"/>
      <c r="O67" s="1944"/>
      <c r="P67" s="2010"/>
      <c r="Q67" s="1937"/>
    </row>
    <row r="68" spans="1:17">
      <c r="A68" s="864"/>
      <c r="B68" s="872"/>
      <c r="C68" s="873"/>
      <c r="D68" s="873"/>
      <c r="E68" s="873"/>
      <c r="F68" s="873"/>
      <c r="G68" s="873"/>
      <c r="H68" s="873"/>
      <c r="I68" s="873"/>
      <c r="J68" s="873"/>
      <c r="K68" s="908"/>
      <c r="L68" s="909"/>
      <c r="M68" s="910"/>
      <c r="N68" s="1942"/>
      <c r="O68" s="1942"/>
      <c r="P68" s="2010"/>
      <c r="Q68" s="1937"/>
    </row>
    <row r="69" ht="14.75" spans="1:17">
      <c r="A69" s="864"/>
      <c r="B69" s="865"/>
      <c r="C69" s="874">
        <v>100</v>
      </c>
      <c r="D69" s="874">
        <f t="shared" ref="D69:M69" si="21">C69-$K11</f>
        <v>100</v>
      </c>
      <c r="E69" s="874">
        <f t="shared" si="21"/>
        <v>100</v>
      </c>
      <c r="F69" s="874">
        <f t="shared" si="21"/>
        <v>100</v>
      </c>
      <c r="G69" s="874">
        <f t="shared" si="21"/>
        <v>100</v>
      </c>
      <c r="H69" s="874">
        <f t="shared" si="21"/>
        <v>100</v>
      </c>
      <c r="I69" s="874">
        <f t="shared" si="21"/>
        <v>100</v>
      </c>
      <c r="J69" s="874">
        <f t="shared" si="21"/>
        <v>100</v>
      </c>
      <c r="K69" s="874">
        <f t="shared" si="21"/>
        <v>100</v>
      </c>
      <c r="L69" s="874">
        <f t="shared" si="21"/>
        <v>100</v>
      </c>
      <c r="M69" s="911">
        <f t="shared" si="21"/>
        <v>100</v>
      </c>
      <c r="N69" s="1944"/>
      <c r="O69" s="1944"/>
      <c r="P69" s="2010"/>
      <c r="Q69" s="1937"/>
    </row>
    <row r="70" s="570" customFormat="1" ht="14.75" spans="1:17">
      <c r="A70" s="875"/>
      <c r="B70" s="867">
        <f>B12</f>
        <v>111</v>
      </c>
      <c r="C70" s="876"/>
      <c r="D70" s="876"/>
      <c r="E70" s="876"/>
      <c r="F70" s="876"/>
      <c r="G70" s="876"/>
      <c r="H70" s="877"/>
      <c r="I70" s="877"/>
      <c r="J70" s="877"/>
      <c r="K70" s="877"/>
      <c r="L70" s="912"/>
      <c r="M70" s="913"/>
      <c r="N70" s="1945"/>
      <c r="O70" s="1945"/>
      <c r="P70" s="2014"/>
      <c r="Q70" s="1948"/>
    </row>
    <row r="71" s="570" customFormat="1" ht="14.75" spans="1:17">
      <c r="A71" s="875"/>
      <c r="B71" s="869"/>
      <c r="C71" s="878"/>
      <c r="D71" s="866"/>
      <c r="E71" s="866"/>
      <c r="F71" s="866"/>
      <c r="G71" s="866"/>
      <c r="H71" s="866"/>
      <c r="I71" s="866"/>
      <c r="J71" s="866"/>
      <c r="K71" s="866"/>
      <c r="L71" s="866"/>
      <c r="M71" s="903"/>
      <c r="N71" s="1944"/>
      <c r="O71" s="1944"/>
      <c r="P71" s="2014"/>
      <c r="Q71" s="1948"/>
    </row>
    <row r="72" s="570" customFormat="1" ht="14.75" spans="1:17">
      <c r="A72" s="875"/>
      <c r="B72" s="867">
        <f>B13</f>
        <v>111</v>
      </c>
      <c r="C72" s="876"/>
      <c r="D72" s="876"/>
      <c r="E72" s="876"/>
      <c r="F72" s="876"/>
      <c r="G72" s="876"/>
      <c r="H72" s="877"/>
      <c r="I72" s="877"/>
      <c r="J72" s="877"/>
      <c r="K72" s="877"/>
      <c r="L72" s="912"/>
      <c r="M72" s="913"/>
      <c r="N72" s="1945"/>
      <c r="O72" s="1945"/>
      <c r="P72" s="2015"/>
      <c r="Q72" s="1953"/>
    </row>
    <row r="73" s="570" customFormat="1" ht="14.75" spans="1:17">
      <c r="A73" s="875"/>
      <c r="B73" s="869"/>
      <c r="C73" s="878"/>
      <c r="D73" s="878"/>
      <c r="E73" s="878"/>
      <c r="F73" s="878"/>
      <c r="G73" s="878"/>
      <c r="H73" s="879"/>
      <c r="I73" s="879"/>
      <c r="J73" s="879"/>
      <c r="K73" s="879"/>
      <c r="L73" s="879"/>
      <c r="M73" s="917"/>
      <c r="N73" s="1945"/>
      <c r="O73" s="1945"/>
      <c r="P73" s="2014"/>
      <c r="Q73" s="1948"/>
    </row>
    <row r="74" s="570" customFormat="1" ht="14.75" spans="1:17">
      <c r="A74" s="875"/>
      <c r="B74" s="870">
        <f>B14</f>
        <v>111</v>
      </c>
      <c r="C74" s="876"/>
      <c r="D74" s="876"/>
      <c r="E74" s="876"/>
      <c r="F74" s="876"/>
      <c r="G74" s="739"/>
      <c r="H74" s="880"/>
      <c r="I74" s="880"/>
      <c r="J74" s="880"/>
      <c r="K74" s="880"/>
      <c r="L74" s="918"/>
      <c r="M74" s="919"/>
      <c r="N74" s="1945"/>
      <c r="O74" s="1945"/>
      <c r="P74" s="2016"/>
      <c r="Q74" s="1948"/>
    </row>
    <row r="75" s="570" customFormat="1" ht="14.75" spans="1:17">
      <c r="A75" s="881"/>
      <c r="B75" s="882"/>
      <c r="C75" s="883"/>
      <c r="D75" s="883"/>
      <c r="E75" s="883"/>
      <c r="F75" s="883"/>
      <c r="G75" s="883"/>
      <c r="H75" s="884"/>
      <c r="I75" s="884"/>
      <c r="J75" s="884"/>
      <c r="K75" s="884"/>
      <c r="L75" s="884"/>
      <c r="M75" s="921"/>
      <c r="N75" s="1945"/>
      <c r="O75" s="1945"/>
      <c r="P75" s="2014"/>
      <c r="Q75" s="1948"/>
    </row>
    <row r="76" spans="1:17">
      <c r="A76" s="741" t="s">
        <v>1186</v>
      </c>
      <c r="B76" s="742" t="s">
        <v>1456</v>
      </c>
      <c r="C76" s="885" t="s">
        <v>1225</v>
      </c>
      <c r="D76" s="885" t="s">
        <v>1226</v>
      </c>
      <c r="E76" s="885" t="s">
        <v>1227</v>
      </c>
      <c r="F76" s="885" t="s">
        <v>1228</v>
      </c>
      <c r="G76" s="885" t="s">
        <v>1229</v>
      </c>
      <c r="H76" s="743"/>
      <c r="I76" s="743"/>
      <c r="J76" s="743"/>
      <c r="K76" s="922"/>
      <c r="L76" s="923"/>
      <c r="M76" s="924"/>
      <c r="N76" s="1942"/>
      <c r="O76" s="1942"/>
      <c r="P76" s="2017"/>
      <c r="Q76" s="1937"/>
    </row>
    <row r="77" ht="14.75" spans="1:17">
      <c r="A77" s="864"/>
      <c r="B77" s="869"/>
      <c r="C77" s="874">
        <v>100</v>
      </c>
      <c r="D77" s="874">
        <f>C77-$K15</f>
        <v>100</v>
      </c>
      <c r="E77" s="874">
        <f>D77-$K15</f>
        <v>100</v>
      </c>
      <c r="F77" s="874">
        <f>E77-$K15</f>
        <v>100</v>
      </c>
      <c r="G77" s="874">
        <f>F77-$K15</f>
        <v>100</v>
      </c>
      <c r="H77" s="874"/>
      <c r="I77" s="874"/>
      <c r="J77" s="874"/>
      <c r="K77" s="874"/>
      <c r="L77" s="874"/>
      <c r="M77" s="911"/>
      <c r="N77" s="1944"/>
      <c r="O77" s="1944"/>
      <c r="P77" s="2010"/>
      <c r="Q77" s="1937"/>
    </row>
    <row r="78" ht="14.75" spans="1:17">
      <c r="A78" s="864"/>
      <c r="B78" s="867" t="s">
        <v>1191</v>
      </c>
      <c r="C78" s="886" t="s">
        <v>1225</v>
      </c>
      <c r="D78" s="886" t="s">
        <v>1226</v>
      </c>
      <c r="E78" s="886" t="s">
        <v>1227</v>
      </c>
      <c r="F78" s="886" t="s">
        <v>1228</v>
      </c>
      <c r="G78" s="886" t="s">
        <v>1229</v>
      </c>
      <c r="H78" s="887"/>
      <c r="I78" s="887"/>
      <c r="J78" s="887"/>
      <c r="K78" s="926"/>
      <c r="L78" s="927"/>
      <c r="M78" s="928"/>
      <c r="N78" s="1942"/>
      <c r="O78" s="1942"/>
      <c r="P78" s="2010"/>
      <c r="Q78" s="1937"/>
    </row>
    <row r="79" ht="14.75" spans="1:17">
      <c r="A79" s="864"/>
      <c r="B79" s="869"/>
      <c r="C79" s="874">
        <v>100</v>
      </c>
      <c r="D79" s="874">
        <f>C79-$K17</f>
        <v>100</v>
      </c>
      <c r="E79" s="874">
        <f>D79-$K17</f>
        <v>100</v>
      </c>
      <c r="F79" s="874">
        <f>E79-$K17</f>
        <v>100</v>
      </c>
      <c r="G79" s="874">
        <f>F79-$K17</f>
        <v>100</v>
      </c>
      <c r="H79" s="874"/>
      <c r="I79" s="874"/>
      <c r="J79" s="874"/>
      <c r="K79" s="874"/>
      <c r="L79" s="874"/>
      <c r="M79" s="911"/>
      <c r="N79" s="1944"/>
      <c r="O79" s="1944"/>
      <c r="P79" s="2010"/>
      <c r="Q79" s="1937"/>
    </row>
    <row r="80" ht="14.75" spans="1:17">
      <c r="A80" s="864"/>
      <c r="B80" s="867" t="s">
        <v>1192</v>
      </c>
      <c r="C80" s="886" t="s">
        <v>1225</v>
      </c>
      <c r="D80" s="886" t="s">
        <v>1226</v>
      </c>
      <c r="E80" s="886" t="s">
        <v>1227</v>
      </c>
      <c r="F80" s="886" t="s">
        <v>1228</v>
      </c>
      <c r="G80" s="886" t="s">
        <v>1229</v>
      </c>
      <c r="H80" s="887"/>
      <c r="I80" s="887"/>
      <c r="J80" s="887"/>
      <c r="K80" s="926"/>
      <c r="L80" s="927"/>
      <c r="M80" s="928"/>
      <c r="N80" s="1942"/>
      <c r="O80" s="1942"/>
      <c r="P80" s="2010"/>
      <c r="Q80" s="1937"/>
    </row>
    <row r="81" ht="14.75" spans="1:17">
      <c r="A81" s="864"/>
      <c r="B81" s="869"/>
      <c r="C81" s="874">
        <v>100</v>
      </c>
      <c r="D81" s="874">
        <f>C81-$K19</f>
        <v>100</v>
      </c>
      <c r="E81" s="874">
        <f>D81-$K19</f>
        <v>100</v>
      </c>
      <c r="F81" s="874">
        <f>E81-$K19</f>
        <v>100</v>
      </c>
      <c r="G81" s="874">
        <f>F81-$K19</f>
        <v>100</v>
      </c>
      <c r="H81" s="874"/>
      <c r="I81" s="874"/>
      <c r="J81" s="874"/>
      <c r="K81" s="874"/>
      <c r="L81" s="874"/>
      <c r="M81" s="911"/>
      <c r="N81" s="1944"/>
      <c r="O81" s="1944"/>
      <c r="P81" s="2010"/>
      <c r="Q81" s="1937"/>
    </row>
    <row r="82" ht="14.75" spans="1:17">
      <c r="A82" s="864"/>
      <c r="B82" s="870" t="s">
        <v>1193</v>
      </c>
      <c r="C82" s="887" t="s">
        <v>1230</v>
      </c>
      <c r="D82" s="887" t="s">
        <v>1231</v>
      </c>
      <c r="E82" s="887" t="s">
        <v>1232</v>
      </c>
      <c r="F82" s="887" t="s">
        <v>1233</v>
      </c>
      <c r="G82" s="887" t="s">
        <v>1234</v>
      </c>
      <c r="H82" s="887"/>
      <c r="I82" s="887"/>
      <c r="J82" s="887"/>
      <c r="K82" s="887"/>
      <c r="L82" s="887"/>
      <c r="M82" s="929"/>
      <c r="N82" s="1944"/>
      <c r="O82" s="1944"/>
      <c r="P82" s="2010"/>
      <c r="Q82" s="1937"/>
    </row>
    <row r="83" ht="14.75" spans="1:17">
      <c r="A83" s="864"/>
      <c r="B83" s="870"/>
      <c r="C83" s="888">
        <v>100</v>
      </c>
      <c r="D83" s="888">
        <f>C83-$K21</f>
        <v>100</v>
      </c>
      <c r="E83" s="888">
        <f t="shared" ref="E83:G83" si="22">D83-$K21</f>
        <v>100</v>
      </c>
      <c r="F83" s="888">
        <f t="shared" si="22"/>
        <v>100</v>
      </c>
      <c r="G83" s="888">
        <f t="shared" si="22"/>
        <v>100</v>
      </c>
      <c r="H83" s="888"/>
      <c r="I83" s="888"/>
      <c r="J83" s="888"/>
      <c r="K83" s="888"/>
      <c r="L83" s="888"/>
      <c r="M83" s="658"/>
      <c r="N83" s="1944"/>
      <c r="O83" s="1944"/>
      <c r="P83" s="2010"/>
      <c r="Q83" s="1937"/>
    </row>
    <row r="84" ht="14.75" spans="1:17">
      <c r="A84" s="864"/>
      <c r="B84" s="867" t="s">
        <v>1457</v>
      </c>
      <c r="C84" s="886" t="s">
        <v>1225</v>
      </c>
      <c r="D84" s="886" t="s">
        <v>1226</v>
      </c>
      <c r="E84" s="886" t="s">
        <v>1227</v>
      </c>
      <c r="F84" s="886" t="s">
        <v>1228</v>
      </c>
      <c r="G84" s="886" t="s">
        <v>1229</v>
      </c>
      <c r="H84" s="887"/>
      <c r="I84" s="887"/>
      <c r="J84" s="887"/>
      <c r="K84" s="926"/>
      <c r="L84" s="927"/>
      <c r="M84" s="928"/>
      <c r="N84" s="1942"/>
      <c r="O84" s="1942"/>
      <c r="P84" s="2010"/>
      <c r="Q84" s="1937"/>
    </row>
    <row r="85" ht="14.75" spans="1:17">
      <c r="A85" s="864"/>
      <c r="B85" s="869"/>
      <c r="C85" s="874">
        <v>100</v>
      </c>
      <c r="D85" s="874">
        <f>C85-$K23</f>
        <v>100</v>
      </c>
      <c r="E85" s="874">
        <f>D85-$K23</f>
        <v>100</v>
      </c>
      <c r="F85" s="874">
        <f>E85-$K23</f>
        <v>100</v>
      </c>
      <c r="G85" s="874">
        <f>F85-$K23</f>
        <v>100</v>
      </c>
      <c r="H85" s="874"/>
      <c r="I85" s="874"/>
      <c r="J85" s="874"/>
      <c r="K85" s="874"/>
      <c r="L85" s="874"/>
      <c r="M85" s="911"/>
      <c r="N85" s="1944"/>
      <c r="O85" s="1944"/>
      <c r="P85" s="2010"/>
      <c r="Q85" s="1937"/>
    </row>
    <row r="86" s="568" customFormat="1" ht="14.75" spans="1:17">
      <c r="A86" s="889"/>
      <c r="B86" s="867" t="s">
        <v>1458</v>
      </c>
      <c r="C86" s="876"/>
      <c r="D86" s="876"/>
      <c r="E86" s="876"/>
      <c r="F86" s="876"/>
      <c r="G86" s="876"/>
      <c r="H86" s="876"/>
      <c r="I86" s="876"/>
      <c r="J86" s="876"/>
      <c r="K86" s="876"/>
      <c r="L86" s="930"/>
      <c r="M86" s="931"/>
      <c r="N86" s="1940"/>
      <c r="O86" s="1940"/>
      <c r="P86" s="2010"/>
      <c r="Q86" s="1937"/>
    </row>
    <row r="87" s="568" customFormat="1" ht="14.75" spans="1:17">
      <c r="A87" s="889"/>
      <c r="B87" s="869"/>
      <c r="C87" s="890">
        <v>100</v>
      </c>
      <c r="D87" s="874">
        <f t="shared" ref="D87:M87" si="23">$C$87-($C$86-D86)*$K$25</f>
        <v>100</v>
      </c>
      <c r="E87" s="874">
        <f t="shared" si="23"/>
        <v>100</v>
      </c>
      <c r="F87" s="874">
        <f t="shared" si="23"/>
        <v>100</v>
      </c>
      <c r="G87" s="874">
        <f t="shared" si="23"/>
        <v>100</v>
      </c>
      <c r="H87" s="874">
        <f t="shared" si="23"/>
        <v>100</v>
      </c>
      <c r="I87" s="874">
        <f t="shared" si="23"/>
        <v>100</v>
      </c>
      <c r="J87" s="874">
        <f t="shared" si="23"/>
        <v>100</v>
      </c>
      <c r="K87" s="874">
        <f t="shared" si="23"/>
        <v>100</v>
      </c>
      <c r="L87" s="874">
        <f t="shared" si="23"/>
        <v>100</v>
      </c>
      <c r="M87" s="874">
        <f t="shared" si="23"/>
        <v>100</v>
      </c>
      <c r="N87" s="1944"/>
      <c r="O87" s="1944"/>
      <c r="P87" s="2010"/>
      <c r="Q87" s="1937"/>
    </row>
    <row r="88" s="568" customFormat="1" ht="14.75" spans="1:17">
      <c r="A88" s="889"/>
      <c r="B88" s="867" t="s">
        <v>1197</v>
      </c>
      <c r="C88" s="876"/>
      <c r="D88" s="876"/>
      <c r="E88" s="876"/>
      <c r="F88" s="891"/>
      <c r="G88" s="876"/>
      <c r="H88" s="876"/>
      <c r="I88" s="876"/>
      <c r="J88" s="876"/>
      <c r="K88" s="876"/>
      <c r="L88" s="876"/>
      <c r="M88" s="931"/>
      <c r="N88" s="1940"/>
      <c r="O88" s="1940"/>
      <c r="P88" s="2010"/>
      <c r="Q88" s="1937"/>
    </row>
    <row r="89" s="568" customFormat="1" ht="14.75" spans="1:17">
      <c r="A89" s="889"/>
      <c r="B89" s="869"/>
      <c r="C89" s="890">
        <v>100</v>
      </c>
      <c r="D89" s="874">
        <f t="shared" ref="D89:M89" si="24">C89-$K26</f>
        <v>100</v>
      </c>
      <c r="E89" s="874">
        <f t="shared" si="24"/>
        <v>100</v>
      </c>
      <c r="F89" s="874">
        <f t="shared" si="24"/>
        <v>100</v>
      </c>
      <c r="G89" s="874">
        <f t="shared" si="24"/>
        <v>100</v>
      </c>
      <c r="H89" s="874">
        <f t="shared" si="24"/>
        <v>100</v>
      </c>
      <c r="I89" s="874">
        <f t="shared" si="24"/>
        <v>100</v>
      </c>
      <c r="J89" s="874">
        <f t="shared" si="24"/>
        <v>100</v>
      </c>
      <c r="K89" s="874">
        <f t="shared" si="24"/>
        <v>100</v>
      </c>
      <c r="L89" s="874">
        <f t="shared" si="24"/>
        <v>100</v>
      </c>
      <c r="M89" s="874">
        <f t="shared" si="24"/>
        <v>100</v>
      </c>
      <c r="N89" s="1944"/>
      <c r="O89" s="1944"/>
      <c r="P89" s="2010"/>
      <c r="Q89" s="1937"/>
    </row>
    <row r="90" s="570" customFormat="1" ht="14.75" spans="1:17">
      <c r="A90" s="875"/>
      <c r="B90" s="867">
        <f>B27</f>
        <v>111</v>
      </c>
      <c r="C90" s="876"/>
      <c r="D90" s="876"/>
      <c r="E90" s="876"/>
      <c r="F90" s="876"/>
      <c r="G90" s="876"/>
      <c r="H90" s="877"/>
      <c r="I90" s="877"/>
      <c r="J90" s="877"/>
      <c r="K90" s="877"/>
      <c r="L90" s="912"/>
      <c r="M90" s="913"/>
      <c r="N90" s="1945"/>
      <c r="O90" s="1945"/>
      <c r="P90" s="2014"/>
      <c r="Q90" s="1948"/>
    </row>
    <row r="91" s="570" customFormat="1" ht="14.75" spans="1:17">
      <c r="A91" s="875"/>
      <c r="B91" s="869"/>
      <c r="C91" s="878"/>
      <c r="D91" s="878"/>
      <c r="E91" s="878"/>
      <c r="F91" s="878"/>
      <c r="G91" s="878"/>
      <c r="H91" s="879"/>
      <c r="I91" s="879"/>
      <c r="J91" s="879"/>
      <c r="K91" s="879"/>
      <c r="L91" s="879"/>
      <c r="M91" s="917"/>
      <c r="N91" s="1945"/>
      <c r="O91" s="1945"/>
      <c r="P91" s="2014"/>
      <c r="Q91" s="1948"/>
    </row>
    <row r="92" ht="14.75" spans="1:17">
      <c r="A92" s="864"/>
      <c r="B92" s="867">
        <f>B28</f>
        <v>111</v>
      </c>
      <c r="C92" s="876"/>
      <c r="D92" s="876"/>
      <c r="E92" s="876"/>
      <c r="F92" s="876"/>
      <c r="G92" s="868"/>
      <c r="H92" s="868"/>
      <c r="I92" s="868"/>
      <c r="J92" s="868"/>
      <c r="K92" s="905"/>
      <c r="L92" s="906"/>
      <c r="M92" s="907"/>
      <c r="N92" s="1942"/>
      <c r="O92" s="1942"/>
      <c r="P92" s="2010"/>
      <c r="Q92" s="1937"/>
    </row>
    <row r="93" ht="14.75" spans="1:17">
      <c r="A93" s="864"/>
      <c r="B93" s="869"/>
      <c r="C93" s="878"/>
      <c r="D93" s="866"/>
      <c r="E93" s="866"/>
      <c r="F93" s="866"/>
      <c r="G93" s="866"/>
      <c r="H93" s="866"/>
      <c r="I93" s="866"/>
      <c r="J93" s="866"/>
      <c r="K93" s="866"/>
      <c r="L93" s="866"/>
      <c r="M93" s="903"/>
      <c r="N93" s="1944"/>
      <c r="O93" s="1944"/>
      <c r="P93" s="2010"/>
      <c r="Q93" s="1937"/>
    </row>
    <row r="94" ht="14.75" spans="1:17">
      <c r="A94" s="864"/>
      <c r="B94" s="867">
        <f>B29</f>
        <v>111</v>
      </c>
      <c r="C94" s="876"/>
      <c r="D94" s="876"/>
      <c r="E94" s="876"/>
      <c r="F94" s="876"/>
      <c r="G94" s="868"/>
      <c r="H94" s="868"/>
      <c r="I94" s="868"/>
      <c r="J94" s="868"/>
      <c r="K94" s="905"/>
      <c r="L94" s="906"/>
      <c r="M94" s="907"/>
      <c r="N94" s="1942"/>
      <c r="O94" s="1942"/>
      <c r="P94" s="2010"/>
      <c r="Q94" s="1937"/>
    </row>
    <row r="95" ht="14.75" spans="1:17">
      <c r="A95" s="864"/>
      <c r="B95" s="869"/>
      <c r="C95" s="878"/>
      <c r="D95" s="878"/>
      <c r="E95" s="878"/>
      <c r="F95" s="878"/>
      <c r="G95" s="866"/>
      <c r="H95" s="866"/>
      <c r="I95" s="866"/>
      <c r="J95" s="866"/>
      <c r="K95" s="866"/>
      <c r="L95" s="866"/>
      <c r="M95" s="903"/>
      <c r="N95" s="1944"/>
      <c r="O95" s="1944"/>
      <c r="P95" s="2010"/>
      <c r="Q95" s="1937"/>
    </row>
    <row r="96" ht="14.75" spans="1:17">
      <c r="A96" s="864"/>
      <c r="B96" s="867">
        <f>B30</f>
        <v>111</v>
      </c>
      <c r="C96" s="876"/>
      <c r="D96" s="876"/>
      <c r="E96" s="876"/>
      <c r="F96" s="876"/>
      <c r="G96" s="868"/>
      <c r="H96" s="868"/>
      <c r="I96" s="868"/>
      <c r="J96" s="868"/>
      <c r="K96" s="905"/>
      <c r="L96" s="906"/>
      <c r="M96" s="907"/>
      <c r="N96" s="1942"/>
      <c r="O96" s="1942"/>
      <c r="P96" s="2010"/>
      <c r="Q96" s="1937"/>
    </row>
    <row r="97" ht="14.75" spans="1:17">
      <c r="A97" s="864"/>
      <c r="B97" s="869"/>
      <c r="C97" s="883"/>
      <c r="D97" s="883"/>
      <c r="E97" s="883"/>
      <c r="F97" s="883"/>
      <c r="G97" s="866"/>
      <c r="H97" s="866"/>
      <c r="I97" s="866"/>
      <c r="J97" s="866"/>
      <c r="K97" s="866"/>
      <c r="L97" s="866"/>
      <c r="M97" s="903"/>
      <c r="N97" s="1944"/>
      <c r="O97" s="1944"/>
      <c r="P97" s="2010"/>
      <c r="Q97" s="1937"/>
    </row>
    <row r="98" ht="14.75" spans="1:17">
      <c r="A98" s="864"/>
      <c r="B98" s="870">
        <f>B31</f>
        <v>111</v>
      </c>
      <c r="C98" s="892"/>
      <c r="D98" s="892"/>
      <c r="E98" s="892"/>
      <c r="F98" s="892"/>
      <c r="G98" s="892"/>
      <c r="H98" s="892"/>
      <c r="I98" s="892"/>
      <c r="J98" s="892"/>
      <c r="K98" s="932"/>
      <c r="L98" s="933"/>
      <c r="M98" s="934"/>
      <c r="N98" s="1942"/>
      <c r="O98" s="1942"/>
      <c r="P98" s="2010"/>
      <c r="Q98" s="1937"/>
    </row>
    <row r="99" ht="14.75" spans="1:17">
      <c r="A99" s="893"/>
      <c r="B99" s="882"/>
      <c r="C99" s="894"/>
      <c r="D99" s="894"/>
      <c r="E99" s="894"/>
      <c r="F99" s="894"/>
      <c r="G99" s="894"/>
      <c r="H99" s="894"/>
      <c r="I99" s="894"/>
      <c r="J99" s="894"/>
      <c r="K99" s="894"/>
      <c r="L99" s="894"/>
      <c r="M99" s="935"/>
      <c r="N99" s="1944"/>
      <c r="O99" s="1944"/>
      <c r="P99" s="2010"/>
      <c r="Q99" s="1937"/>
    </row>
    <row r="100" spans="1:17">
      <c r="A100" s="741" t="s">
        <v>1198</v>
      </c>
      <c r="B100" s="742" t="s">
        <v>1199</v>
      </c>
      <c r="C100" s="745"/>
      <c r="D100" s="745"/>
      <c r="E100" s="745"/>
      <c r="F100" s="745"/>
      <c r="G100" s="745"/>
      <c r="H100" s="745"/>
      <c r="I100" s="745"/>
      <c r="J100" s="745"/>
      <c r="K100" s="807"/>
      <c r="L100" s="808"/>
      <c r="M100" s="809"/>
      <c r="N100" s="1942"/>
      <c r="O100" s="1942"/>
      <c r="P100" s="2010"/>
      <c r="Q100" s="1937"/>
    </row>
    <row r="101" ht="14.75" spans="1:17">
      <c r="A101" s="864"/>
      <c r="B101" s="869"/>
      <c r="C101" s="874">
        <v>100</v>
      </c>
      <c r="D101" s="874">
        <f t="shared" ref="D101:M101" si="25">C101-$K32</f>
        <v>100</v>
      </c>
      <c r="E101" s="874">
        <f t="shared" si="25"/>
        <v>100</v>
      </c>
      <c r="F101" s="874">
        <f t="shared" si="25"/>
        <v>100</v>
      </c>
      <c r="G101" s="874">
        <f t="shared" si="25"/>
        <v>100</v>
      </c>
      <c r="H101" s="874">
        <f t="shared" si="25"/>
        <v>100</v>
      </c>
      <c r="I101" s="874">
        <f t="shared" si="25"/>
        <v>100</v>
      </c>
      <c r="J101" s="874">
        <f t="shared" si="25"/>
        <v>100</v>
      </c>
      <c r="K101" s="874">
        <f t="shared" si="25"/>
        <v>100</v>
      </c>
      <c r="L101" s="874">
        <f t="shared" si="25"/>
        <v>100</v>
      </c>
      <c r="M101" s="874">
        <f t="shared" si="25"/>
        <v>100</v>
      </c>
      <c r="N101" s="1944"/>
      <c r="O101" s="1944"/>
      <c r="P101" s="2010"/>
      <c r="Q101" s="1937"/>
    </row>
    <row r="102" ht="14.75" spans="1:17">
      <c r="A102" s="864"/>
      <c r="B102" s="867" t="s">
        <v>1203</v>
      </c>
      <c r="C102" s="886" t="str">
        <f>C103&amp;"(含)"&amp;"-"&amp;D103</f>
        <v>(含)-</v>
      </c>
      <c r="D102" s="886" t="str">
        <f t="shared" ref="D102:L102" si="26">D103&amp;"(含)"&amp;"-"&amp;E103</f>
        <v>(含)-</v>
      </c>
      <c r="E102" s="886" t="str">
        <f t="shared" si="26"/>
        <v>(含)-</v>
      </c>
      <c r="F102" s="886" t="str">
        <f t="shared" si="26"/>
        <v>(含)-</v>
      </c>
      <c r="G102" s="886" t="str">
        <f t="shared" si="26"/>
        <v>(含)-</v>
      </c>
      <c r="H102" s="886" t="str">
        <f t="shared" si="26"/>
        <v>(含)-</v>
      </c>
      <c r="I102" s="886" t="str">
        <f t="shared" si="26"/>
        <v>(含)-</v>
      </c>
      <c r="J102" s="886" t="str">
        <f t="shared" si="26"/>
        <v>(含)-</v>
      </c>
      <c r="K102" s="886" t="str">
        <f t="shared" si="26"/>
        <v>(含)-</v>
      </c>
      <c r="L102" s="886" t="str">
        <f t="shared" si="26"/>
        <v>(含)-</v>
      </c>
      <c r="M102" s="886" t="str">
        <f>M103&amp;"(含)"&amp;"-"&amp;P103</f>
        <v>(含)-</v>
      </c>
      <c r="N102" s="1940"/>
      <c r="O102" s="1940"/>
      <c r="P102" s="2010"/>
      <c r="Q102" s="1937"/>
    </row>
    <row r="103" s="570" customFormat="1" spans="1:17">
      <c r="A103" s="895"/>
      <c r="B103" s="896"/>
      <c r="C103" s="897"/>
      <c r="D103" s="897"/>
      <c r="E103" s="897"/>
      <c r="F103" s="897"/>
      <c r="G103" s="897"/>
      <c r="H103" s="897"/>
      <c r="I103" s="897"/>
      <c r="J103" s="937"/>
      <c r="K103" s="937"/>
      <c r="L103" s="938"/>
      <c r="M103" s="939"/>
      <c r="N103" s="1945"/>
      <c r="O103" s="1945"/>
      <c r="P103" s="2014"/>
      <c r="Q103" s="1948"/>
    </row>
    <row r="104" s="570" customFormat="1" ht="14.75" spans="1:17">
      <c r="A104" s="875"/>
      <c r="B104" s="869"/>
      <c r="C104" s="878"/>
      <c r="D104" s="866"/>
      <c r="E104" s="866"/>
      <c r="F104" s="866"/>
      <c r="G104" s="866"/>
      <c r="H104" s="866"/>
      <c r="I104" s="866"/>
      <c r="J104" s="866"/>
      <c r="K104" s="866"/>
      <c r="L104" s="866"/>
      <c r="M104" s="866"/>
      <c r="N104" s="1944"/>
      <c r="O104" s="1944"/>
      <c r="P104" s="2014"/>
      <c r="Q104" s="1948"/>
    </row>
    <row r="105" ht="14.75" spans="1:17">
      <c r="A105" s="898"/>
      <c r="B105" s="867" t="s">
        <v>1204</v>
      </c>
      <c r="C105" s="876"/>
      <c r="D105" s="876"/>
      <c r="E105" s="868"/>
      <c r="F105" s="868"/>
      <c r="G105" s="868"/>
      <c r="H105" s="868"/>
      <c r="I105" s="868"/>
      <c r="J105" s="868"/>
      <c r="K105" s="905"/>
      <c r="L105" s="906"/>
      <c r="M105" s="907"/>
      <c r="N105" s="1942"/>
      <c r="O105" s="1942"/>
      <c r="P105" s="2010"/>
      <c r="Q105" s="1937"/>
    </row>
    <row r="106" ht="14.75" spans="1:17">
      <c r="A106" s="864"/>
      <c r="B106" s="869"/>
      <c r="C106" s="874">
        <v>100</v>
      </c>
      <c r="D106" s="874">
        <f t="shared" ref="D106:M106" si="27">C106-$K34</f>
        <v>100</v>
      </c>
      <c r="E106" s="874">
        <f t="shared" si="27"/>
        <v>100</v>
      </c>
      <c r="F106" s="874">
        <f t="shared" si="27"/>
        <v>100</v>
      </c>
      <c r="G106" s="874">
        <f t="shared" si="27"/>
        <v>100</v>
      </c>
      <c r="H106" s="874">
        <f t="shared" si="27"/>
        <v>100</v>
      </c>
      <c r="I106" s="874">
        <f t="shared" si="27"/>
        <v>100</v>
      </c>
      <c r="J106" s="874">
        <f t="shared" si="27"/>
        <v>100</v>
      </c>
      <c r="K106" s="874">
        <f t="shared" si="27"/>
        <v>100</v>
      </c>
      <c r="L106" s="874">
        <f t="shared" si="27"/>
        <v>100</v>
      </c>
      <c r="M106" s="874">
        <f t="shared" si="27"/>
        <v>100</v>
      </c>
      <c r="N106" s="1944"/>
      <c r="O106" s="1944"/>
      <c r="P106" s="2010"/>
      <c r="Q106" s="1937"/>
    </row>
    <row r="107" ht="14.75" spans="1:17">
      <c r="A107" s="898"/>
      <c r="B107" s="867" t="s">
        <v>1459</v>
      </c>
      <c r="C107" s="868"/>
      <c r="D107" s="868"/>
      <c r="E107" s="868"/>
      <c r="F107" s="868"/>
      <c r="G107" s="868"/>
      <c r="H107" s="868"/>
      <c r="I107" s="868"/>
      <c r="J107" s="868"/>
      <c r="K107" s="905"/>
      <c r="L107" s="906"/>
      <c r="M107" s="907"/>
      <c r="N107" s="1942"/>
      <c r="O107" s="1942"/>
      <c r="P107" s="2010"/>
      <c r="Q107" s="1937"/>
    </row>
    <row r="108" ht="14.75" spans="1:17">
      <c r="A108" s="864"/>
      <c r="B108" s="869"/>
      <c r="C108" s="874">
        <v>100</v>
      </c>
      <c r="D108" s="874">
        <f t="shared" ref="D108:M108" si="28">C108-$K35</f>
        <v>100</v>
      </c>
      <c r="E108" s="874">
        <f t="shared" si="28"/>
        <v>100</v>
      </c>
      <c r="F108" s="874">
        <f t="shared" si="28"/>
        <v>100</v>
      </c>
      <c r="G108" s="874">
        <f t="shared" si="28"/>
        <v>100</v>
      </c>
      <c r="H108" s="874">
        <f t="shared" si="28"/>
        <v>100</v>
      </c>
      <c r="I108" s="874">
        <f t="shared" si="28"/>
        <v>100</v>
      </c>
      <c r="J108" s="874">
        <f t="shared" si="28"/>
        <v>100</v>
      </c>
      <c r="K108" s="874">
        <f t="shared" si="28"/>
        <v>100</v>
      </c>
      <c r="L108" s="874">
        <f t="shared" si="28"/>
        <v>100</v>
      </c>
      <c r="M108" s="874">
        <f t="shared" si="28"/>
        <v>100</v>
      </c>
      <c r="N108" s="1944"/>
      <c r="O108" s="1944"/>
      <c r="P108" s="2010"/>
      <c r="Q108" s="1937"/>
    </row>
    <row r="109" ht="14.75" spans="1:17">
      <c r="A109" s="898"/>
      <c r="B109" s="867" t="s">
        <v>1205</v>
      </c>
      <c r="C109" s="876"/>
      <c r="D109" s="876"/>
      <c r="E109" s="876"/>
      <c r="F109" s="868"/>
      <c r="G109" s="868"/>
      <c r="H109" s="868"/>
      <c r="I109" s="868"/>
      <c r="J109" s="868"/>
      <c r="K109" s="905"/>
      <c r="L109" s="906"/>
      <c r="M109" s="907"/>
      <c r="N109" s="1942"/>
      <c r="O109" s="1942"/>
      <c r="P109" s="2010"/>
      <c r="Q109" s="1937"/>
    </row>
    <row r="110" ht="14.75" spans="1:17">
      <c r="A110" s="864"/>
      <c r="B110" s="869"/>
      <c r="C110" s="874">
        <v>100</v>
      </c>
      <c r="D110" s="874">
        <f t="shared" ref="D110:M110" si="29">C110-$K36</f>
        <v>100</v>
      </c>
      <c r="E110" s="874">
        <f t="shared" si="29"/>
        <v>100</v>
      </c>
      <c r="F110" s="874">
        <f t="shared" si="29"/>
        <v>100</v>
      </c>
      <c r="G110" s="874">
        <f t="shared" si="29"/>
        <v>100</v>
      </c>
      <c r="H110" s="874">
        <f t="shared" si="29"/>
        <v>100</v>
      </c>
      <c r="I110" s="874">
        <f t="shared" si="29"/>
        <v>100</v>
      </c>
      <c r="J110" s="874">
        <f t="shared" si="29"/>
        <v>100</v>
      </c>
      <c r="K110" s="874">
        <f t="shared" si="29"/>
        <v>100</v>
      </c>
      <c r="L110" s="874">
        <f t="shared" si="29"/>
        <v>100</v>
      </c>
      <c r="M110" s="874">
        <f t="shared" si="29"/>
        <v>100</v>
      </c>
      <c r="N110" s="1944"/>
      <c r="O110" s="1944"/>
      <c r="P110" s="2010"/>
      <c r="Q110" s="1937"/>
    </row>
    <row r="111" s="570" customFormat="1" ht="14.75" spans="1:17">
      <c r="A111" s="895"/>
      <c r="B111" s="867" t="s">
        <v>636</v>
      </c>
      <c r="C111" s="886" t="str">
        <f>C112&amp;"(含)"&amp;"-"&amp;D112</f>
        <v>0.5(含)-0.6</v>
      </c>
      <c r="D111" s="886" t="str">
        <f>D112&amp;"(含)"&amp;"-"&amp;E112</f>
        <v>0.6(含)-0.7</v>
      </c>
      <c r="E111" s="886" t="str">
        <f>E112&amp;"(含)"&amp;"-"&amp;F112</f>
        <v>0.7(含)-0.8</v>
      </c>
      <c r="F111" s="886" t="str">
        <f>F112&amp;"(含)"&amp;"-"&amp;G112</f>
        <v>0.8(含)-0.9</v>
      </c>
      <c r="G111" s="886" t="str">
        <f>G112&amp;"(含)"&amp;"-"&amp;ROUND(H112,0)&amp;"(含)"</f>
        <v>0.9(含)-1(含)</v>
      </c>
      <c r="H111" s="886" t="str">
        <f>ROUND(H112,0)&amp;"(含)"&amp;"-"&amp;I112</f>
        <v>1(含)-</v>
      </c>
      <c r="I111" s="886"/>
      <c r="J111" s="1609"/>
      <c r="K111" s="1609"/>
      <c r="L111" s="1623"/>
      <c r="M111" s="1624"/>
      <c r="N111" s="1945"/>
      <c r="O111" s="1945"/>
      <c r="P111" s="2014"/>
      <c r="Q111" s="1948"/>
    </row>
    <row r="112" s="570" customFormat="1" spans="1:17">
      <c r="A112" s="895"/>
      <c r="B112" s="870"/>
      <c r="C112" s="899">
        <v>0.5</v>
      </c>
      <c r="D112" s="899">
        <v>0.6</v>
      </c>
      <c r="E112" s="899">
        <v>0.7</v>
      </c>
      <c r="F112" s="899">
        <v>0.8</v>
      </c>
      <c r="G112" s="899">
        <v>0.9</v>
      </c>
      <c r="H112" s="899">
        <v>1.0001</v>
      </c>
      <c r="I112" s="899"/>
      <c r="J112" s="2018"/>
      <c r="K112" s="2018"/>
      <c r="L112" s="2019"/>
      <c r="M112" s="2020"/>
      <c r="N112" s="1945"/>
      <c r="O112" s="1945"/>
      <c r="P112" s="2014"/>
      <c r="Q112" s="1948"/>
    </row>
    <row r="113" s="570" customFormat="1" ht="14.75" spans="1:17">
      <c r="A113" s="875"/>
      <c r="B113" s="869"/>
      <c r="C113" s="890">
        <v>100</v>
      </c>
      <c r="D113" s="874">
        <f>C113+$K37</f>
        <v>100</v>
      </c>
      <c r="E113" s="874">
        <f>D113+$K37</f>
        <v>100</v>
      </c>
      <c r="F113" s="874">
        <f>E113+$K37</f>
        <v>100</v>
      </c>
      <c r="G113" s="874">
        <f>F113+$K37</f>
        <v>100</v>
      </c>
      <c r="H113" s="874">
        <f>G113+$K37</f>
        <v>100</v>
      </c>
      <c r="I113" s="890"/>
      <c r="J113" s="1610"/>
      <c r="K113" s="1610"/>
      <c r="L113" s="1610"/>
      <c r="M113" s="1625"/>
      <c r="N113" s="1945"/>
      <c r="O113" s="1945"/>
      <c r="P113" s="2014"/>
      <c r="Q113" s="1948"/>
    </row>
    <row r="114" ht="14.75" spans="1:17">
      <c r="A114" s="898"/>
      <c r="B114" s="867" t="s">
        <v>1207</v>
      </c>
      <c r="C114" s="876"/>
      <c r="D114" s="876"/>
      <c r="E114" s="868"/>
      <c r="F114" s="868"/>
      <c r="G114" s="868"/>
      <c r="H114" s="868"/>
      <c r="I114" s="868"/>
      <c r="J114" s="868"/>
      <c r="K114" s="905"/>
      <c r="L114" s="906"/>
      <c r="M114" s="907"/>
      <c r="N114" s="1942"/>
      <c r="O114" s="1942"/>
      <c r="P114" s="2010"/>
      <c r="Q114" s="1937"/>
    </row>
    <row r="115" ht="14.75" spans="1:17">
      <c r="A115" s="864"/>
      <c r="B115" s="869"/>
      <c r="C115" s="874">
        <v>100</v>
      </c>
      <c r="D115" s="874">
        <f t="shared" ref="D115:M115" si="30">C115-$K38</f>
        <v>100</v>
      </c>
      <c r="E115" s="874">
        <f t="shared" si="30"/>
        <v>100</v>
      </c>
      <c r="F115" s="874">
        <f t="shared" si="30"/>
        <v>100</v>
      </c>
      <c r="G115" s="874">
        <f t="shared" si="30"/>
        <v>100</v>
      </c>
      <c r="H115" s="874">
        <f t="shared" si="30"/>
        <v>100</v>
      </c>
      <c r="I115" s="874">
        <f t="shared" si="30"/>
        <v>100</v>
      </c>
      <c r="J115" s="874">
        <f t="shared" si="30"/>
        <v>100</v>
      </c>
      <c r="K115" s="874">
        <f t="shared" si="30"/>
        <v>100</v>
      </c>
      <c r="L115" s="874">
        <f t="shared" si="30"/>
        <v>100</v>
      </c>
      <c r="M115" s="874">
        <f t="shared" si="30"/>
        <v>100</v>
      </c>
      <c r="N115" s="1944"/>
      <c r="O115" s="1944"/>
      <c r="P115" s="2010"/>
      <c r="Q115" s="1937"/>
    </row>
    <row r="116" ht="14.75" spans="1:17">
      <c r="A116" s="898"/>
      <c r="B116" s="867" t="s">
        <v>1208</v>
      </c>
      <c r="C116" s="876"/>
      <c r="D116" s="876"/>
      <c r="E116" s="876"/>
      <c r="F116" s="876"/>
      <c r="G116" s="876"/>
      <c r="H116" s="868"/>
      <c r="I116" s="868"/>
      <c r="J116" s="868"/>
      <c r="K116" s="905"/>
      <c r="L116" s="906"/>
      <c r="M116" s="907"/>
      <c r="N116" s="1942"/>
      <c r="O116" s="1942"/>
      <c r="P116" s="2010"/>
      <c r="Q116" s="1937"/>
    </row>
    <row r="117" ht="14.75" spans="1:17">
      <c r="A117" s="864"/>
      <c r="B117" s="869"/>
      <c r="C117" s="874">
        <v>100</v>
      </c>
      <c r="D117" s="874">
        <f>C117-$K39</f>
        <v>100</v>
      </c>
      <c r="E117" s="874">
        <f>D117-$K39</f>
        <v>100</v>
      </c>
      <c r="F117" s="874">
        <f>E117-$K39</f>
        <v>100</v>
      </c>
      <c r="G117" s="874">
        <f>F117-$K39</f>
        <v>100</v>
      </c>
      <c r="H117" s="874"/>
      <c r="I117" s="874"/>
      <c r="J117" s="874"/>
      <c r="K117" s="874"/>
      <c r="L117" s="874"/>
      <c r="M117" s="911"/>
      <c r="N117" s="1944"/>
      <c r="O117" s="1944"/>
      <c r="P117" s="2010"/>
      <c r="Q117" s="1937"/>
    </row>
    <row r="118" ht="14.75" spans="1:17">
      <c r="A118" s="898"/>
      <c r="B118" s="867" t="s">
        <v>1460</v>
      </c>
      <c r="C118" s="868"/>
      <c r="D118" s="868"/>
      <c r="E118" s="868"/>
      <c r="F118" s="868"/>
      <c r="G118" s="868"/>
      <c r="H118" s="868"/>
      <c r="I118" s="868"/>
      <c r="J118" s="868"/>
      <c r="K118" s="905"/>
      <c r="L118" s="906"/>
      <c r="M118" s="907"/>
      <c r="N118" s="1942"/>
      <c r="O118" s="1942"/>
      <c r="P118" s="2010"/>
      <c r="Q118" s="1937"/>
    </row>
    <row r="119" ht="14.75" spans="1:17">
      <c r="A119" s="864"/>
      <c r="B119" s="869"/>
      <c r="C119" s="874">
        <v>100</v>
      </c>
      <c r="D119" s="874">
        <f t="shared" ref="D119:M119" si="31">C119-$K40</f>
        <v>100</v>
      </c>
      <c r="E119" s="874">
        <f t="shared" si="31"/>
        <v>100</v>
      </c>
      <c r="F119" s="874">
        <f t="shared" si="31"/>
        <v>100</v>
      </c>
      <c r="G119" s="874">
        <f t="shared" si="31"/>
        <v>100</v>
      </c>
      <c r="H119" s="874">
        <f t="shared" si="31"/>
        <v>100</v>
      </c>
      <c r="I119" s="874">
        <f t="shared" si="31"/>
        <v>100</v>
      </c>
      <c r="J119" s="874">
        <f t="shared" si="31"/>
        <v>100</v>
      </c>
      <c r="K119" s="874">
        <f t="shared" si="31"/>
        <v>100</v>
      </c>
      <c r="L119" s="874">
        <f t="shared" si="31"/>
        <v>100</v>
      </c>
      <c r="M119" s="874">
        <f t="shared" si="31"/>
        <v>100</v>
      </c>
      <c r="N119" s="1944"/>
      <c r="O119" s="1944"/>
      <c r="P119" s="2010"/>
      <c r="Q119" s="1937"/>
    </row>
    <row r="120" s="570" customFormat="1" ht="28.75" spans="1:17">
      <c r="A120" s="895"/>
      <c r="B120" s="867" t="s">
        <v>1461</v>
      </c>
      <c r="C120" s="876"/>
      <c r="D120" s="876"/>
      <c r="E120" s="876"/>
      <c r="F120" s="876"/>
      <c r="G120" s="876"/>
      <c r="H120" s="876"/>
      <c r="I120" s="876"/>
      <c r="J120" s="876"/>
      <c r="K120" s="876"/>
      <c r="L120" s="930"/>
      <c r="M120" s="931"/>
      <c r="N120" s="1945"/>
      <c r="O120" s="1945"/>
      <c r="P120" s="2014"/>
      <c r="Q120" s="1948"/>
    </row>
    <row r="121" s="570" customFormat="1" ht="14.75" spans="1:17">
      <c r="A121" s="875"/>
      <c r="B121" s="865"/>
      <c r="C121" s="878"/>
      <c r="D121" s="866"/>
      <c r="E121" s="866"/>
      <c r="F121" s="866"/>
      <c r="G121" s="866"/>
      <c r="H121" s="866"/>
      <c r="I121" s="866"/>
      <c r="J121" s="866"/>
      <c r="K121" s="866"/>
      <c r="L121" s="866"/>
      <c r="M121" s="866"/>
      <c r="N121" s="1945"/>
      <c r="O121" s="1945"/>
      <c r="P121" s="2014"/>
      <c r="Q121" s="1948"/>
    </row>
    <row r="122" ht="14.75" spans="1:17">
      <c r="A122" s="898"/>
      <c r="B122" s="867" t="s">
        <v>1211</v>
      </c>
      <c r="C122" s="876"/>
      <c r="D122" s="876"/>
      <c r="E122" s="876"/>
      <c r="F122" s="868"/>
      <c r="G122" s="868"/>
      <c r="H122" s="868"/>
      <c r="I122" s="868"/>
      <c r="J122" s="868"/>
      <c r="K122" s="905"/>
      <c r="L122" s="906"/>
      <c r="M122" s="907"/>
      <c r="N122" s="1942"/>
      <c r="O122" s="1942"/>
      <c r="P122" s="2010"/>
      <c r="Q122" s="1937"/>
    </row>
    <row r="123" ht="14.75" spans="1:17">
      <c r="A123" s="864"/>
      <c r="B123" s="869"/>
      <c r="C123" s="874">
        <v>100</v>
      </c>
      <c r="D123" s="874">
        <f t="shared" ref="D123:M123" si="32">C123-$K42</f>
        <v>100</v>
      </c>
      <c r="E123" s="874">
        <f t="shared" si="32"/>
        <v>100</v>
      </c>
      <c r="F123" s="874">
        <f t="shared" si="32"/>
        <v>100</v>
      </c>
      <c r="G123" s="874">
        <f t="shared" si="32"/>
        <v>100</v>
      </c>
      <c r="H123" s="874">
        <f t="shared" si="32"/>
        <v>100</v>
      </c>
      <c r="I123" s="874">
        <f t="shared" si="32"/>
        <v>100</v>
      </c>
      <c r="J123" s="874">
        <f t="shared" si="32"/>
        <v>100</v>
      </c>
      <c r="K123" s="874">
        <f t="shared" si="32"/>
        <v>100</v>
      </c>
      <c r="L123" s="874">
        <f t="shared" si="32"/>
        <v>100</v>
      </c>
      <c r="M123" s="874">
        <f t="shared" si="32"/>
        <v>100</v>
      </c>
      <c r="N123" s="1944"/>
      <c r="O123" s="1944"/>
      <c r="P123" s="2010"/>
      <c r="Q123" s="1937"/>
    </row>
    <row r="124" ht="28.75" spans="1:17">
      <c r="A124" s="898"/>
      <c r="B124" s="867" t="s">
        <v>1213</v>
      </c>
      <c r="C124" s="886" t="s">
        <v>1225</v>
      </c>
      <c r="D124" s="886" t="s">
        <v>1226</v>
      </c>
      <c r="E124" s="886" t="s">
        <v>1227</v>
      </c>
      <c r="F124" s="886" t="s">
        <v>1228</v>
      </c>
      <c r="G124" s="886" t="s">
        <v>1229</v>
      </c>
      <c r="H124" s="887"/>
      <c r="I124" s="887"/>
      <c r="J124" s="887"/>
      <c r="K124" s="926"/>
      <c r="L124" s="927"/>
      <c r="M124" s="928"/>
      <c r="N124" s="1942"/>
      <c r="O124" s="1942"/>
      <c r="P124" s="2014"/>
      <c r="Q124" s="1937"/>
    </row>
    <row r="125" ht="14.75" spans="1:17">
      <c r="A125" s="864"/>
      <c r="B125" s="869"/>
      <c r="C125" s="874">
        <v>100</v>
      </c>
      <c r="D125" s="874">
        <f>C125-$K43</f>
        <v>100</v>
      </c>
      <c r="E125" s="874">
        <f>D125-$K43</f>
        <v>100</v>
      </c>
      <c r="F125" s="874">
        <f>E125-$K43</f>
        <v>100</v>
      </c>
      <c r="G125" s="874">
        <f>F125-$K43</f>
        <v>100</v>
      </c>
      <c r="H125" s="874"/>
      <c r="I125" s="874"/>
      <c r="J125" s="874"/>
      <c r="K125" s="874"/>
      <c r="L125" s="874"/>
      <c r="M125" s="911"/>
      <c r="N125" s="1944"/>
      <c r="O125" s="1944"/>
      <c r="P125" s="2010"/>
      <c r="Q125" s="1937"/>
    </row>
    <row r="126" s="570" customFormat="1" ht="14.75" spans="1:17">
      <c r="A126" s="895"/>
      <c r="B126" s="867">
        <f>B44</f>
        <v>111</v>
      </c>
      <c r="C126" s="876"/>
      <c r="D126" s="876"/>
      <c r="E126" s="876"/>
      <c r="F126" s="876"/>
      <c r="G126" s="876"/>
      <c r="H126" s="877"/>
      <c r="I126" s="877"/>
      <c r="J126" s="877"/>
      <c r="K126" s="877"/>
      <c r="L126" s="912"/>
      <c r="M126" s="913"/>
      <c r="N126" s="1945"/>
      <c r="O126" s="1945"/>
      <c r="P126" s="2014"/>
      <c r="Q126" s="1948"/>
    </row>
    <row r="127" s="570" customFormat="1" ht="14.75" spans="1:17">
      <c r="A127" s="875"/>
      <c r="B127" s="869"/>
      <c r="C127" s="878"/>
      <c r="D127" s="866"/>
      <c r="E127" s="866"/>
      <c r="F127" s="866"/>
      <c r="G127" s="878"/>
      <c r="H127" s="879"/>
      <c r="I127" s="879"/>
      <c r="J127" s="879"/>
      <c r="K127" s="879"/>
      <c r="L127" s="879"/>
      <c r="M127" s="917"/>
      <c r="N127" s="1945"/>
      <c r="O127" s="1945"/>
      <c r="P127" s="2014"/>
      <c r="Q127" s="1948"/>
    </row>
    <row r="128" ht="14.75" spans="1:17">
      <c r="A128" s="898"/>
      <c r="B128" s="867">
        <f>B45</f>
        <v>111</v>
      </c>
      <c r="C128" s="876"/>
      <c r="D128" s="876"/>
      <c r="E128" s="876"/>
      <c r="F128" s="876"/>
      <c r="G128" s="868"/>
      <c r="H128" s="868"/>
      <c r="I128" s="868"/>
      <c r="J128" s="868"/>
      <c r="K128" s="905"/>
      <c r="L128" s="906"/>
      <c r="M128" s="907"/>
      <c r="N128" s="1942"/>
      <c r="O128" s="1942"/>
      <c r="P128" s="2010"/>
      <c r="Q128" s="1937"/>
    </row>
    <row r="129" ht="14.75" spans="1:17">
      <c r="A129" s="864"/>
      <c r="B129" s="869"/>
      <c r="C129" s="878"/>
      <c r="D129" s="878"/>
      <c r="E129" s="878"/>
      <c r="F129" s="878"/>
      <c r="G129" s="866"/>
      <c r="H129" s="866"/>
      <c r="I129" s="866"/>
      <c r="J129" s="866"/>
      <c r="K129" s="866"/>
      <c r="L129" s="866"/>
      <c r="M129" s="903"/>
      <c r="N129" s="1944"/>
      <c r="O129" s="1944"/>
      <c r="P129" s="2010"/>
      <c r="Q129" s="1937"/>
    </row>
    <row r="130" ht="14.75" spans="1:17">
      <c r="A130" s="898"/>
      <c r="B130" s="870">
        <f>B46</f>
        <v>111</v>
      </c>
      <c r="C130" s="876"/>
      <c r="D130" s="876"/>
      <c r="E130" s="876"/>
      <c r="F130" s="876"/>
      <c r="G130" s="892"/>
      <c r="H130" s="892"/>
      <c r="I130" s="892"/>
      <c r="J130" s="892"/>
      <c r="K130" s="739"/>
      <c r="L130" s="802"/>
      <c r="M130" s="934"/>
      <c r="N130" s="1942"/>
      <c r="O130" s="1942"/>
      <c r="P130" s="2010"/>
      <c r="Q130" s="1937"/>
    </row>
    <row r="131" ht="14.75" spans="1:17">
      <c r="A131" s="893"/>
      <c r="B131" s="882"/>
      <c r="C131" s="883"/>
      <c r="D131" s="883"/>
      <c r="E131" s="883"/>
      <c r="F131" s="883"/>
      <c r="G131" s="894"/>
      <c r="H131" s="894"/>
      <c r="I131" s="894"/>
      <c r="J131" s="894"/>
      <c r="K131" s="894"/>
      <c r="L131" s="894"/>
      <c r="M131" s="935"/>
      <c r="N131" s="1944"/>
      <c r="O131" s="1944"/>
      <c r="P131" s="2010"/>
      <c r="Q131" s="1937"/>
    </row>
    <row r="136" ht="14.75" spans="2:2">
      <c r="B136" s="2021" t="s">
        <v>1462</v>
      </c>
    </row>
    <row r="137" ht="15.5" spans="2:11">
      <c r="B137" s="2022" t="s">
        <v>1463</v>
      </c>
      <c r="C137" s="2023"/>
      <c r="D137" s="2023"/>
      <c r="E137" s="2023"/>
      <c r="F137" s="2023"/>
      <c r="G137" s="2024"/>
      <c r="H137" s="2025"/>
      <c r="I137" s="2048" t="s">
        <v>1464</v>
      </c>
      <c r="J137" s="2023"/>
      <c r="K137" s="2049"/>
    </row>
    <row r="138" ht="15.5" spans="2:11">
      <c r="B138" s="2026"/>
      <c r="C138" s="2027" t="s">
        <v>1465</v>
      </c>
      <c r="D138" s="2027" t="s">
        <v>1466</v>
      </c>
      <c r="E138" s="2028" t="s">
        <v>1467</v>
      </c>
      <c r="F138" s="2029" t="s">
        <v>1468</v>
      </c>
      <c r="G138" s="2027" t="s">
        <v>1466</v>
      </c>
      <c r="H138" s="2030" t="s">
        <v>1467</v>
      </c>
      <c r="I138" s="2050"/>
      <c r="J138" s="2027" t="s">
        <v>1469</v>
      </c>
      <c r="K138" s="2030" t="s">
        <v>1470</v>
      </c>
    </row>
    <row r="139" ht="15.5" spans="2:11">
      <c r="B139" s="2031">
        <v>6</v>
      </c>
      <c r="C139" s="2032">
        <v>96</v>
      </c>
      <c r="D139" s="2033" t="s">
        <v>1471</v>
      </c>
      <c r="E139" s="2034">
        <v>100</v>
      </c>
      <c r="F139" s="2035">
        <v>102.5</v>
      </c>
      <c r="G139" s="2033" t="s">
        <v>1471</v>
      </c>
      <c r="H139" s="2036">
        <v>105</v>
      </c>
      <c r="I139" s="2051" t="s">
        <v>1472</v>
      </c>
      <c r="J139" s="2032">
        <v>20</v>
      </c>
      <c r="K139" s="2052">
        <f>C145/(J139-2)</f>
        <v>0.00405555555555556</v>
      </c>
    </row>
    <row r="140" ht="15.5" spans="2:11">
      <c r="B140" s="2037">
        <v>5</v>
      </c>
      <c r="C140" s="2038">
        <v>100</v>
      </c>
      <c r="D140" s="2038"/>
      <c r="E140" s="2039"/>
      <c r="F140" s="2040">
        <v>102</v>
      </c>
      <c r="G140" s="2038"/>
      <c r="H140" s="2041"/>
      <c r="I140" s="2053" t="s">
        <v>1473</v>
      </c>
      <c r="J140" s="473">
        <f>ROUNDUP((J139-1)/2,0)</f>
        <v>10</v>
      </c>
      <c r="K140" s="2054">
        <v>100</v>
      </c>
    </row>
    <row r="141" ht="15.5" spans="2:11">
      <c r="B141" s="2037">
        <v>4</v>
      </c>
      <c r="C141" s="2038">
        <v>102</v>
      </c>
      <c r="D141" s="2038"/>
      <c r="E141" s="2039"/>
      <c r="F141" s="2040">
        <v>101.5</v>
      </c>
      <c r="G141" s="2038"/>
      <c r="H141" s="2041"/>
      <c r="I141" s="2053" t="s">
        <v>1474</v>
      </c>
      <c r="J141" s="473">
        <v>1</v>
      </c>
      <c r="K141" s="2055">
        <f>ROUND(100+(J141-J140)*K139*100,1)</f>
        <v>96.4</v>
      </c>
    </row>
    <row r="142" ht="15.5" spans="2:11">
      <c r="B142" s="2037">
        <v>3</v>
      </c>
      <c r="C142" s="2038">
        <v>103</v>
      </c>
      <c r="D142" s="2038"/>
      <c r="E142" s="2039"/>
      <c r="F142" s="2040">
        <v>101</v>
      </c>
      <c r="G142" s="2038"/>
      <c r="H142" s="2041"/>
      <c r="I142" s="2053" t="s">
        <v>1475</v>
      </c>
      <c r="J142" s="473">
        <f>J139</f>
        <v>20</v>
      </c>
      <c r="K142" s="2056">
        <v>95</v>
      </c>
    </row>
    <row r="143" ht="15.5" spans="2:11">
      <c r="B143" s="2037">
        <v>2</v>
      </c>
      <c r="C143" s="2038">
        <v>100</v>
      </c>
      <c r="D143" s="2038"/>
      <c r="E143" s="2039"/>
      <c r="F143" s="2040">
        <v>100.5</v>
      </c>
      <c r="G143" s="2038"/>
      <c r="H143" s="2041"/>
      <c r="I143" s="2053" t="s">
        <v>1476</v>
      </c>
      <c r="J143" s="2038">
        <v>15</v>
      </c>
      <c r="K143" s="2055">
        <f>ROUND(100+(J143-J140)*K139*100,1)</f>
        <v>102</v>
      </c>
    </row>
    <row r="144" ht="15.5" spans="2:11">
      <c r="B144" s="2037">
        <v>1</v>
      </c>
      <c r="C144" s="2038">
        <v>98</v>
      </c>
      <c r="D144" s="2042" t="s">
        <v>1477</v>
      </c>
      <c r="E144" s="2039">
        <v>102</v>
      </c>
      <c r="F144" s="2043">
        <v>100</v>
      </c>
      <c r="G144" s="2042" t="s">
        <v>1477</v>
      </c>
      <c r="H144" s="2041">
        <v>105</v>
      </c>
      <c r="I144" s="2053" t="s">
        <v>1476</v>
      </c>
      <c r="J144" s="2038">
        <v>18</v>
      </c>
      <c r="K144" s="2055">
        <f>ROUND(100+(J144-J140)*K139*100,1)</f>
        <v>103.2</v>
      </c>
    </row>
    <row r="145" ht="16.25" spans="2:11">
      <c r="B145" s="2044" t="s">
        <v>1478</v>
      </c>
      <c r="C145" s="2045">
        <f>ROUND(MAX(C139:C144)/MIN(C139:C144)-1,3)</f>
        <v>0.073</v>
      </c>
      <c r="D145" s="2046"/>
      <c r="E145" s="2046"/>
      <c r="F145" s="2047" t="s">
        <v>1479</v>
      </c>
      <c r="G145" s="842"/>
      <c r="H145" s="863"/>
      <c r="I145" s="2057" t="s">
        <v>1476</v>
      </c>
      <c r="J145" s="2058">
        <v>8</v>
      </c>
      <c r="K145" s="2059">
        <f>ROUND(100+(J145-J140)*K139*100,1)</f>
        <v>99.2</v>
      </c>
    </row>
    <row r="147" spans="2:2">
      <c r="B147" s="2021" t="s">
        <v>1480</v>
      </c>
    </row>
    <row r="148" spans="2:2">
      <c r="B148" s="2021" t="s">
        <v>1481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
  <cols>
    <col min="1" max="1" width="10.5" style="573" customWidth="1"/>
    <col min="2" max="2" width="15.7545454545455" style="573" customWidth="1"/>
    <col min="3" max="3" width="15.1272727272727" style="573" customWidth="1"/>
    <col min="4" max="4" width="12.2545454545455" style="573" customWidth="1"/>
    <col min="5" max="5" width="14.3727272727273" style="573" customWidth="1"/>
    <col min="6" max="6" width="12.2545454545455" style="573" customWidth="1"/>
    <col min="7" max="7" width="14.5" style="573" customWidth="1"/>
    <col min="8" max="8" width="12.2545454545455" style="573" customWidth="1"/>
    <col min="9" max="9" width="14.5" style="573" customWidth="1"/>
    <col min="10" max="10" width="12.2545454545455" style="573" customWidth="1"/>
    <col min="11" max="11" width="12.2545454545455" style="574" customWidth="1"/>
    <col min="12" max="12" width="12.2545454545455" style="575" customWidth="1"/>
    <col min="13" max="15" width="12.2545454545455" style="573" customWidth="1"/>
    <col min="16" max="16" width="4.75454545454545" style="1955" customWidth="1"/>
    <col min="17" max="17" width="19.5" style="573" customWidth="1"/>
    <col min="18" max="22" width="6.12727272727273" style="573" customWidth="1"/>
    <col min="23" max="23" width="5.75454545454545" style="573" customWidth="1"/>
    <col min="24" max="24" width="4.25454545454545" style="573" customWidth="1"/>
    <col min="25" max="25" width="3.5" style="573" customWidth="1"/>
    <col min="26" max="26" width="19.7545454545455" style="573" customWidth="1"/>
    <col min="27" max="28" width="9.37272727272727" style="573" customWidth="1"/>
    <col min="29" max="16384" width="9" style="573"/>
  </cols>
  <sheetData>
    <row r="1" s="566" customFormat="1" ht="28.5" customHeight="1" spans="1:29">
      <c r="A1" s="577" t="s">
        <v>1152</v>
      </c>
      <c r="B1" s="1956" t="s">
        <v>1482</v>
      </c>
      <c r="C1" s="748" t="s">
        <v>1154</v>
      </c>
      <c r="D1" s="580"/>
      <c r="E1" s="1957"/>
      <c r="F1" s="582"/>
      <c r="G1" s="583" t="s">
        <v>1157</v>
      </c>
      <c r="H1" s="584"/>
      <c r="I1" s="584"/>
      <c r="J1" s="584"/>
      <c r="K1" s="746"/>
      <c r="L1" s="747"/>
      <c r="M1" s="748"/>
      <c r="N1" s="748"/>
      <c r="O1" s="748"/>
      <c r="P1" s="1962"/>
      <c r="Q1" s="1971"/>
      <c r="R1" s="1971"/>
      <c r="S1" s="1971"/>
      <c r="T1" s="1971"/>
      <c r="U1" s="1971"/>
      <c r="V1" s="1971"/>
      <c r="W1" s="1971"/>
      <c r="X1" s="1971"/>
      <c r="Y1" s="1971"/>
      <c r="Z1" s="1971"/>
      <c r="AA1" s="1971"/>
      <c r="AB1" s="1971"/>
      <c r="AC1" s="1972"/>
    </row>
    <row r="2" s="567" customFormat="1" ht="28.5" customHeight="1" spans="1:29">
      <c r="A2" s="585" t="s">
        <v>995</v>
      </c>
      <c r="B2" s="586" t="b">
        <f ca="1">IF(E1="项目模式",IF(C2="——",ROUND(C49*D3/10000,0),ROUND(C49*D3/10000,0)-D2),IF(E1="单套模式",IF(C2="——",ROUND(C49*D3/10000,4),ROUND(C49*D3/10000,4)-D2)))</f>
        <v>0</v>
      </c>
      <c r="C2" s="587"/>
      <c r="D2" s="588" t="e">
        <f ca="1">IF(E1="项目模式",SUMIF(INDIRECT("'"&amp;F2&amp;"'"&amp;"!A:A"),"承租人权益价值",INDIRECT("'"&amp;F2&amp;"'"&amp;"!c:c")),SUMIF(INDIRECT("'"&amp;F2&amp;"'"&amp;"!A:A"),"承租人权益价值（单套）",INDIRECT("'"&amp;F2&amp;"'"&amp;"!c:c")))</f>
        <v>#REF!</v>
      </c>
      <c r="E2" s="589" t="s">
        <v>996</v>
      </c>
      <c r="F2" s="590"/>
      <c r="G2" s="591"/>
      <c r="H2" s="591"/>
      <c r="I2" s="591"/>
      <c r="J2" s="591"/>
      <c r="K2" s="591"/>
      <c r="L2" s="749"/>
      <c r="M2" s="750"/>
      <c r="N2" s="750"/>
      <c r="O2" s="750"/>
      <c r="P2" s="1963"/>
      <c r="Q2" s="1918"/>
      <c r="R2" s="1918"/>
      <c r="S2" s="1918"/>
      <c r="T2" s="1918"/>
      <c r="U2" s="1918"/>
      <c r="V2" s="1918"/>
      <c r="W2" s="1918"/>
      <c r="X2" s="1918"/>
      <c r="Y2" s="1918"/>
      <c r="Z2" s="1918"/>
      <c r="AA2" s="1918"/>
      <c r="AB2" s="1918"/>
      <c r="AC2" s="1973"/>
    </row>
    <row r="3" s="567" customFormat="1" ht="28.5" customHeight="1" spans="1:29">
      <c r="A3" s="396" t="s">
        <v>997</v>
      </c>
      <c r="B3" s="592">
        <f ca="1">IF(C2="——",C49,ROUND(B2*10000/D3,0))</f>
        <v>0</v>
      </c>
      <c r="C3" s="593" t="s">
        <v>1158</v>
      </c>
      <c r="D3" s="594">
        <f>IF(D1="",'数据-汇总表'!E3,SUMIF('数据-汇总表'!$C19:$C33,D1,'数据-汇总表'!$E19:$E33))</f>
        <v>3013</v>
      </c>
      <c r="E3" s="595"/>
      <c r="F3" s="596"/>
      <c r="G3" s="591"/>
      <c r="H3" s="591"/>
      <c r="I3" s="591"/>
      <c r="J3" s="591"/>
      <c r="K3" s="752"/>
      <c r="L3" s="749"/>
      <c r="M3" s="750"/>
      <c r="N3" s="750"/>
      <c r="O3" s="750"/>
      <c r="P3" s="1963"/>
      <c r="Q3" s="1918"/>
      <c r="R3" s="1918"/>
      <c r="S3" s="1918"/>
      <c r="T3" s="1918"/>
      <c r="U3" s="1918"/>
      <c r="V3" s="1918"/>
      <c r="W3" s="1918"/>
      <c r="X3" s="1918"/>
      <c r="Y3" s="1918"/>
      <c r="Z3" s="1918"/>
      <c r="AA3" s="1918"/>
      <c r="AB3" s="1918"/>
      <c r="AC3" s="595"/>
    </row>
    <row r="4" spans="1:29">
      <c r="A4" s="597" t="s">
        <v>1159</v>
      </c>
      <c r="B4" s="598"/>
      <c r="C4" s="599" t="s">
        <v>1160</v>
      </c>
      <c r="D4" s="600"/>
      <c r="E4" s="601" t="s">
        <v>1161</v>
      </c>
      <c r="F4" s="602"/>
      <c r="G4" s="599" t="s">
        <v>1162</v>
      </c>
      <c r="H4" s="600"/>
      <c r="I4" s="599" t="s">
        <v>1163</v>
      </c>
      <c r="J4" s="600"/>
      <c r="K4" s="753" t="s">
        <v>1164</v>
      </c>
      <c r="L4" s="754"/>
      <c r="M4" s="755"/>
      <c r="N4" s="755"/>
      <c r="O4" s="755"/>
      <c r="P4" s="1575" t="s">
        <v>1165</v>
      </c>
      <c r="Q4" s="1594"/>
      <c r="R4" s="1595" t="s">
        <v>1161</v>
      </c>
      <c r="S4" s="1596"/>
      <c r="T4" s="1595" t="s">
        <v>1162</v>
      </c>
      <c r="U4" s="1596"/>
      <c r="V4" s="820" t="s">
        <v>1163</v>
      </c>
      <c r="W4" s="820"/>
      <c r="X4" s="821"/>
      <c r="Y4" s="1595" t="s">
        <v>1165</v>
      </c>
      <c r="Z4" s="1596"/>
      <c r="AA4" s="1602" t="s">
        <v>1161</v>
      </c>
      <c r="AB4" s="820" t="s">
        <v>1162</v>
      </c>
      <c r="AC4" s="1602" t="s">
        <v>1163</v>
      </c>
    </row>
    <row r="5" spans="1:29">
      <c r="A5" s="603"/>
      <c r="B5" s="604"/>
      <c r="C5" s="605" t="s">
        <v>1166</v>
      </c>
      <c r="D5" s="606"/>
      <c r="E5" s="609" t="s">
        <v>1453</v>
      </c>
      <c r="F5" s="608"/>
      <c r="G5" s="605" t="s">
        <v>1454</v>
      </c>
      <c r="H5" s="606"/>
      <c r="I5" s="605" t="s">
        <v>1455</v>
      </c>
      <c r="J5" s="606"/>
      <c r="K5" s="753"/>
      <c r="L5" s="754"/>
      <c r="M5" s="755"/>
      <c r="N5" s="755"/>
      <c r="O5" s="755"/>
      <c r="P5" s="1576"/>
      <c r="Q5" s="817"/>
      <c r="R5" s="818"/>
      <c r="S5" s="819"/>
      <c r="T5" s="818"/>
      <c r="U5" s="819"/>
      <c r="V5" s="820"/>
      <c r="W5" s="820"/>
      <c r="X5" s="821"/>
      <c r="Y5" s="818"/>
      <c r="Z5" s="819"/>
      <c r="AA5" s="821"/>
      <c r="AB5" s="820"/>
      <c r="AC5" s="821"/>
    </row>
    <row r="6" ht="14.75" spans="1:29">
      <c r="A6" s="610"/>
      <c r="B6" s="611"/>
      <c r="C6" s="612" t="s">
        <v>1170</v>
      </c>
      <c r="D6" s="613"/>
      <c r="E6" s="614" t="s">
        <v>1170</v>
      </c>
      <c r="F6" s="615"/>
      <c r="G6" s="612" t="s">
        <v>1170</v>
      </c>
      <c r="H6" s="613"/>
      <c r="I6" s="612" t="s">
        <v>1170</v>
      </c>
      <c r="J6" s="613"/>
      <c r="K6" s="753" t="s">
        <v>1171</v>
      </c>
      <c r="L6" s="754"/>
      <c r="M6" s="755"/>
      <c r="N6" s="755"/>
      <c r="O6" s="755"/>
      <c r="P6" s="1577"/>
      <c r="Q6" s="822"/>
      <c r="R6" s="818"/>
      <c r="S6" s="819"/>
      <c r="T6" s="823"/>
      <c r="U6" s="824"/>
      <c r="V6" s="820"/>
      <c r="W6" s="820"/>
      <c r="X6" s="821"/>
      <c r="Y6" s="823"/>
      <c r="Z6" s="824"/>
      <c r="AA6" s="850"/>
      <c r="AB6" s="820"/>
      <c r="AC6" s="850"/>
    </row>
    <row r="7" s="568" customFormat="1" ht="14.75" spans="1:29">
      <c r="A7" s="616" t="s">
        <v>1172</v>
      </c>
      <c r="B7" s="617"/>
      <c r="C7" s="618">
        <f>'数据-取费表'!B2</f>
        <v>45538</v>
      </c>
      <c r="D7" s="619">
        <v>100</v>
      </c>
      <c r="E7" s="620"/>
      <c r="F7" s="621">
        <f>SUMIF(58:58,YEAR(E7)&amp;"-"&amp;MONTH(E7),59:59)</f>
        <v>0</v>
      </c>
      <c r="G7" s="620"/>
      <c r="H7" s="619">
        <f>SUMIF(58:58,YEAR(G7)&amp;"-"&amp;MONTH(G7),59:59)</f>
        <v>0</v>
      </c>
      <c r="I7" s="620"/>
      <c r="J7" s="619">
        <f>SUMIF(58:58,YEAR(I7)&amp;"-"&amp;MONTH(I7),59:59)</f>
        <v>0</v>
      </c>
      <c r="K7" s="759"/>
      <c r="L7" s="760"/>
      <c r="M7" s="761"/>
      <c r="N7" s="761"/>
      <c r="O7" s="761"/>
      <c r="P7" s="852" t="s">
        <v>1173</v>
      </c>
      <c r="Q7" s="825"/>
      <c r="R7" s="826" t="s">
        <v>1174</v>
      </c>
      <c r="S7" s="827">
        <f t="shared" ref="S7:S15" si="0">F7</f>
        <v>0</v>
      </c>
      <c r="T7" s="826" t="s">
        <v>1174</v>
      </c>
      <c r="U7" s="827">
        <f t="shared" ref="U7:U15" si="1">H7</f>
        <v>0</v>
      </c>
      <c r="V7" s="826" t="s">
        <v>1174</v>
      </c>
      <c r="W7" s="827">
        <f t="shared" ref="W7:W15" si="2">J7</f>
        <v>0</v>
      </c>
      <c r="X7" s="828"/>
      <c r="Y7" s="852" t="s">
        <v>1173</v>
      </c>
      <c r="Z7" s="829"/>
      <c r="AA7" s="853" t="e">
        <f>D7/F7</f>
        <v>#DIV/0!</v>
      </c>
      <c r="AB7" s="853" t="e">
        <f>D7/H7</f>
        <v>#DIV/0!</v>
      </c>
      <c r="AC7" s="853" t="e">
        <f>D7/J7</f>
        <v>#DIV/0!</v>
      </c>
    </row>
    <row r="8" s="568" customFormat="1" ht="14.75" spans="1:29">
      <c r="A8" s="616" t="s">
        <v>1175</v>
      </c>
      <c r="B8" s="617"/>
      <c r="C8" s="622"/>
      <c r="D8" s="619">
        <v>100</v>
      </c>
      <c r="E8" s="622"/>
      <c r="F8" s="621">
        <f>SUMIF(61:61,E8,62:62)-SUMIF(61:61,C8,62:62)+100</f>
        <v>100</v>
      </c>
      <c r="G8" s="622"/>
      <c r="H8" s="619">
        <f>SUMIF(61:61,G8,62:62)-SUMIF(61:61,C8,62:62)+100</f>
        <v>100</v>
      </c>
      <c r="I8" s="622"/>
      <c r="J8" s="619">
        <f>SUMIF(61:61,I8,62:62)-SUMIF(61:61,C8,62:62)+100</f>
        <v>100</v>
      </c>
      <c r="K8" s="759"/>
      <c r="L8" s="760"/>
      <c r="M8" s="761"/>
      <c r="N8" s="761"/>
      <c r="O8" s="761"/>
      <c r="P8" s="852" t="s">
        <v>1177</v>
      </c>
      <c r="Q8" s="829"/>
      <c r="R8" s="826" t="s">
        <v>1174</v>
      </c>
      <c r="S8" s="827">
        <f t="shared" si="0"/>
        <v>100</v>
      </c>
      <c r="T8" s="826" t="s">
        <v>1174</v>
      </c>
      <c r="U8" s="827">
        <f t="shared" si="1"/>
        <v>100</v>
      </c>
      <c r="V8" s="826" t="s">
        <v>1174</v>
      </c>
      <c r="W8" s="827">
        <f t="shared" si="2"/>
        <v>100</v>
      </c>
      <c r="X8" s="828"/>
      <c r="Y8" s="852" t="s">
        <v>1177</v>
      </c>
      <c r="Z8" s="829"/>
      <c r="AA8" s="853">
        <f t="shared" ref="AA8:AA46" si="3">D8/F8</f>
        <v>1</v>
      </c>
      <c r="AB8" s="853">
        <f t="shared" ref="AB8:AB46" si="4">D8/H8</f>
        <v>1</v>
      </c>
      <c r="AC8" s="853">
        <f t="shared" ref="AC8:AC46" si="5">D8/J8</f>
        <v>1</v>
      </c>
    </row>
    <row r="9" s="568" customFormat="1" spans="1:29">
      <c r="A9" s="623" t="s">
        <v>1178</v>
      </c>
      <c r="B9" s="624" t="s">
        <v>1179</v>
      </c>
      <c r="C9" s="1856"/>
      <c r="D9" s="626">
        <v>100</v>
      </c>
      <c r="E9" s="628"/>
      <c r="F9" s="1857">
        <f>SUMIF(63:63,E9,64:64)-SUMIF(63:63,C9,64:64)+100</f>
        <v>100</v>
      </c>
      <c r="G9" s="628"/>
      <c r="H9" s="626">
        <f>SUMIF(63:63,G9,64:64)-SUMIF(63:63,C9,64:64)+100</f>
        <v>100</v>
      </c>
      <c r="I9" s="628"/>
      <c r="J9" s="626">
        <f>SUMIF(63:63,I9,64:64)-SUMIF(63:63,C9,64:64)+100</f>
        <v>100</v>
      </c>
      <c r="K9" s="759"/>
      <c r="L9" s="760"/>
      <c r="M9" s="761"/>
      <c r="N9" s="761"/>
      <c r="O9" s="761"/>
      <c r="P9" s="763" t="s">
        <v>1182</v>
      </c>
      <c r="Q9" s="830" t="str">
        <f t="shared" ref="Q9:Q15" si="6">B9</f>
        <v>用途</v>
      </c>
      <c r="R9" s="826" t="s">
        <v>1174</v>
      </c>
      <c r="S9" s="827">
        <f t="shared" si="0"/>
        <v>100</v>
      </c>
      <c r="T9" s="826" t="s">
        <v>1174</v>
      </c>
      <c r="U9" s="827">
        <f t="shared" si="1"/>
        <v>100</v>
      </c>
      <c r="V9" s="826" t="s">
        <v>1174</v>
      </c>
      <c r="W9" s="827">
        <f t="shared" si="2"/>
        <v>100</v>
      </c>
      <c r="X9" s="828"/>
      <c r="Y9" s="830" t="s">
        <v>1183</v>
      </c>
      <c r="Z9" s="855" t="str">
        <f t="shared" ref="Z9:Z15" si="7">Q9</f>
        <v>用途</v>
      </c>
      <c r="AA9" s="853">
        <f t="shared" si="3"/>
        <v>1</v>
      </c>
      <c r="AB9" s="853">
        <f t="shared" si="4"/>
        <v>1</v>
      </c>
      <c r="AC9" s="853">
        <f t="shared" si="5"/>
        <v>1</v>
      </c>
    </row>
    <row r="10" s="569" customFormat="1" ht="28" spans="1:29">
      <c r="A10" s="629"/>
      <c r="B10" s="630" t="s">
        <v>1184</v>
      </c>
      <c r="C10" s="631"/>
      <c r="D10" s="632">
        <v>100</v>
      </c>
      <c r="E10" s="633"/>
      <c r="F10" s="684">
        <f>SUMIF(65:65,E10,66:66)-SUMIF(65:65,C10,66:66)+100</f>
        <v>100</v>
      </c>
      <c r="G10" s="631"/>
      <c r="H10" s="632">
        <f>SUMIF(65:65,G10,66:66)-SUMIF(65:65,C10,66:66)+100</f>
        <v>100</v>
      </c>
      <c r="I10" s="631"/>
      <c r="J10" s="632">
        <f>SUMIF(65:65,I10,66:66)-SUMIF(65:65,C10,66:66)+100</f>
        <v>100</v>
      </c>
      <c r="K10" s="759"/>
      <c r="L10" s="764"/>
      <c r="M10" s="765"/>
      <c r="N10" s="765"/>
      <c r="O10" s="765"/>
      <c r="P10" s="763"/>
      <c r="Q10" s="830" t="str">
        <f t="shared" si="6"/>
        <v>土地使用年限（年）</v>
      </c>
      <c r="R10" s="826" t="s">
        <v>1174</v>
      </c>
      <c r="S10" s="827">
        <f t="shared" si="0"/>
        <v>100</v>
      </c>
      <c r="T10" s="826" t="s">
        <v>1174</v>
      </c>
      <c r="U10" s="827">
        <f t="shared" si="1"/>
        <v>100</v>
      </c>
      <c r="V10" s="826" t="s">
        <v>1174</v>
      </c>
      <c r="W10" s="827">
        <f t="shared" si="2"/>
        <v>100</v>
      </c>
      <c r="X10" s="828"/>
      <c r="Y10" s="830"/>
      <c r="Z10" s="855" t="str">
        <f t="shared" si="7"/>
        <v>土地使用年限（年）</v>
      </c>
      <c r="AA10" s="853">
        <f t="shared" si="3"/>
        <v>1</v>
      </c>
      <c r="AB10" s="853">
        <f t="shared" si="4"/>
        <v>1</v>
      </c>
      <c r="AC10" s="853">
        <f t="shared" si="5"/>
        <v>1</v>
      </c>
    </row>
    <row r="11" ht="15.5" spans="1:29">
      <c r="A11" s="634"/>
      <c r="B11" s="630" t="s">
        <v>1185</v>
      </c>
      <c r="C11" s="635"/>
      <c r="D11" s="632">
        <v>100</v>
      </c>
      <c r="E11" s="636"/>
      <c r="F11" s="684" t="e">
        <f>LOOKUP(E11,68:68,69:69)-LOOKUP(C11,68:68,69:69)+100</f>
        <v>#N/A</v>
      </c>
      <c r="G11" s="635"/>
      <c r="H11" s="632" t="e">
        <f>LOOKUP(G11,68:68,69:69)-LOOKUP(C11,68:68,69:69)+100</f>
        <v>#N/A</v>
      </c>
      <c r="I11" s="635"/>
      <c r="J11" s="632" t="e">
        <f>LOOKUP(I11,68:68,69:69)-LOOKUP(C11,68:68,69:69)+100</f>
        <v>#N/A</v>
      </c>
      <c r="K11" s="766"/>
      <c r="L11" s="767"/>
      <c r="M11" s="755"/>
      <c r="N11" s="755"/>
      <c r="O11" s="755"/>
      <c r="P11" s="763"/>
      <c r="Q11" s="830" t="str">
        <f t="shared" si="6"/>
        <v>容积率</v>
      </c>
      <c r="R11" s="826" t="s">
        <v>1174</v>
      </c>
      <c r="S11" s="827" t="e">
        <f t="shared" si="0"/>
        <v>#N/A</v>
      </c>
      <c r="T11" s="826" t="s">
        <v>1174</v>
      </c>
      <c r="U11" s="827" t="e">
        <f t="shared" si="1"/>
        <v>#N/A</v>
      </c>
      <c r="V11" s="826" t="s">
        <v>1174</v>
      </c>
      <c r="W11" s="827" t="e">
        <f t="shared" si="2"/>
        <v>#N/A</v>
      </c>
      <c r="X11" s="828"/>
      <c r="Y11" s="830"/>
      <c r="Z11" s="855" t="str">
        <f t="shared" si="7"/>
        <v>容积率</v>
      </c>
      <c r="AA11" s="853" t="e">
        <f t="shared" si="3"/>
        <v>#N/A</v>
      </c>
      <c r="AB11" s="853" t="e">
        <f t="shared" si="4"/>
        <v>#N/A</v>
      </c>
      <c r="AC11" s="853" t="e">
        <f t="shared" si="5"/>
        <v>#N/A</v>
      </c>
    </row>
    <row r="12" s="568" customFormat="1" ht="15.5" spans="1:29">
      <c r="A12" s="637"/>
      <c r="B12" s="638">
        <v>111</v>
      </c>
      <c r="C12" s="639"/>
      <c r="D12" s="640">
        <v>100</v>
      </c>
      <c r="E12" s="642"/>
      <c r="F12" s="684">
        <f>SUMIF(70:70,E12,71:71)-SUMIF(70:70,C12,71:71)+100</f>
        <v>100</v>
      </c>
      <c r="G12" s="642"/>
      <c r="H12" s="632">
        <f>SUMIF(70:70,G12,71:71)-SUMIF(70:70,C12,71:71)+100</f>
        <v>100</v>
      </c>
      <c r="I12" s="642"/>
      <c r="J12" s="632">
        <f>SUMIF(70:70,I12,71:71)-SUMIF(70:70,C12,71:71)+100</f>
        <v>100</v>
      </c>
      <c r="K12" s="768"/>
      <c r="L12" s="760"/>
      <c r="M12" s="761"/>
      <c r="N12" s="761"/>
      <c r="O12" s="761"/>
      <c r="P12" s="763"/>
      <c r="Q12" s="830">
        <f t="shared" si="6"/>
        <v>111</v>
      </c>
      <c r="R12" s="826" t="s">
        <v>1174</v>
      </c>
      <c r="S12" s="827">
        <f t="shared" si="0"/>
        <v>100</v>
      </c>
      <c r="T12" s="826" t="s">
        <v>1174</v>
      </c>
      <c r="U12" s="827">
        <f t="shared" si="1"/>
        <v>100</v>
      </c>
      <c r="V12" s="826" t="s">
        <v>1174</v>
      </c>
      <c r="W12" s="827">
        <f t="shared" si="2"/>
        <v>100</v>
      </c>
      <c r="X12" s="828"/>
      <c r="Y12" s="830"/>
      <c r="Z12" s="855">
        <f t="shared" si="7"/>
        <v>111</v>
      </c>
      <c r="AA12" s="853">
        <f t="shared" si="3"/>
        <v>1</v>
      </c>
      <c r="AB12" s="853">
        <f t="shared" si="4"/>
        <v>1</v>
      </c>
      <c r="AC12" s="853">
        <f t="shared" si="5"/>
        <v>1</v>
      </c>
    </row>
    <row r="13" ht="15.5" spans="1:29">
      <c r="A13" s="634"/>
      <c r="B13" s="638">
        <v>111</v>
      </c>
      <c r="C13" s="642"/>
      <c r="D13" s="643">
        <v>100</v>
      </c>
      <c r="E13" s="642"/>
      <c r="F13" s="684">
        <f>SUMIF(72:72,E13,73:73)-SUMIF(72:72,C13,73:73)+100</f>
        <v>100</v>
      </c>
      <c r="G13" s="642"/>
      <c r="H13" s="643">
        <f>SUMIF(72:72,G13,73:73)-SUMIF(72:72,C13,73:73)+100</f>
        <v>100</v>
      </c>
      <c r="I13" s="642"/>
      <c r="J13" s="643">
        <f>SUMIF(72:72,I13,73:73)-SUMIF(72:72,C13,73:73)+100</f>
        <v>100</v>
      </c>
      <c r="K13" s="768"/>
      <c r="L13" s="769"/>
      <c r="M13" s="755"/>
      <c r="N13" s="755"/>
      <c r="O13" s="755"/>
      <c r="P13" s="763"/>
      <c r="Q13" s="830">
        <f t="shared" si="6"/>
        <v>111</v>
      </c>
      <c r="R13" s="826" t="s">
        <v>1174</v>
      </c>
      <c r="S13" s="827">
        <f t="shared" si="0"/>
        <v>100</v>
      </c>
      <c r="T13" s="826" t="s">
        <v>1174</v>
      </c>
      <c r="U13" s="827">
        <f t="shared" si="1"/>
        <v>100</v>
      </c>
      <c r="V13" s="826" t="s">
        <v>1174</v>
      </c>
      <c r="W13" s="827">
        <f t="shared" si="2"/>
        <v>100</v>
      </c>
      <c r="X13" s="828"/>
      <c r="Y13" s="830"/>
      <c r="Z13" s="855">
        <f t="shared" si="7"/>
        <v>111</v>
      </c>
      <c r="AA13" s="853">
        <f t="shared" si="3"/>
        <v>1</v>
      </c>
      <c r="AB13" s="853">
        <f t="shared" si="4"/>
        <v>1</v>
      </c>
      <c r="AC13" s="853">
        <f t="shared" si="5"/>
        <v>1</v>
      </c>
    </row>
    <row r="14" ht="16.25" spans="1:29">
      <c r="A14" s="644"/>
      <c r="B14" s="645">
        <v>111</v>
      </c>
      <c r="C14" s="646"/>
      <c r="D14" s="647">
        <v>100</v>
      </c>
      <c r="E14" s="642"/>
      <c r="F14" s="692">
        <f>SUMIF(74:74,E14,75:75)-SUMIF(74:74,C14,75:75)+100</f>
        <v>100</v>
      </c>
      <c r="G14" s="642"/>
      <c r="H14" s="647">
        <f>SUMIF(74:74,G14,75:75)-SUMIF(74:74,C14,75:75)+100</f>
        <v>100</v>
      </c>
      <c r="I14" s="642"/>
      <c r="J14" s="647">
        <f>SUMIF(74:74,I14,75:75)-SUMIF(74:74,C14,75:75)+100</f>
        <v>100</v>
      </c>
      <c r="K14" s="768"/>
      <c r="L14" s="769"/>
      <c r="M14" s="755"/>
      <c r="N14" s="755"/>
      <c r="O14" s="755"/>
      <c r="P14" s="763"/>
      <c r="Q14" s="830">
        <f t="shared" si="6"/>
        <v>111</v>
      </c>
      <c r="R14" s="826" t="s">
        <v>1174</v>
      </c>
      <c r="S14" s="827">
        <f t="shared" si="0"/>
        <v>100</v>
      </c>
      <c r="T14" s="826" t="s">
        <v>1174</v>
      </c>
      <c r="U14" s="827">
        <f t="shared" si="1"/>
        <v>100</v>
      </c>
      <c r="V14" s="826" t="s">
        <v>1174</v>
      </c>
      <c r="W14" s="827">
        <f t="shared" si="2"/>
        <v>100</v>
      </c>
      <c r="X14" s="828"/>
      <c r="Y14" s="830"/>
      <c r="Z14" s="855">
        <f t="shared" si="7"/>
        <v>111</v>
      </c>
      <c r="AA14" s="853">
        <f t="shared" si="3"/>
        <v>1</v>
      </c>
      <c r="AB14" s="853">
        <f t="shared" si="4"/>
        <v>1</v>
      </c>
      <c r="AC14" s="853">
        <f t="shared" si="5"/>
        <v>1</v>
      </c>
    </row>
    <row r="15" ht="70" spans="1:29">
      <c r="A15" s="649" t="s">
        <v>1186</v>
      </c>
      <c r="B15" s="1828" t="s">
        <v>1483</v>
      </c>
      <c r="C15" s="1829" t="str">
        <f>估价对象房地状况!C4</f>
        <v>估价对象位于XX商圈，周边商业氛围成熟，人流量大，商业繁华度好</v>
      </c>
      <c r="D15" s="652">
        <v>100</v>
      </c>
      <c r="E15" s="654"/>
      <c r="F15" s="1859">
        <f>SUMIF(76:76,E16,77:77)-SUMIF(76:76,C16,77:77)+100</f>
        <v>100</v>
      </c>
      <c r="G15" s="653"/>
      <c r="H15" s="652">
        <f>SUMIF(76:76,G16,77:77)-SUMIF(76:76,C16,77:77)+100</f>
        <v>100</v>
      </c>
      <c r="I15" s="654"/>
      <c r="J15" s="652">
        <f>SUMIF(76:76,I16,77:77)-SUMIF(76:76,C16,77:77)+100</f>
        <v>100</v>
      </c>
      <c r="K15" s="770"/>
      <c r="L15" s="769"/>
      <c r="M15" s="755"/>
      <c r="N15" s="755"/>
      <c r="O15" s="755"/>
      <c r="P15" s="772" t="s">
        <v>1189</v>
      </c>
      <c r="Q15" s="831" t="str">
        <f t="shared" si="6"/>
        <v>商业繁华度</v>
      </c>
      <c r="R15" s="832" t="s">
        <v>1174</v>
      </c>
      <c r="S15" s="833">
        <f t="shared" si="0"/>
        <v>100</v>
      </c>
      <c r="T15" s="832" t="s">
        <v>1174</v>
      </c>
      <c r="U15" s="833">
        <f t="shared" si="1"/>
        <v>100</v>
      </c>
      <c r="V15" s="832" t="s">
        <v>1174</v>
      </c>
      <c r="W15" s="833">
        <f t="shared" si="2"/>
        <v>100</v>
      </c>
      <c r="X15" s="821"/>
      <c r="Y15" s="856" t="s">
        <v>1189</v>
      </c>
      <c r="Z15" s="820" t="str">
        <f t="shared" si="7"/>
        <v>商业繁华度</v>
      </c>
      <c r="AA15" s="838">
        <f t="shared" si="3"/>
        <v>1</v>
      </c>
      <c r="AB15" s="838">
        <f t="shared" si="4"/>
        <v>1</v>
      </c>
      <c r="AC15" s="838">
        <f t="shared" si="5"/>
        <v>1</v>
      </c>
    </row>
    <row r="16" ht="15.5" spans="1:29">
      <c r="A16" s="634"/>
      <c r="B16" s="839"/>
      <c r="C16" s="669"/>
      <c r="D16" s="657"/>
      <c r="E16" s="669"/>
      <c r="F16" s="1860"/>
      <c r="G16" s="669"/>
      <c r="H16" s="658"/>
      <c r="I16" s="669"/>
      <c r="J16" s="657"/>
      <c r="K16" s="773"/>
      <c r="L16" s="769"/>
      <c r="M16" s="755"/>
      <c r="N16" s="755"/>
      <c r="O16" s="755"/>
      <c r="P16" s="774"/>
      <c r="Q16" s="831"/>
      <c r="R16" s="832"/>
      <c r="S16" s="833"/>
      <c r="T16" s="832"/>
      <c r="U16" s="833"/>
      <c r="V16" s="832"/>
      <c r="W16" s="833"/>
      <c r="X16" s="821"/>
      <c r="Y16" s="858"/>
      <c r="Z16" s="820"/>
      <c r="AA16" s="838">
        <v>1</v>
      </c>
      <c r="AB16" s="838">
        <v>1</v>
      </c>
      <c r="AC16" s="838">
        <v>1</v>
      </c>
    </row>
    <row r="17" ht="84" spans="1:29">
      <c r="A17" s="634"/>
      <c r="B17" s="1830" t="s">
        <v>1191</v>
      </c>
      <c r="C17" s="1510" t="str">
        <f>估价对象房地状况!C6</f>
        <v>估价对象周边道路状况、公共交通通达情况、停车便捷程度，综合评价交通便捷度较好</v>
      </c>
      <c r="D17" s="658">
        <v>100</v>
      </c>
      <c r="E17" s="662"/>
      <c r="F17" s="1862">
        <f>SUMIF(78:78,E18,79:79)-SUMIF(78:78,C18,79:79)+100</f>
        <v>100</v>
      </c>
      <c r="G17" s="661"/>
      <c r="H17" s="663">
        <f>SUMIF(78:78,G18,79:79)-SUMIF(78:78,C18,79:79)+100</f>
        <v>100</v>
      </c>
      <c r="I17" s="662"/>
      <c r="J17" s="663">
        <f>SUMIF(78:78,I18,79:79)-SUMIF(78:78,C18,79:79)+100</f>
        <v>100</v>
      </c>
      <c r="K17" s="770"/>
      <c r="L17" s="769"/>
      <c r="M17" s="755"/>
      <c r="N17" s="755"/>
      <c r="O17" s="755"/>
      <c r="P17" s="774"/>
      <c r="Q17" s="831" t="str">
        <f>B17</f>
        <v>交通便捷度</v>
      </c>
      <c r="R17" s="832" t="s">
        <v>1174</v>
      </c>
      <c r="S17" s="833">
        <f>F17</f>
        <v>100</v>
      </c>
      <c r="T17" s="832" t="s">
        <v>1174</v>
      </c>
      <c r="U17" s="833">
        <f>H17</f>
        <v>100</v>
      </c>
      <c r="V17" s="832" t="s">
        <v>1174</v>
      </c>
      <c r="W17" s="833">
        <f>J17</f>
        <v>100</v>
      </c>
      <c r="X17" s="821"/>
      <c r="Y17" s="858"/>
      <c r="Z17" s="820" t="str">
        <f>Q17</f>
        <v>交通便捷度</v>
      </c>
      <c r="AA17" s="838">
        <f t="shared" si="3"/>
        <v>1</v>
      </c>
      <c r="AB17" s="838">
        <f t="shared" si="4"/>
        <v>1</v>
      </c>
      <c r="AC17" s="838">
        <f t="shared" si="5"/>
        <v>1</v>
      </c>
    </row>
    <row r="18" ht="15.5" spans="1:29">
      <c r="A18" s="634"/>
      <c r="B18" s="1526"/>
      <c r="C18" s="1831"/>
      <c r="D18" s="658"/>
      <c r="E18" s="1832"/>
      <c r="F18" s="1862"/>
      <c r="G18" s="1840"/>
      <c r="H18" s="657"/>
      <c r="I18" s="1832"/>
      <c r="J18" s="657"/>
      <c r="K18" s="773"/>
      <c r="L18" s="769"/>
      <c r="M18" s="755"/>
      <c r="N18" s="755"/>
      <c r="O18" s="755"/>
      <c r="P18" s="774"/>
      <c r="Q18" s="831"/>
      <c r="R18" s="832"/>
      <c r="S18" s="833"/>
      <c r="T18" s="832"/>
      <c r="U18" s="833"/>
      <c r="V18" s="832"/>
      <c r="W18" s="833"/>
      <c r="X18" s="821"/>
      <c r="Y18" s="858"/>
      <c r="Z18" s="820"/>
      <c r="AA18" s="838">
        <v>1</v>
      </c>
      <c r="AB18" s="838">
        <v>1</v>
      </c>
      <c r="AC18" s="838">
        <v>1</v>
      </c>
    </row>
    <row r="19" ht="42" spans="1:29">
      <c r="A19" s="634"/>
      <c r="B19" s="1830" t="s">
        <v>1192</v>
      </c>
      <c r="C19" s="1510" t="str">
        <f>估价对象房地状况!C7</f>
        <v>估价对象所在区域公共配套设施齐备情况</v>
      </c>
      <c r="D19" s="663">
        <v>100</v>
      </c>
      <c r="E19" s="666"/>
      <c r="F19" s="1861">
        <f>SUMIF(80:80,E20,81:81)-SUMIF(80:80,C20,81:81)+100</f>
        <v>100</v>
      </c>
      <c r="G19" s="665"/>
      <c r="H19" s="658">
        <f>SUMIF(80:80,G20,81:81)-SUMIF(80:80,C20,81:81)+100</f>
        <v>100</v>
      </c>
      <c r="I19" s="666"/>
      <c r="J19" s="658">
        <f>SUMIF(80:80,I20,81:81)-SUMIF(80:80,C20,81:81)+100</f>
        <v>100</v>
      </c>
      <c r="K19" s="770"/>
      <c r="L19" s="769"/>
      <c r="M19" s="755"/>
      <c r="N19" s="755"/>
      <c r="O19" s="755"/>
      <c r="P19" s="774"/>
      <c r="Q19" s="831" t="str">
        <f>B19</f>
        <v>公共配套设施</v>
      </c>
      <c r="R19" s="832" t="s">
        <v>1174</v>
      </c>
      <c r="S19" s="833">
        <f>F19</f>
        <v>100</v>
      </c>
      <c r="T19" s="832" t="s">
        <v>1174</v>
      </c>
      <c r="U19" s="833">
        <f>H19</f>
        <v>100</v>
      </c>
      <c r="V19" s="832" t="s">
        <v>1174</v>
      </c>
      <c r="W19" s="833">
        <f>J19</f>
        <v>100</v>
      </c>
      <c r="X19" s="821"/>
      <c r="Y19" s="858"/>
      <c r="Z19" s="820" t="str">
        <f>Q19</f>
        <v>公共配套设施</v>
      </c>
      <c r="AA19" s="838">
        <f t="shared" si="3"/>
        <v>1</v>
      </c>
      <c r="AB19" s="838">
        <f t="shared" si="4"/>
        <v>1</v>
      </c>
      <c r="AC19" s="838">
        <f t="shared" si="5"/>
        <v>1</v>
      </c>
    </row>
    <row r="20" ht="15.5" spans="1:29">
      <c r="A20" s="634"/>
      <c r="B20" s="1526"/>
      <c r="C20" s="669"/>
      <c r="D20" s="657"/>
      <c r="E20" s="1511"/>
      <c r="F20" s="1860"/>
      <c r="G20" s="1583"/>
      <c r="H20" s="657"/>
      <c r="I20" s="1511"/>
      <c r="J20" s="657"/>
      <c r="K20" s="773"/>
      <c r="L20" s="769"/>
      <c r="M20" s="755"/>
      <c r="N20" s="755"/>
      <c r="O20" s="755"/>
      <c r="P20" s="774"/>
      <c r="Q20" s="831"/>
      <c r="R20" s="832"/>
      <c r="S20" s="833"/>
      <c r="T20" s="832"/>
      <c r="U20" s="833"/>
      <c r="V20" s="832"/>
      <c r="W20" s="833"/>
      <c r="X20" s="821"/>
      <c r="Y20" s="858"/>
      <c r="Z20" s="820"/>
      <c r="AA20" s="838">
        <v>1</v>
      </c>
      <c r="AB20" s="838">
        <v>1</v>
      </c>
      <c r="AC20" s="838">
        <v>1</v>
      </c>
    </row>
    <row r="21" ht="28" spans="1:29">
      <c r="A21" s="634"/>
      <c r="B21" s="1833" t="s">
        <v>1193</v>
      </c>
      <c r="C21" s="1510" t="str">
        <f>估价对象房地状况!C8</f>
        <v>估价对象所在区域基础设施水平</v>
      </c>
      <c r="D21" s="663">
        <v>100</v>
      </c>
      <c r="E21" s="666"/>
      <c r="F21" s="1861">
        <f>SUMIF(82:82,E22,83:83)-SUMIF(82:82,C22,83:83)+100</f>
        <v>100</v>
      </c>
      <c r="G21" s="665"/>
      <c r="H21" s="658">
        <f>SUMIF(82:82,G22,83:83)-SUMIF(82:82,C22,83:83)+100</f>
        <v>100</v>
      </c>
      <c r="I21" s="666"/>
      <c r="J21" s="658">
        <f>SUMIF(82:82,I22,83:83)-SUMIF(82:82,C22,83:83)+100</f>
        <v>100</v>
      </c>
      <c r="K21" s="770"/>
      <c r="L21" s="769"/>
      <c r="M21" s="755"/>
      <c r="N21" s="755"/>
      <c r="O21" s="755"/>
      <c r="P21" s="774"/>
      <c r="Q21" s="831" t="str">
        <f>B21</f>
        <v>基础设施水平</v>
      </c>
      <c r="R21" s="832" t="s">
        <v>1174</v>
      </c>
      <c r="S21" s="833">
        <f>F21</f>
        <v>100</v>
      </c>
      <c r="T21" s="832" t="s">
        <v>1174</v>
      </c>
      <c r="U21" s="833">
        <f>H21</f>
        <v>100</v>
      </c>
      <c r="V21" s="832" t="s">
        <v>1174</v>
      </c>
      <c r="W21" s="833">
        <f>J21</f>
        <v>100</v>
      </c>
      <c r="X21" s="821"/>
      <c r="Y21" s="858"/>
      <c r="Z21" s="820" t="str">
        <f>Q21</f>
        <v>基础设施水平</v>
      </c>
      <c r="AA21" s="838">
        <f t="shared" ref="AA21" si="8">D21/F21</f>
        <v>1</v>
      </c>
      <c r="AB21" s="838">
        <f t="shared" ref="AB21" si="9">D21/H21</f>
        <v>1</v>
      </c>
      <c r="AC21" s="838">
        <f t="shared" ref="AC21" si="10">D21/J21</f>
        <v>1</v>
      </c>
    </row>
    <row r="22" ht="15.5" spans="1:29">
      <c r="A22" s="634"/>
      <c r="B22" s="1833"/>
      <c r="C22" s="1831"/>
      <c r="D22" s="657"/>
      <c r="E22" s="669"/>
      <c r="F22" s="1860"/>
      <c r="G22" s="669"/>
      <c r="H22" s="657"/>
      <c r="I22" s="669"/>
      <c r="J22" s="657"/>
      <c r="K22" s="775"/>
      <c r="L22" s="769"/>
      <c r="M22" s="755"/>
      <c r="N22" s="755"/>
      <c r="O22" s="755"/>
      <c r="P22" s="774"/>
      <c r="Q22" s="831"/>
      <c r="R22" s="832"/>
      <c r="S22" s="833"/>
      <c r="T22" s="832"/>
      <c r="U22" s="833"/>
      <c r="V22" s="832"/>
      <c r="W22" s="833"/>
      <c r="X22" s="821"/>
      <c r="Y22" s="858"/>
      <c r="Z22" s="820"/>
      <c r="AA22" s="838">
        <v>1</v>
      </c>
      <c r="AB22" s="838">
        <v>1</v>
      </c>
      <c r="AC22" s="838">
        <v>1</v>
      </c>
    </row>
    <row r="23" ht="56" spans="1:29">
      <c r="A23" s="634"/>
      <c r="B23" s="1830" t="s">
        <v>1457</v>
      </c>
      <c r="C23" s="1081" t="str">
        <f>估价对象房地状况!C9</f>
        <v>区域自然环境：；人文环境；综合评价环境状况一般</v>
      </c>
      <c r="D23" s="658">
        <v>100</v>
      </c>
      <c r="E23" s="662"/>
      <c r="F23" s="1862">
        <f>SUMIF(84:84,E24,85:85)-SUMIF(84:84,C24,85:85)+100</f>
        <v>100</v>
      </c>
      <c r="G23" s="661"/>
      <c r="H23" s="658">
        <f>SUMIF(84:84,G24,85:85)-SUMIF(84:84,C24,85:85)+100</f>
        <v>100</v>
      </c>
      <c r="I23" s="662"/>
      <c r="J23" s="658">
        <f>SUMIF(84:84,I24,85:85)-SUMIF(84:84,C24,85:85)+100</f>
        <v>100</v>
      </c>
      <c r="K23" s="770"/>
      <c r="L23" s="769"/>
      <c r="M23" s="755"/>
      <c r="N23" s="755"/>
      <c r="O23" s="755"/>
      <c r="P23" s="774"/>
      <c r="Q23" s="831" t="str">
        <f>B23</f>
        <v>自然及人文环境</v>
      </c>
      <c r="R23" s="832" t="s">
        <v>1174</v>
      </c>
      <c r="S23" s="833">
        <f>F23</f>
        <v>100</v>
      </c>
      <c r="T23" s="832" t="s">
        <v>1174</v>
      </c>
      <c r="U23" s="833">
        <f>H23</f>
        <v>100</v>
      </c>
      <c r="V23" s="832" t="s">
        <v>1174</v>
      </c>
      <c r="W23" s="833">
        <f>J23</f>
        <v>100</v>
      </c>
      <c r="X23" s="821"/>
      <c r="Y23" s="858"/>
      <c r="Z23" s="820" t="str">
        <f>Q23</f>
        <v>自然及人文环境</v>
      </c>
      <c r="AA23" s="838">
        <f t="shared" si="3"/>
        <v>1</v>
      </c>
      <c r="AB23" s="838">
        <f t="shared" si="4"/>
        <v>1</v>
      </c>
      <c r="AC23" s="838">
        <f t="shared" si="5"/>
        <v>1</v>
      </c>
    </row>
    <row r="24" ht="15.5" spans="1:29">
      <c r="A24" s="634"/>
      <c r="B24" s="1526"/>
      <c r="C24" s="669"/>
      <c r="D24" s="657"/>
      <c r="E24" s="1511"/>
      <c r="F24" s="1860"/>
      <c r="G24" s="1583"/>
      <c r="H24" s="657"/>
      <c r="I24" s="1511"/>
      <c r="J24" s="657"/>
      <c r="K24" s="773"/>
      <c r="L24" s="769"/>
      <c r="M24" s="755"/>
      <c r="N24" s="755"/>
      <c r="O24" s="755"/>
      <c r="P24" s="774"/>
      <c r="Q24" s="831"/>
      <c r="R24" s="832"/>
      <c r="S24" s="833"/>
      <c r="T24" s="832"/>
      <c r="U24" s="833"/>
      <c r="V24" s="832"/>
      <c r="W24" s="833"/>
      <c r="X24" s="821"/>
      <c r="Y24" s="858"/>
      <c r="Z24" s="820"/>
      <c r="AA24" s="838">
        <v>1</v>
      </c>
      <c r="AB24" s="838">
        <v>1</v>
      </c>
      <c r="AC24" s="838">
        <v>1</v>
      </c>
    </row>
    <row r="25" ht="15.5" spans="1:29">
      <c r="A25" s="634"/>
      <c r="B25" s="630" t="s">
        <v>1484</v>
      </c>
      <c r="C25" s="672"/>
      <c r="D25" s="643">
        <v>100</v>
      </c>
      <c r="E25" s="672"/>
      <c r="F25" s="681">
        <f>SUMIF(86:86,E25,87:87)-SUMIF(86:86,C25,87:87)+100</f>
        <v>100</v>
      </c>
      <c r="G25" s="672"/>
      <c r="H25" s="643">
        <f>SUMIF(86:86,G25,87:87)-SUMIF(86:86,C25,87:87)+100</f>
        <v>100</v>
      </c>
      <c r="I25" s="672"/>
      <c r="J25" s="643">
        <f>SUMIF(86:86,I25,87:87)-SUMIF(86:86,C25,87:87)+100</f>
        <v>100</v>
      </c>
      <c r="K25" s="766"/>
      <c r="L25" s="769"/>
      <c r="M25" s="755"/>
      <c r="N25" s="755"/>
      <c r="O25" s="755"/>
      <c r="P25" s="774"/>
      <c r="Q25" s="831" t="str">
        <f t="shared" ref="Q25:Q46" si="11">B25</f>
        <v>临街状况</v>
      </c>
      <c r="R25" s="832" t="s">
        <v>1174</v>
      </c>
      <c r="S25" s="833">
        <f>F25</f>
        <v>100</v>
      </c>
      <c r="T25" s="832" t="s">
        <v>1174</v>
      </c>
      <c r="U25" s="833">
        <f>H25</f>
        <v>100</v>
      </c>
      <c r="V25" s="832" t="s">
        <v>1174</v>
      </c>
      <c r="W25" s="833">
        <f>J25</f>
        <v>100</v>
      </c>
      <c r="X25" s="821"/>
      <c r="Y25" s="858"/>
      <c r="Z25" s="820" t="str">
        <f>Q25</f>
        <v>临街状况</v>
      </c>
      <c r="AA25" s="838">
        <f t="shared" si="3"/>
        <v>1</v>
      </c>
      <c r="AB25" s="838">
        <f t="shared" si="4"/>
        <v>1</v>
      </c>
      <c r="AC25" s="838">
        <f t="shared" si="5"/>
        <v>1</v>
      </c>
    </row>
    <row r="26" ht="15.5" spans="1:29">
      <c r="A26" s="634"/>
      <c r="B26" s="690" t="s">
        <v>1485</v>
      </c>
      <c r="C26" s="642"/>
      <c r="D26" s="643">
        <v>100</v>
      </c>
      <c r="E26" s="642"/>
      <c r="F26" s="681">
        <f>SUMIF(88:88,E26,89:89)-SUMIF(88:88,C26,89:89)+100</f>
        <v>100</v>
      </c>
      <c r="G26" s="642"/>
      <c r="H26" s="643">
        <f>SUMIF(88:88,G26,89:89)-SUMIF(88:88,C26,89:89)+100</f>
        <v>100</v>
      </c>
      <c r="I26" s="642"/>
      <c r="J26" s="643">
        <f>SUMIF(88:88,I26,89:89)-SUMIF(88:88,C26,89:89)+100</f>
        <v>100</v>
      </c>
      <c r="K26" s="768"/>
      <c r="L26" s="769"/>
      <c r="M26" s="755"/>
      <c r="N26" s="755"/>
      <c r="O26" s="755"/>
      <c r="P26" s="774"/>
      <c r="Q26" s="831" t="str">
        <f t="shared" si="11"/>
        <v>平面位置/可视性</v>
      </c>
      <c r="R26" s="832" t="s">
        <v>1174</v>
      </c>
      <c r="S26" s="833">
        <f>F26</f>
        <v>100</v>
      </c>
      <c r="T26" s="832" t="s">
        <v>1174</v>
      </c>
      <c r="U26" s="833">
        <f>H26</f>
        <v>100</v>
      </c>
      <c r="V26" s="832" t="s">
        <v>1174</v>
      </c>
      <c r="W26" s="833">
        <f>J26</f>
        <v>100</v>
      </c>
      <c r="X26" s="821"/>
      <c r="Y26" s="858"/>
      <c r="Z26" s="820" t="str">
        <f>Q26</f>
        <v>平面位置/可视性</v>
      </c>
      <c r="AA26" s="838">
        <f t="shared" si="3"/>
        <v>1</v>
      </c>
      <c r="AB26" s="838">
        <f t="shared" si="4"/>
        <v>1</v>
      </c>
      <c r="AC26" s="838">
        <f t="shared" si="5"/>
        <v>1</v>
      </c>
    </row>
    <row r="27" s="568" customFormat="1" ht="15.5" spans="1:29">
      <c r="A27" s="637"/>
      <c r="B27" s="1830" t="s">
        <v>1486</v>
      </c>
      <c r="C27" s="675"/>
      <c r="D27" s="674">
        <v>100</v>
      </c>
      <c r="E27" s="675"/>
      <c r="F27" s="1916">
        <f>SUMIF(90:90,E27,91:91)-SUMIF(90:90,C27,91:91)+100</f>
        <v>100</v>
      </c>
      <c r="G27" s="675"/>
      <c r="H27" s="674">
        <f>SUMIF(90:90,G27,91:91)-SUMIF(90:90,C27,91:91)+100</f>
        <v>100</v>
      </c>
      <c r="I27" s="675"/>
      <c r="J27" s="674">
        <f>SUMIF(90:90,I27,91:91)-SUMIF(90:90,C27,91:91)+100</f>
        <v>100</v>
      </c>
      <c r="K27" s="766"/>
      <c r="L27" s="760"/>
      <c r="M27" s="761"/>
      <c r="N27" s="761"/>
      <c r="O27" s="761"/>
      <c r="P27" s="774"/>
      <c r="Q27" s="830" t="str">
        <f t="shared" si="11"/>
        <v>人流量</v>
      </c>
      <c r="R27" s="826" t="s">
        <v>1174</v>
      </c>
      <c r="S27" s="827">
        <f>F27</f>
        <v>100</v>
      </c>
      <c r="T27" s="826" t="s">
        <v>1174</v>
      </c>
      <c r="U27" s="827">
        <f>H27</f>
        <v>100</v>
      </c>
      <c r="V27" s="826" t="s">
        <v>1174</v>
      </c>
      <c r="W27" s="827">
        <f>J27</f>
        <v>100</v>
      </c>
      <c r="X27" s="828"/>
      <c r="Y27" s="858"/>
      <c r="Z27" s="855" t="str">
        <f>Q27</f>
        <v>人流量</v>
      </c>
      <c r="AA27" s="838">
        <f t="shared" si="3"/>
        <v>1</v>
      </c>
      <c r="AB27" s="838">
        <f t="shared" si="4"/>
        <v>1</v>
      </c>
      <c r="AC27" s="838">
        <f t="shared" si="5"/>
        <v>1</v>
      </c>
    </row>
    <row r="28" ht="15.5" spans="1:29">
      <c r="A28" s="634"/>
      <c r="B28" s="630" t="s">
        <v>1196</v>
      </c>
      <c r="C28" s="672"/>
      <c r="D28" s="643">
        <v>100</v>
      </c>
      <c r="E28" s="672"/>
      <c r="F28" s="681">
        <f>SUMIF(92:92,E28,93:93)-SUMIF(92:92,C28,93:93)+100</f>
        <v>100</v>
      </c>
      <c r="G28" s="672"/>
      <c r="H28" s="643">
        <f>SUMIF(92:92,G28,93:93)-SUMIF(92:92,C28,93:93)+100</f>
        <v>100</v>
      </c>
      <c r="I28" s="672"/>
      <c r="J28" s="643">
        <f>SUMIF(92:92,I28,93:93)-SUMIF(92:92,C28,93:93)+100</f>
        <v>100</v>
      </c>
      <c r="K28" s="768"/>
      <c r="L28" s="769"/>
      <c r="M28" s="755"/>
      <c r="N28" s="755"/>
      <c r="O28" s="755"/>
      <c r="P28" s="774"/>
      <c r="Q28" s="831" t="str">
        <f t="shared" si="11"/>
        <v>楼层</v>
      </c>
      <c r="R28" s="832" t="s">
        <v>1174</v>
      </c>
      <c r="S28" s="833">
        <f t="shared" ref="S28:S46" si="12">F28</f>
        <v>100</v>
      </c>
      <c r="T28" s="832" t="s">
        <v>1174</v>
      </c>
      <c r="U28" s="833">
        <f t="shared" ref="U28:U46" si="13">H28</f>
        <v>100</v>
      </c>
      <c r="V28" s="832" t="s">
        <v>1174</v>
      </c>
      <c r="W28" s="833">
        <f t="shared" ref="W28:W46" si="14">J28</f>
        <v>100</v>
      </c>
      <c r="X28" s="821"/>
      <c r="Y28" s="858"/>
      <c r="Z28" s="820" t="str">
        <f t="shared" ref="Z28:Z46" si="15">Q28</f>
        <v>楼层</v>
      </c>
      <c r="AA28" s="838">
        <f t="shared" si="3"/>
        <v>1</v>
      </c>
      <c r="AB28" s="838">
        <f t="shared" si="4"/>
        <v>1</v>
      </c>
      <c r="AC28" s="838">
        <f t="shared" si="5"/>
        <v>1</v>
      </c>
    </row>
    <row r="29" ht="15.5" spans="1:29">
      <c r="A29" s="634"/>
      <c r="B29" s="690">
        <v>111</v>
      </c>
      <c r="C29" s="642"/>
      <c r="D29" s="643">
        <v>100</v>
      </c>
      <c r="E29" s="642"/>
      <c r="F29" s="681">
        <f>SUMIF(94:94,E29,95:95)-SUMIF(94:94,C29,95:95)+100</f>
        <v>100</v>
      </c>
      <c r="G29" s="642"/>
      <c r="H29" s="643">
        <f>SUMIF(94:94,G29,95:95)-SUMIF(94:94,C29,95:95)+100</f>
        <v>100</v>
      </c>
      <c r="I29" s="642"/>
      <c r="J29" s="643">
        <f>SUMIF(94:94,I29,95:95)-SUMIF(94:94,C29,95:95)+100</f>
        <v>100</v>
      </c>
      <c r="K29" s="768"/>
      <c r="L29" s="769"/>
      <c r="M29" s="755"/>
      <c r="N29" s="755"/>
      <c r="O29" s="755"/>
      <c r="P29" s="774"/>
      <c r="Q29" s="831">
        <f t="shared" si="11"/>
        <v>111</v>
      </c>
      <c r="R29" s="832" t="s">
        <v>1174</v>
      </c>
      <c r="S29" s="833">
        <f t="shared" si="12"/>
        <v>100</v>
      </c>
      <c r="T29" s="832" t="s">
        <v>1174</v>
      </c>
      <c r="U29" s="833">
        <f t="shared" si="13"/>
        <v>100</v>
      </c>
      <c r="V29" s="832" t="s">
        <v>1174</v>
      </c>
      <c r="W29" s="833">
        <f t="shared" si="14"/>
        <v>100</v>
      </c>
      <c r="X29" s="821"/>
      <c r="Y29" s="858"/>
      <c r="Z29" s="820">
        <f t="shared" si="15"/>
        <v>111</v>
      </c>
      <c r="AA29" s="838">
        <f t="shared" si="3"/>
        <v>1</v>
      </c>
      <c r="AB29" s="838">
        <f t="shared" si="4"/>
        <v>1</v>
      </c>
      <c r="AC29" s="838">
        <f t="shared" si="5"/>
        <v>1</v>
      </c>
    </row>
    <row r="30" ht="15.5" spans="1:29">
      <c r="A30" s="634"/>
      <c r="B30" s="690">
        <v>111</v>
      </c>
      <c r="C30" s="642"/>
      <c r="D30" s="643">
        <v>100</v>
      </c>
      <c r="E30" s="642"/>
      <c r="F30" s="681">
        <f>SUMIF(96:96,E30,97:97)-SUMIF(96:96,C30,97:97)+100</f>
        <v>100</v>
      </c>
      <c r="G30" s="642"/>
      <c r="H30" s="643">
        <f>SUMIF(96:96,G30,97:97)-SUMIF(96:96,C30,97:97)+100</f>
        <v>100</v>
      </c>
      <c r="I30" s="642"/>
      <c r="J30" s="643">
        <f>SUMIF(96:96,I30,97:97)-SUMIF(96:96,C30,97:97)+100</f>
        <v>100</v>
      </c>
      <c r="K30" s="768"/>
      <c r="L30" s="769"/>
      <c r="M30" s="755"/>
      <c r="N30" s="755"/>
      <c r="O30" s="755"/>
      <c r="P30" s="774"/>
      <c r="Q30" s="831">
        <f t="shared" si="11"/>
        <v>111</v>
      </c>
      <c r="R30" s="832" t="s">
        <v>1174</v>
      </c>
      <c r="S30" s="833">
        <f t="shared" si="12"/>
        <v>100</v>
      </c>
      <c r="T30" s="832" t="s">
        <v>1174</v>
      </c>
      <c r="U30" s="833">
        <f t="shared" si="13"/>
        <v>100</v>
      </c>
      <c r="V30" s="832" t="s">
        <v>1174</v>
      </c>
      <c r="W30" s="833">
        <f t="shared" si="14"/>
        <v>100</v>
      </c>
      <c r="X30" s="821"/>
      <c r="Y30" s="858"/>
      <c r="Z30" s="820">
        <f t="shared" si="15"/>
        <v>111</v>
      </c>
      <c r="AA30" s="838">
        <f t="shared" si="3"/>
        <v>1</v>
      </c>
      <c r="AB30" s="838">
        <f t="shared" si="4"/>
        <v>1</v>
      </c>
      <c r="AC30" s="838">
        <f t="shared" si="5"/>
        <v>1</v>
      </c>
    </row>
    <row r="31" ht="16.25" spans="1:29">
      <c r="A31" s="644"/>
      <c r="B31" s="690">
        <v>111</v>
      </c>
      <c r="C31" s="646"/>
      <c r="D31" s="647">
        <v>100</v>
      </c>
      <c r="E31" s="642"/>
      <c r="F31" s="692">
        <f>SUMIF(98:98,E31,99:99)-SUMIF(98:98,C31,99:99)+100</f>
        <v>100</v>
      </c>
      <c r="G31" s="642"/>
      <c r="H31" s="647">
        <f>SUMIF(98:98,G31,99:99)-SUMIF(98:98,C31,99:99)+100</f>
        <v>100</v>
      </c>
      <c r="I31" s="642"/>
      <c r="J31" s="647">
        <f>SUMIF(98:98,I31,99:99)-SUMIF(98:98,C31,99:99)+100</f>
        <v>100</v>
      </c>
      <c r="K31" s="768"/>
      <c r="L31" s="769"/>
      <c r="M31" s="755"/>
      <c r="N31" s="755"/>
      <c r="O31" s="755"/>
      <c r="P31" s="774"/>
      <c r="Q31" s="831">
        <f t="shared" si="11"/>
        <v>111</v>
      </c>
      <c r="R31" s="832" t="s">
        <v>1174</v>
      </c>
      <c r="S31" s="833">
        <f t="shared" si="12"/>
        <v>100</v>
      </c>
      <c r="T31" s="832" t="s">
        <v>1174</v>
      </c>
      <c r="U31" s="833">
        <f t="shared" si="13"/>
        <v>100</v>
      </c>
      <c r="V31" s="832" t="s">
        <v>1174</v>
      </c>
      <c r="W31" s="833">
        <f t="shared" si="14"/>
        <v>100</v>
      </c>
      <c r="X31" s="821"/>
      <c r="Y31" s="858"/>
      <c r="Z31" s="820">
        <f t="shared" si="15"/>
        <v>111</v>
      </c>
      <c r="AA31" s="838">
        <f t="shared" si="3"/>
        <v>1</v>
      </c>
      <c r="AB31" s="838">
        <f t="shared" si="4"/>
        <v>1</v>
      </c>
      <c r="AC31" s="838">
        <f t="shared" si="5"/>
        <v>1</v>
      </c>
    </row>
    <row r="32" ht="15.5" spans="1:29">
      <c r="A32" s="649" t="s">
        <v>1198</v>
      </c>
      <c r="B32" s="624" t="s">
        <v>1487</v>
      </c>
      <c r="C32" s="1958"/>
      <c r="D32" s="680">
        <v>100</v>
      </c>
      <c r="E32" s="1958"/>
      <c r="F32" s="681">
        <f>SUMIF(100:100,E32,101:101)-SUMIF(100:100,C32,101:101)+100</f>
        <v>100</v>
      </c>
      <c r="G32" s="1958"/>
      <c r="H32" s="643">
        <f>SUMIF(100:100,G32,101:101)-SUMIF(100:100,C32,101:101)+100</f>
        <v>100</v>
      </c>
      <c r="I32" s="1958"/>
      <c r="J32" s="680">
        <f>SUMIF(100:100,I32,101:101)-SUMIF(100:100,C32,101:101)+100</f>
        <v>100</v>
      </c>
      <c r="K32" s="766"/>
      <c r="L32" s="769"/>
      <c r="M32" s="755"/>
      <c r="N32" s="755"/>
      <c r="O32" s="755"/>
      <c r="P32" s="776" t="s">
        <v>1202</v>
      </c>
      <c r="Q32" s="831" t="str">
        <f t="shared" si="11"/>
        <v>商业类型</v>
      </c>
      <c r="R32" s="832" t="s">
        <v>1174</v>
      </c>
      <c r="S32" s="833">
        <f t="shared" si="12"/>
        <v>100</v>
      </c>
      <c r="T32" s="832" t="s">
        <v>1174</v>
      </c>
      <c r="U32" s="833">
        <f t="shared" si="13"/>
        <v>100</v>
      </c>
      <c r="V32" s="832" t="s">
        <v>1174</v>
      </c>
      <c r="W32" s="833">
        <f t="shared" si="14"/>
        <v>100</v>
      </c>
      <c r="X32" s="821"/>
      <c r="Y32" s="859" t="s">
        <v>1202</v>
      </c>
      <c r="Z32" s="820" t="str">
        <f t="shared" si="15"/>
        <v>商业类型</v>
      </c>
      <c r="AA32" s="838">
        <f t="shared" si="3"/>
        <v>1</v>
      </c>
      <c r="AB32" s="838">
        <f t="shared" si="4"/>
        <v>1</v>
      </c>
      <c r="AC32" s="838">
        <f t="shared" si="5"/>
        <v>1</v>
      </c>
    </row>
    <row r="33" s="570" customFormat="1" ht="15.5" spans="1:29">
      <c r="A33" s="682"/>
      <c r="B33" s="630" t="s">
        <v>1203</v>
      </c>
      <c r="C33" s="683"/>
      <c r="D33" s="632">
        <v>100</v>
      </c>
      <c r="E33" s="636"/>
      <c r="F33" s="684" t="e">
        <f>LOOKUP(E33,103:103,104:104)-LOOKUP(C33,103:103,104:104)+100</f>
        <v>#N/A</v>
      </c>
      <c r="G33" s="635"/>
      <c r="H33" s="632" t="e">
        <f>LOOKUP(G33,103:103,104:104)-LOOKUP(C33,103:103,104:104)+100</f>
        <v>#N/A</v>
      </c>
      <c r="I33" s="635"/>
      <c r="J33" s="632" t="e">
        <f>LOOKUP(I33,103:103,104:104)-LOOKUP(C33,103:103,104:104)+100</f>
        <v>#N/A</v>
      </c>
      <c r="K33" s="768"/>
      <c r="L33" s="767"/>
      <c r="M33" s="777"/>
      <c r="N33" s="777"/>
      <c r="O33" s="777"/>
      <c r="P33" s="778"/>
      <c r="Q33" s="834" t="str">
        <f t="shared" si="11"/>
        <v>项目建筑规模</v>
      </c>
      <c r="R33" s="835" t="s">
        <v>1174</v>
      </c>
      <c r="S33" s="836" t="e">
        <f t="shared" si="12"/>
        <v>#N/A</v>
      </c>
      <c r="T33" s="835" t="s">
        <v>1174</v>
      </c>
      <c r="U33" s="836" t="e">
        <f t="shared" si="13"/>
        <v>#N/A</v>
      </c>
      <c r="V33" s="835" t="s">
        <v>1174</v>
      </c>
      <c r="W33" s="836" t="e">
        <f t="shared" si="14"/>
        <v>#N/A</v>
      </c>
      <c r="X33" s="837"/>
      <c r="Y33" s="859"/>
      <c r="Z33" s="860" t="str">
        <f t="shared" si="15"/>
        <v>项目建筑规模</v>
      </c>
      <c r="AA33" s="838" t="e">
        <f t="shared" si="3"/>
        <v>#N/A</v>
      </c>
      <c r="AB33" s="838" t="e">
        <f t="shared" si="4"/>
        <v>#N/A</v>
      </c>
      <c r="AC33" s="838" t="e">
        <f t="shared" si="5"/>
        <v>#N/A</v>
      </c>
    </row>
    <row r="34" ht="15.5" spans="1:29">
      <c r="A34" s="685"/>
      <c r="B34" s="630" t="s">
        <v>1204</v>
      </c>
      <c r="C34" s="1959"/>
      <c r="D34" s="643">
        <v>100</v>
      </c>
      <c r="E34" s="1959"/>
      <c r="F34" s="681">
        <f>SUMIF(105:105,E34,106:106)-SUMIF(105:105,C34,106:106)+100</f>
        <v>100</v>
      </c>
      <c r="G34" s="1959"/>
      <c r="H34" s="643">
        <f>SUMIF(105:105,G34,106:106)-SUMIF(105:105,C34,106:106)+100</f>
        <v>100</v>
      </c>
      <c r="I34" s="1959"/>
      <c r="J34" s="643">
        <f>SUMIF(105:105,I34,106:106)-SUMIF(105:105,C34,106:106)+100</f>
        <v>100</v>
      </c>
      <c r="K34" s="766"/>
      <c r="L34" s="769"/>
      <c r="M34" s="755"/>
      <c r="N34" s="755"/>
      <c r="O34" s="755"/>
      <c r="P34" s="778"/>
      <c r="Q34" s="831" t="str">
        <f t="shared" si="11"/>
        <v>建筑结构</v>
      </c>
      <c r="R34" s="832" t="s">
        <v>1174</v>
      </c>
      <c r="S34" s="833">
        <f t="shared" si="12"/>
        <v>100</v>
      </c>
      <c r="T34" s="832" t="s">
        <v>1174</v>
      </c>
      <c r="U34" s="833">
        <f t="shared" si="13"/>
        <v>100</v>
      </c>
      <c r="V34" s="832" t="s">
        <v>1174</v>
      </c>
      <c r="W34" s="833">
        <f t="shared" si="14"/>
        <v>100</v>
      </c>
      <c r="X34" s="821"/>
      <c r="Y34" s="859"/>
      <c r="Z34" s="820" t="str">
        <f t="shared" si="15"/>
        <v>建筑结构</v>
      </c>
      <c r="AA34" s="838">
        <f t="shared" si="3"/>
        <v>1</v>
      </c>
      <c r="AB34" s="838">
        <f t="shared" si="4"/>
        <v>1</v>
      </c>
      <c r="AC34" s="838">
        <f t="shared" si="5"/>
        <v>1</v>
      </c>
    </row>
    <row r="35" ht="15.5" spans="1:29">
      <c r="A35" s="685"/>
      <c r="B35" s="630" t="s">
        <v>1205</v>
      </c>
      <c r="C35" s="1528"/>
      <c r="D35" s="643">
        <v>100</v>
      </c>
      <c r="E35" s="1528"/>
      <c r="F35" s="681">
        <f>SUMIF(107:107,E35,108:108)-SUMIF(107:107,C35,108:108)+100</f>
        <v>100</v>
      </c>
      <c r="G35" s="1528"/>
      <c r="H35" s="643">
        <f>SUMIF(107:107,G35,108:108)-SUMIF(107:107,C35,108:108)+100</f>
        <v>100</v>
      </c>
      <c r="I35" s="1528"/>
      <c r="J35" s="643">
        <f>SUMIF(107:107,I35,108:108)-SUMIF(107:107,C35,108:108)+100</f>
        <v>100</v>
      </c>
      <c r="K35" s="766"/>
      <c r="L35" s="769"/>
      <c r="M35" s="755"/>
      <c r="N35" s="755"/>
      <c r="O35" s="755"/>
      <c r="P35" s="778"/>
      <c r="Q35" s="831" t="str">
        <f t="shared" si="11"/>
        <v>公共部分装修</v>
      </c>
      <c r="R35" s="832" t="s">
        <v>1174</v>
      </c>
      <c r="S35" s="833">
        <f t="shared" si="12"/>
        <v>100</v>
      </c>
      <c r="T35" s="832" t="s">
        <v>1174</v>
      </c>
      <c r="U35" s="833">
        <f t="shared" si="13"/>
        <v>100</v>
      </c>
      <c r="V35" s="832" t="s">
        <v>1174</v>
      </c>
      <c r="W35" s="833">
        <f t="shared" si="14"/>
        <v>100</v>
      </c>
      <c r="X35" s="821"/>
      <c r="Y35" s="859"/>
      <c r="Z35" s="820" t="str">
        <f t="shared" si="15"/>
        <v>公共部分装修</v>
      </c>
      <c r="AA35" s="838">
        <f t="shared" si="3"/>
        <v>1</v>
      </c>
      <c r="AB35" s="838">
        <f t="shared" si="4"/>
        <v>1</v>
      </c>
      <c r="AC35" s="838">
        <f t="shared" si="5"/>
        <v>1</v>
      </c>
    </row>
    <row r="36" ht="15.5" spans="1:29">
      <c r="A36" s="685"/>
      <c r="B36" s="630" t="s">
        <v>636</v>
      </c>
      <c r="C36" s="687"/>
      <c r="D36" s="643">
        <v>100</v>
      </c>
      <c r="E36" s="687"/>
      <c r="F36" s="681" t="e">
        <f>LOOKUP(E36,110:110,111:111)-LOOKUP(C36,110:110,111:111)+100</f>
        <v>#N/A</v>
      </c>
      <c r="G36" s="687"/>
      <c r="H36" s="681" t="e">
        <f>LOOKUP(G36,110:110,111:111)-LOOKUP(C36,110:110,111:111)+100</f>
        <v>#N/A</v>
      </c>
      <c r="I36" s="687"/>
      <c r="J36" s="643" t="e">
        <f>LOOKUP(I36,110:110,111:111)-LOOKUP(C36,110:110,111:111)+100</f>
        <v>#N/A</v>
      </c>
      <c r="K36" s="766"/>
      <c r="L36" s="769"/>
      <c r="M36" s="755"/>
      <c r="N36" s="755"/>
      <c r="O36" s="755"/>
      <c r="P36" s="778"/>
      <c r="Q36" s="831" t="str">
        <f t="shared" si="11"/>
        <v>成新度</v>
      </c>
      <c r="R36" s="832" t="s">
        <v>1174</v>
      </c>
      <c r="S36" s="833" t="e">
        <f t="shared" si="12"/>
        <v>#N/A</v>
      </c>
      <c r="T36" s="832" t="s">
        <v>1174</v>
      </c>
      <c r="U36" s="833" t="e">
        <f t="shared" si="13"/>
        <v>#N/A</v>
      </c>
      <c r="V36" s="832" t="s">
        <v>1174</v>
      </c>
      <c r="W36" s="833" t="e">
        <f t="shared" si="14"/>
        <v>#N/A</v>
      </c>
      <c r="X36" s="821"/>
      <c r="Y36" s="859"/>
      <c r="Z36" s="820" t="str">
        <f t="shared" si="15"/>
        <v>成新度</v>
      </c>
      <c r="AA36" s="838" t="e">
        <f t="shared" si="3"/>
        <v>#N/A</v>
      </c>
      <c r="AB36" s="838" t="e">
        <f t="shared" si="4"/>
        <v>#N/A</v>
      </c>
      <c r="AC36" s="838" t="e">
        <f t="shared" si="5"/>
        <v>#N/A</v>
      </c>
    </row>
    <row r="37" s="568" customFormat="1" ht="15.5" spans="1:29">
      <c r="A37" s="688"/>
      <c r="B37" s="630" t="s">
        <v>1208</v>
      </c>
      <c r="C37" s="1528"/>
      <c r="D37" s="632">
        <v>100</v>
      </c>
      <c r="E37" s="1528"/>
      <c r="F37" s="681">
        <f>SUMIF(112:112,E37,113:113)-SUMIF(112:112,C37,113:113)+100</f>
        <v>100</v>
      </c>
      <c r="G37" s="1528"/>
      <c r="H37" s="643">
        <f>SUMIF(112:112,G37,113:113)-SUMIF(112:112,C37,113:113)+100</f>
        <v>100</v>
      </c>
      <c r="I37" s="1528"/>
      <c r="J37" s="643">
        <f>SUMIF(112:112,I37,113:113)-SUMIF(112:112,C37,113:113)+100</f>
        <v>100</v>
      </c>
      <c r="K37" s="766"/>
      <c r="L37" s="760"/>
      <c r="M37" s="761"/>
      <c r="N37" s="761"/>
      <c r="O37" s="761"/>
      <c r="P37" s="778"/>
      <c r="Q37" s="830" t="str">
        <f t="shared" si="11"/>
        <v>市政基础设施</v>
      </c>
      <c r="R37" s="826" t="s">
        <v>1174</v>
      </c>
      <c r="S37" s="827">
        <f t="shared" si="12"/>
        <v>100</v>
      </c>
      <c r="T37" s="826" t="s">
        <v>1174</v>
      </c>
      <c r="U37" s="827">
        <f t="shared" si="13"/>
        <v>100</v>
      </c>
      <c r="V37" s="826" t="s">
        <v>1174</v>
      </c>
      <c r="W37" s="827">
        <f t="shared" si="14"/>
        <v>100</v>
      </c>
      <c r="X37" s="828"/>
      <c r="Y37" s="859"/>
      <c r="Z37" s="855" t="str">
        <f t="shared" si="15"/>
        <v>市政基础设施</v>
      </c>
      <c r="AA37" s="853">
        <f t="shared" si="3"/>
        <v>1</v>
      </c>
      <c r="AB37" s="853">
        <f t="shared" si="4"/>
        <v>1</v>
      </c>
      <c r="AC37" s="853">
        <f t="shared" si="5"/>
        <v>1</v>
      </c>
    </row>
    <row r="38" ht="15.5" spans="1:29">
      <c r="A38" s="685"/>
      <c r="B38" s="630" t="s">
        <v>1488</v>
      </c>
      <c r="C38" s="1528"/>
      <c r="D38" s="643">
        <v>100</v>
      </c>
      <c r="E38" s="1528"/>
      <c r="F38" s="681">
        <f>SUMIF(114:114,E38,115:115)-SUMIF(114:114,C38,115:115)+100</f>
        <v>100</v>
      </c>
      <c r="G38" s="1528"/>
      <c r="H38" s="643">
        <f>SUMIF(114:114,G38,115:115)-SUMIF(114:114,C38,115:115)+100</f>
        <v>100</v>
      </c>
      <c r="I38" s="1528"/>
      <c r="J38" s="643">
        <f>SUMIF(114:114,I38,115:115)-SUMIF(114:114,C38,115:115)+100</f>
        <v>100</v>
      </c>
      <c r="K38" s="766"/>
      <c r="L38" s="769"/>
      <c r="M38" s="755"/>
      <c r="N38" s="755"/>
      <c r="O38" s="755"/>
      <c r="P38" s="778" t="s">
        <v>1202</v>
      </c>
      <c r="Q38" s="831" t="str">
        <f t="shared" si="11"/>
        <v>业态</v>
      </c>
      <c r="R38" s="832" t="s">
        <v>1174</v>
      </c>
      <c r="S38" s="833">
        <f t="shared" si="12"/>
        <v>100</v>
      </c>
      <c r="T38" s="832" t="s">
        <v>1174</v>
      </c>
      <c r="U38" s="833">
        <f t="shared" si="13"/>
        <v>100</v>
      </c>
      <c r="V38" s="832" t="s">
        <v>1174</v>
      </c>
      <c r="W38" s="833">
        <f t="shared" si="14"/>
        <v>100</v>
      </c>
      <c r="X38" s="821"/>
      <c r="Y38" s="859" t="s">
        <v>1202</v>
      </c>
      <c r="Z38" s="820" t="str">
        <f t="shared" si="15"/>
        <v>业态</v>
      </c>
      <c r="AA38" s="838">
        <f t="shared" si="3"/>
        <v>1</v>
      </c>
      <c r="AB38" s="838">
        <f t="shared" si="4"/>
        <v>1</v>
      </c>
      <c r="AC38" s="838">
        <f t="shared" si="5"/>
        <v>1</v>
      </c>
    </row>
    <row r="39" ht="15.5" spans="1:29">
      <c r="A39" s="685"/>
      <c r="B39" s="630" t="s">
        <v>1209</v>
      </c>
      <c r="C39" s="1528"/>
      <c r="D39" s="643">
        <v>100</v>
      </c>
      <c r="E39" s="1528"/>
      <c r="F39" s="681">
        <f>SUMIF(116:116,E39,117:117)-SUMIF(116:116,C39,117:117)+100</f>
        <v>100</v>
      </c>
      <c r="G39" s="1528"/>
      <c r="H39" s="643">
        <f>SUMIF(116:116,G39,117:117)-SUMIF(116:116,C39,117:117)+100</f>
        <v>100</v>
      </c>
      <c r="I39" s="1528"/>
      <c r="J39" s="643">
        <f>SUMIF(116:116,I39,117:117)-SUMIF(116:116,C39,117:117)+100</f>
        <v>100</v>
      </c>
      <c r="K39" s="766"/>
      <c r="L39" s="769"/>
      <c r="M39" s="755"/>
      <c r="N39" s="755"/>
      <c r="O39" s="755"/>
      <c r="P39" s="778"/>
      <c r="Q39" s="831" t="str">
        <f t="shared" si="11"/>
        <v>层高</v>
      </c>
      <c r="R39" s="832" t="s">
        <v>1174</v>
      </c>
      <c r="S39" s="833">
        <f t="shared" si="12"/>
        <v>100</v>
      </c>
      <c r="T39" s="832" t="s">
        <v>1174</v>
      </c>
      <c r="U39" s="833">
        <f t="shared" si="13"/>
        <v>100</v>
      </c>
      <c r="V39" s="832" t="s">
        <v>1174</v>
      </c>
      <c r="W39" s="833">
        <f t="shared" si="14"/>
        <v>100</v>
      </c>
      <c r="X39" s="821"/>
      <c r="Y39" s="859"/>
      <c r="Z39" s="820" t="str">
        <f t="shared" si="15"/>
        <v>层高</v>
      </c>
      <c r="AA39" s="838">
        <f t="shared" si="3"/>
        <v>1</v>
      </c>
      <c r="AB39" s="838">
        <f t="shared" si="4"/>
        <v>1</v>
      </c>
      <c r="AC39" s="838">
        <f t="shared" si="5"/>
        <v>1</v>
      </c>
    </row>
    <row r="40" ht="15.5" spans="1:29">
      <c r="A40" s="685"/>
      <c r="B40" s="630" t="s">
        <v>1236</v>
      </c>
      <c r="C40" s="1960"/>
      <c r="D40" s="643">
        <v>100</v>
      </c>
      <c r="E40" s="1961"/>
      <c r="F40" s="681">
        <f>SUMIF(118:118,E40,119:119)-SUMIF(118:118,C40,119:119)+100</f>
        <v>100</v>
      </c>
      <c r="G40" s="1961"/>
      <c r="H40" s="643">
        <f>SUMIF(118:118,G40,119:119)-SUMIF(118:118,C40,119:119)+100</f>
        <v>100</v>
      </c>
      <c r="I40" s="1961"/>
      <c r="J40" s="643">
        <f>SUMIF(118:118,I40,119:119)-SUMIF(118:118,C40,119:119)+100</f>
        <v>100</v>
      </c>
      <c r="K40" s="768"/>
      <c r="L40" s="769"/>
      <c r="M40" s="755"/>
      <c r="N40" s="755"/>
      <c r="O40" s="755"/>
      <c r="P40" s="778"/>
      <c r="Q40" s="831" t="str">
        <f t="shared" si="11"/>
        <v>单套建筑面积</v>
      </c>
      <c r="R40" s="832" t="s">
        <v>1174</v>
      </c>
      <c r="S40" s="833">
        <f t="shared" si="12"/>
        <v>100</v>
      </c>
      <c r="T40" s="832" t="s">
        <v>1174</v>
      </c>
      <c r="U40" s="833">
        <f t="shared" si="13"/>
        <v>100</v>
      </c>
      <c r="V40" s="832" t="s">
        <v>1174</v>
      </c>
      <c r="W40" s="833">
        <f t="shared" si="14"/>
        <v>100</v>
      </c>
      <c r="X40" s="821"/>
      <c r="Y40" s="859"/>
      <c r="Z40" s="820" t="str">
        <f t="shared" si="15"/>
        <v>单套建筑面积</v>
      </c>
      <c r="AA40" s="838">
        <f t="shared" si="3"/>
        <v>1</v>
      </c>
      <c r="AB40" s="838">
        <f t="shared" si="4"/>
        <v>1</v>
      </c>
      <c r="AC40" s="838">
        <f t="shared" si="5"/>
        <v>1</v>
      </c>
    </row>
    <row r="41" s="570" customFormat="1" ht="15.5" spans="1:29">
      <c r="A41" s="682"/>
      <c r="B41" s="689" t="s">
        <v>1489</v>
      </c>
      <c r="C41" s="672"/>
      <c r="D41" s="643">
        <v>100</v>
      </c>
      <c r="E41" s="672"/>
      <c r="F41" s="681">
        <f>SUMIF(120:120,E41,121:121)-SUMIF(120:120,C41,121:121)+100</f>
        <v>100</v>
      </c>
      <c r="G41" s="672"/>
      <c r="H41" s="643">
        <f>SUMIF(120:120,G41,121:121)-SUMIF(120:120,C41,121:121)+100</f>
        <v>100</v>
      </c>
      <c r="I41" s="672"/>
      <c r="J41" s="643">
        <f>SUMIF(120:120,I41,121:121)-SUMIF(120:120,C41,121:121)+100</f>
        <v>100</v>
      </c>
      <c r="K41" s="766"/>
      <c r="L41" s="767"/>
      <c r="M41" s="777"/>
      <c r="N41" s="777"/>
      <c r="O41" s="777"/>
      <c r="P41" s="778"/>
      <c r="Q41" s="834" t="str">
        <f t="shared" si="11"/>
        <v>进深比</v>
      </c>
      <c r="R41" s="835" t="s">
        <v>1174</v>
      </c>
      <c r="S41" s="836">
        <f t="shared" si="12"/>
        <v>100</v>
      </c>
      <c r="T41" s="835" t="s">
        <v>1174</v>
      </c>
      <c r="U41" s="836">
        <f t="shared" si="13"/>
        <v>100</v>
      </c>
      <c r="V41" s="835" t="s">
        <v>1174</v>
      </c>
      <c r="W41" s="836">
        <f t="shared" si="14"/>
        <v>100</v>
      </c>
      <c r="X41" s="837"/>
      <c r="Y41" s="859"/>
      <c r="Z41" s="860" t="str">
        <f t="shared" si="15"/>
        <v>进深比</v>
      </c>
      <c r="AA41" s="838">
        <f t="shared" si="3"/>
        <v>1</v>
      </c>
      <c r="AB41" s="838">
        <f t="shared" si="4"/>
        <v>1</v>
      </c>
      <c r="AC41" s="838">
        <f t="shared" si="5"/>
        <v>1</v>
      </c>
    </row>
    <row r="42" ht="15.5" spans="1:29">
      <c r="A42" s="685"/>
      <c r="B42" s="630" t="s">
        <v>1211</v>
      </c>
      <c r="C42" s="1528"/>
      <c r="D42" s="643">
        <v>100</v>
      </c>
      <c r="E42" s="1528"/>
      <c r="F42" s="681">
        <f>SUMIF(122:122,E42,123:123)-SUMIF(122:122,C42,123:123)+100</f>
        <v>100</v>
      </c>
      <c r="G42" s="1528"/>
      <c r="H42" s="643">
        <f>SUMIF(122:122,G42,123:123)-SUMIF(122:122,C42,123:123)+100</f>
        <v>100</v>
      </c>
      <c r="I42" s="1528"/>
      <c r="J42" s="643">
        <f>SUMIF(122:122,I42,123:123)-SUMIF(122:122,C42,123:123)+100</f>
        <v>100</v>
      </c>
      <c r="K42" s="766"/>
      <c r="L42" s="769"/>
      <c r="M42" s="755"/>
      <c r="N42" s="755"/>
      <c r="O42" s="755"/>
      <c r="P42" s="778"/>
      <c r="Q42" s="831" t="str">
        <f t="shared" si="11"/>
        <v>内部装修</v>
      </c>
      <c r="R42" s="832" t="s">
        <v>1174</v>
      </c>
      <c r="S42" s="833">
        <f t="shared" si="12"/>
        <v>100</v>
      </c>
      <c r="T42" s="832" t="s">
        <v>1174</v>
      </c>
      <c r="U42" s="833">
        <f t="shared" si="13"/>
        <v>100</v>
      </c>
      <c r="V42" s="832" t="s">
        <v>1174</v>
      </c>
      <c r="W42" s="833">
        <f t="shared" si="14"/>
        <v>100</v>
      </c>
      <c r="X42" s="821"/>
      <c r="Y42" s="859"/>
      <c r="Z42" s="820" t="str">
        <f t="shared" si="15"/>
        <v>内部装修</v>
      </c>
      <c r="AA42" s="838">
        <f t="shared" si="3"/>
        <v>1</v>
      </c>
      <c r="AB42" s="838">
        <f t="shared" si="4"/>
        <v>1</v>
      </c>
      <c r="AC42" s="838">
        <f t="shared" si="5"/>
        <v>1</v>
      </c>
    </row>
    <row r="43" ht="28" spans="1:29">
      <c r="A43" s="685"/>
      <c r="B43" s="630" t="s">
        <v>1213</v>
      </c>
      <c r="C43" s="1528"/>
      <c r="D43" s="643">
        <v>100</v>
      </c>
      <c r="E43" s="1528"/>
      <c r="F43" s="681">
        <f>SUMIF(124:124,E43,125:125)-SUMIF(124:124,C43,125:125)+100</f>
        <v>100</v>
      </c>
      <c r="G43" s="1528"/>
      <c r="H43" s="643">
        <f>SUMIF(124:124,G43,125:125)-SUMIF(124:124,C43,125:125)+100</f>
        <v>100</v>
      </c>
      <c r="I43" s="1528"/>
      <c r="J43" s="643">
        <f>SUMIF(124:124,I43,125:125)-SUMIF(124:124,C43,125:125)+100</f>
        <v>100</v>
      </c>
      <c r="K43" s="766"/>
      <c r="L43" s="769"/>
      <c r="M43" s="755"/>
      <c r="N43" s="755"/>
      <c r="O43" s="755"/>
      <c r="P43" s="778"/>
      <c r="Q43" s="831" t="str">
        <f t="shared" si="11"/>
        <v>内部装修维护情况</v>
      </c>
      <c r="R43" s="832" t="s">
        <v>1174</v>
      </c>
      <c r="S43" s="833">
        <f t="shared" si="12"/>
        <v>100</v>
      </c>
      <c r="T43" s="832" t="s">
        <v>1174</v>
      </c>
      <c r="U43" s="833">
        <f t="shared" si="13"/>
        <v>100</v>
      </c>
      <c r="V43" s="832" t="s">
        <v>1174</v>
      </c>
      <c r="W43" s="833">
        <f t="shared" si="14"/>
        <v>100</v>
      </c>
      <c r="X43" s="821"/>
      <c r="Y43" s="859"/>
      <c r="Z43" s="820" t="str">
        <f t="shared" si="15"/>
        <v>内部装修维护情况</v>
      </c>
      <c r="AA43" s="838">
        <f t="shared" si="3"/>
        <v>1</v>
      </c>
      <c r="AB43" s="838">
        <f t="shared" si="4"/>
        <v>1</v>
      </c>
      <c r="AC43" s="838">
        <f t="shared" si="5"/>
        <v>1</v>
      </c>
    </row>
    <row r="44" s="568" customFormat="1" ht="15.5" spans="1:29">
      <c r="A44" s="688"/>
      <c r="B44" s="690">
        <v>111</v>
      </c>
      <c r="C44" s="683"/>
      <c r="D44" s="632">
        <v>100</v>
      </c>
      <c r="E44" s="642"/>
      <c r="F44" s="684">
        <f>SUMIF(126:126,E44,127:127)-SUMIF(126:126,C44,127:127)+100</f>
        <v>100</v>
      </c>
      <c r="G44" s="642"/>
      <c r="H44" s="632">
        <f>SUMIF(126:126,G44,127:127)-SUMIF(126:126,C44,127:127)+100</f>
        <v>100</v>
      </c>
      <c r="I44" s="642"/>
      <c r="J44" s="632">
        <f>SUMIF(126:126,I44,127:127)-SUMIF(126:126,C44,127:127)+100</f>
        <v>100</v>
      </c>
      <c r="K44" s="768"/>
      <c r="L44" s="760"/>
      <c r="M44" s="761"/>
      <c r="N44" s="761"/>
      <c r="O44" s="761"/>
      <c r="P44" s="778"/>
      <c r="Q44" s="830">
        <f t="shared" si="11"/>
        <v>111</v>
      </c>
      <c r="R44" s="826" t="s">
        <v>1174</v>
      </c>
      <c r="S44" s="827">
        <f t="shared" si="12"/>
        <v>100</v>
      </c>
      <c r="T44" s="826" t="s">
        <v>1174</v>
      </c>
      <c r="U44" s="827">
        <f t="shared" si="13"/>
        <v>100</v>
      </c>
      <c r="V44" s="826" t="s">
        <v>1174</v>
      </c>
      <c r="W44" s="827">
        <f t="shared" si="14"/>
        <v>100</v>
      </c>
      <c r="X44" s="828"/>
      <c r="Y44" s="859"/>
      <c r="Z44" s="855">
        <f t="shared" si="15"/>
        <v>111</v>
      </c>
      <c r="AA44" s="853">
        <f t="shared" si="3"/>
        <v>1</v>
      </c>
      <c r="AB44" s="853">
        <f t="shared" si="4"/>
        <v>1</v>
      </c>
      <c r="AC44" s="853">
        <f t="shared" si="5"/>
        <v>1</v>
      </c>
    </row>
    <row r="45" ht="15.5" spans="1:29">
      <c r="A45" s="685"/>
      <c r="B45" s="690">
        <v>111</v>
      </c>
      <c r="C45" s="642"/>
      <c r="D45" s="643">
        <v>100</v>
      </c>
      <c r="E45" s="642"/>
      <c r="F45" s="681">
        <f>SUMIF(128:128,E45,129:129)-SUMIF(128:128,C45,129:129)+100</f>
        <v>100</v>
      </c>
      <c r="G45" s="642"/>
      <c r="H45" s="643">
        <f>SUMIF(128:128,G45,129:129)-SUMIF(128:128,C45,129:129)+100</f>
        <v>100</v>
      </c>
      <c r="I45" s="642"/>
      <c r="J45" s="643">
        <f>SUMIF(128:128,I45,129:129)-SUMIF(128:128,C45,129:129)+100</f>
        <v>100</v>
      </c>
      <c r="K45" s="768"/>
      <c r="L45" s="769"/>
      <c r="M45" s="755"/>
      <c r="N45" s="755"/>
      <c r="O45" s="755"/>
      <c r="P45" s="778"/>
      <c r="Q45" s="831">
        <f t="shared" si="11"/>
        <v>111</v>
      </c>
      <c r="R45" s="832" t="s">
        <v>1174</v>
      </c>
      <c r="S45" s="833">
        <f t="shared" si="12"/>
        <v>100</v>
      </c>
      <c r="T45" s="832" t="s">
        <v>1174</v>
      </c>
      <c r="U45" s="833">
        <f t="shared" si="13"/>
        <v>100</v>
      </c>
      <c r="V45" s="832" t="s">
        <v>1174</v>
      </c>
      <c r="W45" s="833">
        <f t="shared" si="14"/>
        <v>100</v>
      </c>
      <c r="X45" s="821"/>
      <c r="Y45" s="859"/>
      <c r="Z45" s="820">
        <f t="shared" si="15"/>
        <v>111</v>
      </c>
      <c r="AA45" s="838">
        <f t="shared" si="3"/>
        <v>1</v>
      </c>
      <c r="AB45" s="838">
        <f t="shared" si="4"/>
        <v>1</v>
      </c>
      <c r="AC45" s="838">
        <f t="shared" si="5"/>
        <v>1</v>
      </c>
    </row>
    <row r="46" ht="16.25" spans="1:29">
      <c r="A46" s="691"/>
      <c r="B46" s="645">
        <v>111</v>
      </c>
      <c r="C46" s="646"/>
      <c r="D46" s="647">
        <v>100</v>
      </c>
      <c r="E46" s="642"/>
      <c r="F46" s="692">
        <f>SUMIF(130:130,E46,131:131)-SUMIF(130:130,C46,131:131)+100</f>
        <v>100</v>
      </c>
      <c r="G46" s="642"/>
      <c r="H46" s="647">
        <f>SUMIF(130:130,G46,131:131)-SUMIF(130:130,C46,131:131)+100</f>
        <v>100</v>
      </c>
      <c r="I46" s="642"/>
      <c r="J46" s="647">
        <f>SUMIF(130:130,I46,131:131)-SUMIF(130:130,C46,131:131)+100</f>
        <v>100</v>
      </c>
      <c r="K46" s="768"/>
      <c r="L46" s="769"/>
      <c r="M46" s="755"/>
      <c r="N46" s="755"/>
      <c r="O46" s="755"/>
      <c r="P46" s="779"/>
      <c r="Q46" s="831">
        <f t="shared" si="11"/>
        <v>111</v>
      </c>
      <c r="R46" s="832" t="s">
        <v>1174</v>
      </c>
      <c r="S46" s="833">
        <f t="shared" si="12"/>
        <v>100</v>
      </c>
      <c r="T46" s="832" t="s">
        <v>1174</v>
      </c>
      <c r="U46" s="833">
        <f t="shared" si="13"/>
        <v>100</v>
      </c>
      <c r="V46" s="832" t="s">
        <v>1174</v>
      </c>
      <c r="W46" s="833">
        <f t="shared" si="14"/>
        <v>100</v>
      </c>
      <c r="X46" s="821"/>
      <c r="Y46" s="861"/>
      <c r="Z46" s="820">
        <f t="shared" si="15"/>
        <v>111</v>
      </c>
      <c r="AA46" s="838">
        <f t="shared" si="3"/>
        <v>1</v>
      </c>
      <c r="AB46" s="838">
        <f t="shared" si="4"/>
        <v>1</v>
      </c>
      <c r="AC46" s="838">
        <f t="shared" si="5"/>
        <v>1</v>
      </c>
    </row>
    <row r="47" spans="1:29">
      <c r="A47" s="693" t="s">
        <v>1214</v>
      </c>
      <c r="B47" s="694"/>
      <c r="C47" s="695" t="s">
        <v>124</v>
      </c>
      <c r="D47" s="696"/>
      <c r="E47" s="697"/>
      <c r="F47" s="698"/>
      <c r="G47" s="699"/>
      <c r="H47" s="700"/>
      <c r="I47" s="697"/>
      <c r="J47" s="700"/>
      <c r="K47" s="781"/>
      <c r="L47" s="782"/>
      <c r="M47" s="710"/>
      <c r="N47" s="755"/>
      <c r="O47" s="710"/>
      <c r="P47" s="831" t="str">
        <f>A47</f>
        <v>成交单价（元/平方米）</v>
      </c>
      <c r="Q47" s="831"/>
      <c r="R47" s="820">
        <f>E47</f>
        <v>0</v>
      </c>
      <c r="S47" s="820"/>
      <c r="T47" s="820">
        <f>G47</f>
        <v>0</v>
      </c>
      <c r="U47" s="820"/>
      <c r="V47" s="820">
        <f>I47</f>
        <v>0</v>
      </c>
      <c r="W47" s="820"/>
      <c r="X47" s="721"/>
      <c r="Y47" s="862"/>
      <c r="Z47" s="721"/>
      <c r="AA47" s="721"/>
      <c r="AB47" s="721"/>
      <c r="AC47" s="721"/>
    </row>
    <row r="48" ht="14.75" spans="1:29">
      <c r="A48" s="701" t="s">
        <v>1215</v>
      </c>
      <c r="B48" s="702"/>
      <c r="C48" s="703" t="e">
        <f>R49</f>
        <v>#DIV/0!</v>
      </c>
      <c r="D48" s="704" t="s">
        <v>1216</v>
      </c>
      <c r="E48" s="705" t="e">
        <f>R48</f>
        <v>#DIV/0!</v>
      </c>
      <c r="F48" s="706"/>
      <c r="G48" s="703" t="e">
        <f>T48</f>
        <v>#DIV/0!</v>
      </c>
      <c r="H48" s="706"/>
      <c r="I48" s="705" t="e">
        <f>V48</f>
        <v>#DIV/0!</v>
      </c>
      <c r="J48" s="706"/>
      <c r="K48" s="783">
        <f>F48+H48+J48</f>
        <v>0</v>
      </c>
      <c r="L48" s="782"/>
      <c r="M48" s="710"/>
      <c r="N48" s="755"/>
      <c r="O48" s="710"/>
      <c r="P48" s="831" t="str">
        <f>A48</f>
        <v>比较价值（元/平方米）</v>
      </c>
      <c r="Q48" s="831"/>
      <c r="R48" s="838" t="e">
        <f>IF(F1="售价",ROUND(PRODUCT(R47,AA7:AA46),0),ROUND(PRODUCT(R47,AA7:AA46),1))</f>
        <v>#DIV/0!</v>
      </c>
      <c r="S48" s="838"/>
      <c r="T48" s="838" t="e">
        <f>IF(F1="售价",ROUND(PRODUCT(T47,AB7:AB46),0),ROUND(PRODUCT(T47,AB7:AB46),1))</f>
        <v>#DIV/0!</v>
      </c>
      <c r="U48" s="838"/>
      <c r="V48" s="838" t="e">
        <f>IF(F1="售价",ROUND(PRODUCT(V47,AC7:AC46),0),ROUND(PRODUCT(V47,AC7:AC46),1))</f>
        <v>#DIV/0!</v>
      </c>
      <c r="W48" s="838"/>
      <c r="X48" s="721"/>
      <c r="Y48" s="721"/>
      <c r="Z48" s="721"/>
      <c r="AA48" s="721"/>
      <c r="AB48" s="721"/>
      <c r="AC48" s="721"/>
    </row>
    <row r="49" ht="14.75" spans="1:29">
      <c r="A49" s="707" t="s">
        <v>1217</v>
      </c>
      <c r="B49" s="708"/>
      <c r="C49" s="709" t="e">
        <f>R49</f>
        <v>#DIV/0!</v>
      </c>
      <c r="D49" s="709"/>
      <c r="E49" s="709"/>
      <c r="F49" s="709"/>
      <c r="G49" s="709"/>
      <c r="H49" s="709"/>
      <c r="I49" s="709"/>
      <c r="J49" s="709"/>
      <c r="K49" s="785"/>
      <c r="L49" s="782"/>
      <c r="M49" s="710"/>
      <c r="N49" s="755"/>
      <c r="O49" s="710"/>
      <c r="P49" s="689" t="str">
        <f>A49</f>
        <v>估价对象XX用房的比较价值（楼面单价，元/平方米）</v>
      </c>
      <c r="Q49" s="1598"/>
      <c r="R49" s="1947" t="e">
        <f>IF(F1="售价",ROUND(IF(D48="简单平均",AVERAGE(R48:V48),R48*F48+T48*H48+V48*J48),0),ROUND(IF(D48="简单平均",AVERAGE(R48:V48),R48*F48+T48*H48+V48*J48),1))</f>
        <v>#DIV/0!</v>
      </c>
      <c r="S49" s="1947"/>
      <c r="T49" s="1947"/>
      <c r="U49" s="1947"/>
      <c r="V49" s="1947"/>
      <c r="W49" s="1947"/>
      <c r="X49" s="721"/>
      <c r="Y49" s="721"/>
      <c r="Z49" s="721"/>
      <c r="AA49" s="721"/>
      <c r="AB49" s="721"/>
      <c r="AC49" s="721"/>
    </row>
    <row r="50" spans="1:29">
      <c r="A50" s="710"/>
      <c r="B50" s="710"/>
      <c r="C50" s="710"/>
      <c r="D50" s="710"/>
      <c r="E50" s="710"/>
      <c r="F50" s="710"/>
      <c r="G50" s="711"/>
      <c r="H50" s="710"/>
      <c r="I50" s="710"/>
      <c r="J50" s="710"/>
      <c r="K50" s="787"/>
      <c r="L50" s="788"/>
      <c r="M50" s="710"/>
      <c r="N50" s="710"/>
      <c r="O50" s="710"/>
      <c r="P50" s="1964"/>
      <c r="Q50" s="710"/>
      <c r="R50" s="710"/>
      <c r="S50" s="710"/>
      <c r="T50" s="710"/>
      <c r="U50" s="710"/>
      <c r="V50" s="710"/>
      <c r="W50" s="710"/>
      <c r="X50" s="710"/>
      <c r="Y50" s="710"/>
      <c r="Z50" s="710"/>
      <c r="AA50" s="710"/>
      <c r="AB50" s="710"/>
      <c r="AC50" s="710"/>
    </row>
    <row r="51" spans="1:29">
      <c r="A51" s="710"/>
      <c r="B51" s="710"/>
      <c r="C51" s="710"/>
      <c r="D51" s="710"/>
      <c r="E51" s="710"/>
      <c r="F51" s="710"/>
      <c r="G51" s="710"/>
      <c r="H51" s="710"/>
      <c r="I51" s="710"/>
      <c r="J51" s="710"/>
      <c r="K51" s="787"/>
      <c r="L51" s="788"/>
      <c r="M51" s="710"/>
      <c r="N51" s="710"/>
      <c r="O51" s="710"/>
      <c r="P51" s="1964"/>
      <c r="Q51" s="710"/>
      <c r="R51" s="710"/>
      <c r="S51" s="710"/>
      <c r="T51" s="710"/>
      <c r="U51" s="710"/>
      <c r="V51" s="710"/>
      <c r="W51" s="710"/>
      <c r="X51" s="710"/>
      <c r="Y51" s="710"/>
      <c r="Z51" s="710"/>
      <c r="AA51" s="710"/>
      <c r="AB51" s="710"/>
      <c r="AC51" s="710"/>
    </row>
    <row r="52" ht="13.5" customHeight="1" spans="1:29">
      <c r="A52" s="710"/>
      <c r="B52" s="710"/>
      <c r="C52" s="712" t="s">
        <v>1218</v>
      </c>
      <c r="D52" s="713"/>
      <c r="E52" s="714" t="e">
        <f>IF(E47&lt;E48,E48/E47-1,E47/E48-1)</f>
        <v>#DIV/0!</v>
      </c>
      <c r="F52" s="715" t="e">
        <f>IF(OR(E52&gt;=0.3,E52&lt;=-0.3),"超过30%","")</f>
        <v>#DIV/0!</v>
      </c>
      <c r="G52" s="714" t="e">
        <f>IF(G47&lt;G48,G48/G47-1,G47/G48-1)</f>
        <v>#DIV/0!</v>
      </c>
      <c r="H52" s="715" t="e">
        <f>IF(OR(G52&gt;=0.3,G52&lt;=-0.3),"超过30%","")</f>
        <v>#DIV/0!</v>
      </c>
      <c r="I52" s="714" t="e">
        <f>IF(I47&lt;I48,I48/I47-1,I47/I48-1)</f>
        <v>#DIV/0!</v>
      </c>
      <c r="J52" s="715" t="e">
        <f>IF(OR(I52&gt;=0.3,I52&lt;=-0.3),"超过30%","")</f>
        <v>#DIV/0!</v>
      </c>
      <c r="K52" s="787"/>
      <c r="L52" s="788"/>
      <c r="M52" s="710"/>
      <c r="N52" s="710"/>
      <c r="O52" s="710"/>
      <c r="P52" s="1964"/>
      <c r="Q52" s="710"/>
      <c r="R52" s="710"/>
      <c r="S52" s="710"/>
      <c r="T52" s="710"/>
      <c r="U52" s="710"/>
      <c r="V52" s="710"/>
      <c r="W52" s="710"/>
      <c r="X52" s="710"/>
      <c r="Y52" s="710"/>
      <c r="Z52" s="710"/>
      <c r="AA52" s="710"/>
      <c r="AB52" s="710"/>
      <c r="AC52" s="710"/>
    </row>
    <row r="53" ht="13.5" customHeight="1" spans="1:29">
      <c r="A53" s="710"/>
      <c r="B53" s="710"/>
      <c r="C53" s="712" t="s">
        <v>1219</v>
      </c>
      <c r="D53" s="716"/>
      <c r="E53" s="714" t="e">
        <f>IF(E48&lt;G48,G48/E48-1,E48/G48-1)</f>
        <v>#DIV/0!</v>
      </c>
      <c r="F53" s="715" t="e">
        <f>IF(OR(E53&gt;=0.2,E53&lt;=-0.2),"超过20%","")</f>
        <v>#DIV/0!</v>
      </c>
      <c r="G53" s="714" t="e">
        <f>IF(G48&lt;I48,I48/G48-1,G48/I48-1)</f>
        <v>#DIV/0!</v>
      </c>
      <c r="H53" s="715" t="e">
        <f>IF(OR(G53&gt;=0.2,G53&lt;=-0.2),"超过20%","")</f>
        <v>#DIV/0!</v>
      </c>
      <c r="I53" s="714" t="e">
        <f>IF(I48&lt;E48,E48/I48-1,I48/E48-1)</f>
        <v>#DIV/0!</v>
      </c>
      <c r="J53" s="715" t="e">
        <f>IF(OR(I53&gt;=0.2,I53&lt;=-0.2),"超过20%","")</f>
        <v>#DIV/0!</v>
      </c>
      <c r="K53" s="787"/>
      <c r="L53" s="788"/>
      <c r="M53" s="710"/>
      <c r="N53" s="710"/>
      <c r="O53" s="710"/>
      <c r="P53" s="1964"/>
      <c r="Q53" s="710"/>
      <c r="R53" s="710"/>
      <c r="S53" s="710"/>
      <c r="T53" s="710"/>
      <c r="U53" s="710"/>
      <c r="V53" s="710"/>
      <c r="W53" s="710"/>
      <c r="X53" s="710"/>
      <c r="Y53" s="710"/>
      <c r="Z53" s="710"/>
      <c r="AA53" s="710"/>
      <c r="AB53" s="710"/>
      <c r="AC53" s="710"/>
    </row>
    <row r="54" s="571" customFormat="1" ht="13.5" customHeight="1" spans="1:29">
      <c r="A54" s="717"/>
      <c r="B54" s="717"/>
      <c r="C54" s="712" t="s">
        <v>1220</v>
      </c>
      <c r="D54" s="716"/>
      <c r="E54" s="714" t="e">
        <f>IF(E47&lt;G47,G47/E47-1,E47/G47-1)</f>
        <v>#DIV/0!</v>
      </c>
      <c r="F54" s="715" t="e">
        <f>IF(OR(E54&gt;=0.3,E54&lt;=-0.3),"超过30%","")</f>
        <v>#DIV/0!</v>
      </c>
      <c r="G54" s="714" t="e">
        <f>IF(G47&lt;I47,I47/G47-1,G47/I47-1)</f>
        <v>#DIV/0!</v>
      </c>
      <c r="H54" s="715" t="e">
        <f>IF(OR(G54&gt;=0.3,G54&lt;=-0.3),"超过30%","")</f>
        <v>#DIV/0!</v>
      </c>
      <c r="I54" s="714" t="e">
        <f>IF(I47&lt;E47,E47/I47-1,I47/E47-1)</f>
        <v>#DIV/0!</v>
      </c>
      <c r="J54" s="715" t="e">
        <f>IF(OR(I54&gt;=0.3,I54&lt;=-0.3),"超过30%","")</f>
        <v>#DIV/0!</v>
      </c>
      <c r="K54" s="790"/>
      <c r="L54" s="791"/>
      <c r="M54" s="717"/>
      <c r="N54" s="717"/>
      <c r="O54" s="717"/>
      <c r="P54" s="1965"/>
      <c r="Q54" s="717"/>
      <c r="R54" s="717"/>
      <c r="S54" s="717"/>
      <c r="T54" s="717"/>
      <c r="U54" s="717"/>
      <c r="V54" s="717"/>
      <c r="W54" s="717"/>
      <c r="X54" s="717"/>
      <c r="Y54" s="717"/>
      <c r="Z54" s="717"/>
      <c r="AA54" s="717"/>
      <c r="AB54" s="717"/>
      <c r="AC54" s="717"/>
    </row>
    <row r="55" s="571" customFormat="1" spans="1:29">
      <c r="A55" s="717"/>
      <c r="B55" s="718"/>
      <c r="C55" s="719"/>
      <c r="D55" s="717"/>
      <c r="E55" s="717"/>
      <c r="F55" s="717"/>
      <c r="G55" s="717"/>
      <c r="H55" s="717"/>
      <c r="I55" s="717"/>
      <c r="J55" s="717"/>
      <c r="K55" s="790"/>
      <c r="L55" s="791"/>
      <c r="M55" s="717"/>
      <c r="N55" s="717"/>
      <c r="O55" s="717"/>
      <c r="P55" s="1965"/>
      <c r="Q55" s="717"/>
      <c r="R55" s="717"/>
      <c r="S55" s="717"/>
      <c r="T55" s="717"/>
      <c r="U55" s="717"/>
      <c r="V55" s="717"/>
      <c r="W55" s="717"/>
      <c r="X55" s="717"/>
      <c r="Y55" s="717"/>
      <c r="Z55" s="717"/>
      <c r="AA55" s="717"/>
      <c r="AB55" s="717"/>
      <c r="AC55" s="717"/>
    </row>
    <row r="56" spans="1:29">
      <c r="A56" s="710"/>
      <c r="B56" s="718"/>
      <c r="C56" s="719"/>
      <c r="D56" s="710"/>
      <c r="E56" s="710"/>
      <c r="F56" s="710"/>
      <c r="G56" s="710"/>
      <c r="H56" s="710"/>
      <c r="I56" s="710"/>
      <c r="J56" s="710"/>
      <c r="K56" s="787"/>
      <c r="L56" s="788"/>
      <c r="M56" s="710"/>
      <c r="N56" s="710"/>
      <c r="O56" s="710"/>
      <c r="P56" s="1964"/>
      <c r="Q56" s="710"/>
      <c r="R56" s="710"/>
      <c r="S56" s="710"/>
      <c r="T56" s="710"/>
      <c r="U56" s="710"/>
      <c r="V56" s="710"/>
      <c r="W56" s="710"/>
      <c r="X56" s="710"/>
      <c r="Y56" s="710"/>
      <c r="Z56" s="710"/>
      <c r="AA56" s="710"/>
      <c r="AB56" s="710"/>
      <c r="AC56" s="710"/>
    </row>
    <row r="57" ht="21.75" spans="1:29">
      <c r="A57" s="720" t="s">
        <v>1221</v>
      </c>
      <c r="B57" s="721"/>
      <c r="C57" s="722"/>
      <c r="D57" s="722"/>
      <c r="E57" s="722"/>
      <c r="F57" s="723"/>
      <c r="G57" s="723"/>
      <c r="H57" s="722"/>
      <c r="I57" s="722"/>
      <c r="J57" s="722"/>
      <c r="K57" s="793"/>
      <c r="L57" s="794"/>
      <c r="M57" s="795"/>
      <c r="N57" s="795"/>
      <c r="O57" s="795"/>
      <c r="P57" s="1966"/>
      <c r="Q57" s="843"/>
      <c r="R57" s="710"/>
      <c r="S57" s="710"/>
      <c r="T57" s="710"/>
      <c r="U57" s="710"/>
      <c r="V57" s="710"/>
      <c r="W57" s="710"/>
      <c r="X57" s="710"/>
      <c r="Y57" s="710"/>
      <c r="Z57" s="710"/>
      <c r="AA57" s="710"/>
      <c r="AB57" s="710"/>
      <c r="AC57" s="710"/>
    </row>
    <row r="58" s="572" customFormat="1" spans="1:29">
      <c r="A58" s="724" t="s">
        <v>1172</v>
      </c>
      <c r="B58" s="725"/>
      <c r="C58" s="726" t="str">
        <f>YEAR(C7)&amp;"-"&amp;MONTH(C7)</f>
        <v>2024-9</v>
      </c>
      <c r="D58" s="727">
        <f>EDATE(C58,-1)</f>
        <v>45505</v>
      </c>
      <c r="E58" s="727">
        <f t="shared" ref="E58:O58" si="16">EDATE(D58,-1)</f>
        <v>45474</v>
      </c>
      <c r="F58" s="727">
        <f t="shared" si="16"/>
        <v>45444</v>
      </c>
      <c r="G58" s="727">
        <f t="shared" si="16"/>
        <v>45413</v>
      </c>
      <c r="H58" s="727">
        <f t="shared" si="16"/>
        <v>45383</v>
      </c>
      <c r="I58" s="727">
        <f t="shared" si="16"/>
        <v>45352</v>
      </c>
      <c r="J58" s="727">
        <f t="shared" si="16"/>
        <v>45323</v>
      </c>
      <c r="K58" s="727">
        <f t="shared" si="16"/>
        <v>45292</v>
      </c>
      <c r="L58" s="727">
        <f t="shared" si="16"/>
        <v>45261</v>
      </c>
      <c r="M58" s="727">
        <f t="shared" si="16"/>
        <v>45231</v>
      </c>
      <c r="N58" s="727">
        <f t="shared" si="16"/>
        <v>45200</v>
      </c>
      <c r="O58" s="727">
        <f t="shared" si="16"/>
        <v>45170</v>
      </c>
      <c r="P58" s="1967"/>
      <c r="Q58" s="844"/>
      <c r="R58" s="844"/>
      <c r="S58" s="844"/>
      <c r="T58" s="844"/>
      <c r="U58" s="844"/>
      <c r="V58" s="844"/>
      <c r="W58" s="844"/>
      <c r="X58" s="844"/>
      <c r="Y58" s="844"/>
      <c r="Z58" s="844"/>
      <c r="AA58" s="844"/>
      <c r="AB58" s="844"/>
      <c r="AC58" s="844"/>
    </row>
    <row r="59" s="568" customFormat="1" spans="1:29">
      <c r="A59" s="728"/>
      <c r="B59" s="729"/>
      <c r="C59" s="730">
        <v>100</v>
      </c>
      <c r="D59" s="731"/>
      <c r="E59" s="731"/>
      <c r="F59" s="731"/>
      <c r="G59" s="731"/>
      <c r="H59" s="731"/>
      <c r="I59" s="731"/>
      <c r="J59" s="731"/>
      <c r="K59" s="731"/>
      <c r="L59" s="731"/>
      <c r="M59" s="799"/>
      <c r="N59" s="731"/>
      <c r="O59" s="799"/>
      <c r="P59" s="1968"/>
      <c r="Q59" s="845"/>
      <c r="R59" s="845"/>
      <c r="S59" s="845"/>
      <c r="T59" s="845"/>
      <c r="U59" s="845"/>
      <c r="V59" s="845"/>
      <c r="W59" s="845"/>
      <c r="X59" s="845"/>
      <c r="Y59" s="845"/>
      <c r="Z59" s="845"/>
      <c r="AA59" s="845"/>
      <c r="AB59" s="845"/>
      <c r="AC59" s="845"/>
    </row>
    <row r="60" s="568" customFormat="1" ht="14.75" spans="1:29">
      <c r="A60" s="732" t="s">
        <v>1222</v>
      </c>
      <c r="B60" s="733"/>
      <c r="C60" s="734"/>
      <c r="D60" s="735"/>
      <c r="E60" s="735"/>
      <c r="F60" s="735"/>
      <c r="G60" s="735"/>
      <c r="H60" s="735"/>
      <c r="I60" s="735"/>
      <c r="J60" s="735"/>
      <c r="K60" s="735"/>
      <c r="L60" s="735"/>
      <c r="M60" s="801"/>
      <c r="N60" s="735"/>
      <c r="O60" s="801"/>
      <c r="P60" s="1968"/>
      <c r="Q60" s="843"/>
      <c r="R60" s="845"/>
      <c r="S60" s="845"/>
      <c r="T60" s="845"/>
      <c r="U60" s="845"/>
      <c r="V60" s="845"/>
      <c r="W60" s="845"/>
      <c r="X60" s="845"/>
      <c r="Y60" s="845"/>
      <c r="Z60" s="845"/>
      <c r="AA60" s="845"/>
      <c r="AB60" s="845"/>
      <c r="AC60" s="845"/>
    </row>
    <row r="61" s="568" customFormat="1" spans="1:29">
      <c r="A61" s="736" t="s">
        <v>1175</v>
      </c>
      <c r="B61" s="729"/>
      <c r="C61" s="737" t="s">
        <v>1223</v>
      </c>
      <c r="D61" s="739"/>
      <c r="E61" s="739"/>
      <c r="F61" s="739"/>
      <c r="G61" s="739"/>
      <c r="H61" s="739"/>
      <c r="I61" s="739"/>
      <c r="J61" s="739"/>
      <c r="K61" s="739"/>
      <c r="L61" s="802"/>
      <c r="M61" s="803"/>
      <c r="N61" s="804"/>
      <c r="O61" s="804"/>
      <c r="P61" s="1969"/>
      <c r="Q61" s="843"/>
      <c r="R61" s="845"/>
      <c r="S61" s="845"/>
      <c r="T61" s="845"/>
      <c r="U61" s="845"/>
      <c r="V61" s="845"/>
      <c r="W61" s="845"/>
      <c r="X61" s="845"/>
      <c r="Y61" s="845"/>
      <c r="Z61" s="845"/>
      <c r="AA61" s="845"/>
      <c r="AB61" s="845"/>
      <c r="AC61" s="845"/>
    </row>
    <row r="62" s="568" customFormat="1" ht="14.75" spans="1:29">
      <c r="A62" s="736"/>
      <c r="B62" s="729"/>
      <c r="C62" s="740">
        <v>100</v>
      </c>
      <c r="D62" s="731"/>
      <c r="E62" s="731"/>
      <c r="F62" s="731"/>
      <c r="G62" s="731"/>
      <c r="H62" s="731"/>
      <c r="I62" s="731"/>
      <c r="J62" s="731"/>
      <c r="K62" s="731"/>
      <c r="L62" s="731"/>
      <c r="M62" s="806"/>
      <c r="N62" s="804"/>
      <c r="O62" s="804"/>
      <c r="P62" s="1968"/>
      <c r="Q62" s="843"/>
      <c r="R62" s="845"/>
      <c r="S62" s="845"/>
      <c r="T62" s="845"/>
      <c r="U62" s="845"/>
      <c r="V62" s="845"/>
      <c r="W62" s="845"/>
      <c r="X62" s="845"/>
      <c r="Y62" s="845"/>
      <c r="Z62" s="845"/>
      <c r="AA62" s="845"/>
      <c r="AB62" s="845"/>
      <c r="AC62" s="845"/>
    </row>
    <row r="63" spans="1:29">
      <c r="A63" s="741" t="s">
        <v>1224</v>
      </c>
      <c r="B63" s="742" t="s">
        <v>1179</v>
      </c>
      <c r="C63" s="743">
        <f>C9</f>
        <v>0</v>
      </c>
      <c r="D63" s="745"/>
      <c r="E63" s="745"/>
      <c r="F63" s="745"/>
      <c r="G63" s="745"/>
      <c r="H63" s="745"/>
      <c r="I63" s="745"/>
      <c r="J63" s="745"/>
      <c r="K63" s="807"/>
      <c r="L63" s="808"/>
      <c r="M63" s="809"/>
      <c r="N63" s="810"/>
      <c r="O63" s="810"/>
      <c r="P63" s="1970"/>
      <c r="Q63" s="843"/>
      <c r="R63" s="710"/>
      <c r="S63" s="710"/>
      <c r="T63" s="710"/>
      <c r="U63" s="710"/>
      <c r="V63" s="710"/>
      <c r="W63" s="710"/>
      <c r="X63" s="710"/>
      <c r="Y63" s="710"/>
      <c r="Z63" s="710"/>
      <c r="AA63" s="710"/>
      <c r="AB63" s="710"/>
      <c r="AC63" s="710"/>
    </row>
    <row r="64" ht="14.75" spans="1:29">
      <c r="A64" s="864"/>
      <c r="B64" s="865"/>
      <c r="C64" s="866">
        <v>100</v>
      </c>
      <c r="D64" s="866"/>
      <c r="E64" s="866"/>
      <c r="F64" s="866"/>
      <c r="G64" s="866"/>
      <c r="H64" s="866"/>
      <c r="I64" s="866"/>
      <c r="J64" s="866"/>
      <c r="K64" s="866"/>
      <c r="L64" s="866"/>
      <c r="M64" s="903"/>
      <c r="N64" s="904"/>
      <c r="O64" s="904"/>
      <c r="P64" s="1970"/>
      <c r="Q64" s="843"/>
      <c r="R64" s="710"/>
      <c r="S64" s="710"/>
      <c r="T64" s="710"/>
      <c r="U64" s="710"/>
      <c r="V64" s="710"/>
      <c r="W64" s="710"/>
      <c r="X64" s="710"/>
      <c r="Y64" s="710"/>
      <c r="Z64" s="710"/>
      <c r="AA64" s="710"/>
      <c r="AB64" s="710"/>
      <c r="AC64" s="710"/>
    </row>
    <row r="65" ht="28.75" spans="1:29">
      <c r="A65" s="864"/>
      <c r="B65" s="867" t="s">
        <v>1184</v>
      </c>
      <c r="C65" s="868"/>
      <c r="D65" s="868"/>
      <c r="E65" s="868"/>
      <c r="F65" s="868"/>
      <c r="G65" s="868"/>
      <c r="H65" s="868"/>
      <c r="I65" s="868"/>
      <c r="J65" s="868"/>
      <c r="K65" s="905"/>
      <c r="L65" s="906"/>
      <c r="M65" s="907"/>
      <c r="N65" s="810"/>
      <c r="O65" s="810"/>
      <c r="P65" s="1970"/>
      <c r="Q65" s="843"/>
      <c r="R65" s="710"/>
      <c r="S65" s="710"/>
      <c r="T65" s="710"/>
      <c r="U65" s="710"/>
      <c r="V65" s="710"/>
      <c r="W65" s="710"/>
      <c r="X65" s="710"/>
      <c r="Y65" s="710"/>
      <c r="Z65" s="710"/>
      <c r="AA65" s="710"/>
      <c r="AB65" s="710"/>
      <c r="AC65" s="710"/>
    </row>
    <row r="66" ht="14.75" spans="1:29">
      <c r="A66" s="864"/>
      <c r="B66" s="869"/>
      <c r="C66" s="866"/>
      <c r="D66" s="866"/>
      <c r="E66" s="866"/>
      <c r="F66" s="866"/>
      <c r="G66" s="866"/>
      <c r="H66" s="866"/>
      <c r="I66" s="866"/>
      <c r="J66" s="866"/>
      <c r="K66" s="866"/>
      <c r="L66" s="866"/>
      <c r="M66" s="903"/>
      <c r="N66" s="904"/>
      <c r="O66" s="904"/>
      <c r="P66" s="1970"/>
      <c r="Q66" s="843"/>
      <c r="R66" s="710"/>
      <c r="S66" s="710"/>
      <c r="T66" s="710"/>
      <c r="U66" s="710"/>
      <c r="V66" s="710"/>
      <c r="W66" s="710"/>
      <c r="X66" s="710"/>
      <c r="Y66" s="710"/>
      <c r="Z66" s="710"/>
      <c r="AA66" s="710"/>
      <c r="AB66" s="710"/>
      <c r="AC66" s="710"/>
    </row>
    <row r="67" ht="14.75" spans="1:29">
      <c r="A67" s="864"/>
      <c r="B67" s="870" t="s">
        <v>1185</v>
      </c>
      <c r="C67" s="871" t="str">
        <f>C68&amp;"（含）"&amp;"-"&amp;D68</f>
        <v>（含）-</v>
      </c>
      <c r="D67" s="871" t="str">
        <f t="shared" ref="D67:L67" si="17">D68&amp;"（含）"&amp;"-"&amp;E68</f>
        <v>（含）-</v>
      </c>
      <c r="E67" s="871" t="str">
        <f t="shared" si="17"/>
        <v>（含）-</v>
      </c>
      <c r="F67" s="871" t="str">
        <f t="shared" si="17"/>
        <v>（含）-</v>
      </c>
      <c r="G67" s="871" t="str">
        <f t="shared" si="17"/>
        <v>（含）-</v>
      </c>
      <c r="H67" s="871" t="str">
        <f t="shared" si="17"/>
        <v>（含）-</v>
      </c>
      <c r="I67" s="871" t="str">
        <f t="shared" si="17"/>
        <v>（含）-</v>
      </c>
      <c r="J67" s="871" t="str">
        <f t="shared" si="17"/>
        <v>（含）-</v>
      </c>
      <c r="K67" s="871" t="str">
        <f t="shared" si="17"/>
        <v>（含）-</v>
      </c>
      <c r="L67" s="871" t="str">
        <f t="shared" si="17"/>
        <v>（含）-</v>
      </c>
      <c r="M67" s="657" t="str">
        <f>M68&amp;"（含）"&amp;"-"&amp;P68</f>
        <v>（含）-</v>
      </c>
      <c r="N67" s="904"/>
      <c r="O67" s="904"/>
      <c r="P67" s="1970"/>
      <c r="Q67" s="843"/>
      <c r="R67" s="710"/>
      <c r="S67" s="710"/>
      <c r="T67" s="710"/>
      <c r="U67" s="710"/>
      <c r="V67" s="710"/>
      <c r="W67" s="710"/>
      <c r="X67" s="710"/>
      <c r="Y67" s="710"/>
      <c r="Z67" s="710"/>
      <c r="AA67" s="710"/>
      <c r="AB67" s="710"/>
      <c r="AC67" s="710"/>
    </row>
    <row r="68" spans="1:29">
      <c r="A68" s="864"/>
      <c r="B68" s="872"/>
      <c r="C68" s="873"/>
      <c r="D68" s="873"/>
      <c r="E68" s="873"/>
      <c r="F68" s="873"/>
      <c r="G68" s="873"/>
      <c r="H68" s="873"/>
      <c r="I68" s="873"/>
      <c r="J68" s="873"/>
      <c r="K68" s="908"/>
      <c r="L68" s="909"/>
      <c r="M68" s="910"/>
      <c r="N68" s="810"/>
      <c r="O68" s="810"/>
      <c r="P68" s="1970"/>
      <c r="Q68" s="843"/>
      <c r="R68" s="710"/>
      <c r="S68" s="710"/>
      <c r="T68" s="710"/>
      <c r="U68" s="710"/>
      <c r="V68" s="710"/>
      <c r="W68" s="710"/>
      <c r="X68" s="710"/>
      <c r="Y68" s="710"/>
      <c r="Z68" s="710"/>
      <c r="AA68" s="710"/>
      <c r="AB68" s="710"/>
      <c r="AC68" s="710"/>
    </row>
    <row r="69" ht="14.75" spans="1:29">
      <c r="A69" s="864"/>
      <c r="B69" s="865"/>
      <c r="C69" s="874">
        <v>100</v>
      </c>
      <c r="D69" s="874">
        <f t="shared" ref="D69:M69" si="18">C69-$K11</f>
        <v>100</v>
      </c>
      <c r="E69" s="874">
        <f t="shared" si="18"/>
        <v>100</v>
      </c>
      <c r="F69" s="874">
        <f t="shared" si="18"/>
        <v>100</v>
      </c>
      <c r="G69" s="874">
        <f t="shared" si="18"/>
        <v>100</v>
      </c>
      <c r="H69" s="874">
        <f t="shared" si="18"/>
        <v>100</v>
      </c>
      <c r="I69" s="874">
        <f t="shared" si="18"/>
        <v>100</v>
      </c>
      <c r="J69" s="874">
        <f t="shared" si="18"/>
        <v>100</v>
      </c>
      <c r="K69" s="874">
        <f t="shared" si="18"/>
        <v>100</v>
      </c>
      <c r="L69" s="874">
        <f t="shared" si="18"/>
        <v>100</v>
      </c>
      <c r="M69" s="911">
        <f t="shared" si="18"/>
        <v>100</v>
      </c>
      <c r="N69" s="904"/>
      <c r="O69" s="904"/>
      <c r="P69" s="1970"/>
      <c r="Q69" s="843"/>
      <c r="R69" s="710"/>
      <c r="S69" s="710"/>
      <c r="T69" s="710"/>
      <c r="U69" s="710"/>
      <c r="V69" s="710"/>
      <c r="W69" s="710"/>
      <c r="X69" s="710"/>
      <c r="Y69" s="710"/>
      <c r="Z69" s="710"/>
      <c r="AA69" s="710"/>
      <c r="AB69" s="710"/>
      <c r="AC69" s="710"/>
    </row>
    <row r="70" s="570" customFormat="1" ht="14.75" spans="1:29">
      <c r="A70" s="875"/>
      <c r="B70" s="867">
        <f>B12</f>
        <v>111</v>
      </c>
      <c r="C70" s="876"/>
      <c r="D70" s="876"/>
      <c r="E70" s="876"/>
      <c r="F70" s="876"/>
      <c r="G70" s="876"/>
      <c r="H70" s="877"/>
      <c r="I70" s="877"/>
      <c r="J70" s="877"/>
      <c r="K70" s="877"/>
      <c r="L70" s="912"/>
      <c r="M70" s="913"/>
      <c r="N70" s="914"/>
      <c r="O70" s="914"/>
      <c r="P70" s="1975"/>
      <c r="Q70" s="947"/>
      <c r="R70" s="948"/>
      <c r="S70" s="948"/>
      <c r="T70" s="948"/>
      <c r="U70" s="948"/>
      <c r="V70" s="948"/>
      <c r="W70" s="948"/>
      <c r="X70" s="948"/>
      <c r="Y70" s="948"/>
      <c r="Z70" s="948"/>
      <c r="AA70" s="948"/>
      <c r="AB70" s="948"/>
      <c r="AC70" s="948"/>
    </row>
    <row r="71" s="570" customFormat="1" ht="14.75" spans="1:29">
      <c r="A71" s="875"/>
      <c r="B71" s="869"/>
      <c r="C71" s="878"/>
      <c r="D71" s="866"/>
      <c r="E71" s="866"/>
      <c r="F71" s="866"/>
      <c r="G71" s="866"/>
      <c r="H71" s="866"/>
      <c r="I71" s="866"/>
      <c r="J71" s="866"/>
      <c r="K71" s="866"/>
      <c r="L71" s="866"/>
      <c r="M71" s="903"/>
      <c r="N71" s="904"/>
      <c r="O71" s="904"/>
      <c r="P71" s="1975"/>
      <c r="Q71" s="947"/>
      <c r="R71" s="948"/>
      <c r="S71" s="948"/>
      <c r="T71" s="948"/>
      <c r="U71" s="948"/>
      <c r="V71" s="948"/>
      <c r="W71" s="948"/>
      <c r="X71" s="948"/>
      <c r="Y71" s="948"/>
      <c r="Z71" s="948"/>
      <c r="AA71" s="948"/>
      <c r="AB71" s="948"/>
      <c r="AC71" s="948"/>
    </row>
    <row r="72" s="570" customFormat="1" ht="14.75" spans="1:29">
      <c r="A72" s="875"/>
      <c r="B72" s="867">
        <f>B13</f>
        <v>111</v>
      </c>
      <c r="C72" s="876"/>
      <c r="D72" s="876"/>
      <c r="E72" s="876"/>
      <c r="F72" s="876"/>
      <c r="G72" s="876"/>
      <c r="H72" s="877"/>
      <c r="I72" s="877"/>
      <c r="J72" s="877"/>
      <c r="K72" s="877"/>
      <c r="L72" s="912"/>
      <c r="M72" s="913"/>
      <c r="N72" s="914"/>
      <c r="O72" s="914"/>
      <c r="P72" s="1976"/>
      <c r="Q72" s="949"/>
      <c r="R72" s="948"/>
      <c r="S72" s="948"/>
      <c r="T72" s="948"/>
      <c r="U72" s="948"/>
      <c r="V72" s="948"/>
      <c r="W72" s="948"/>
      <c r="X72" s="948"/>
      <c r="Y72" s="948"/>
      <c r="Z72" s="948"/>
      <c r="AA72" s="948"/>
      <c r="AB72" s="948"/>
      <c r="AC72" s="948"/>
    </row>
    <row r="73" s="570" customFormat="1" ht="14.75" spans="1:29">
      <c r="A73" s="875"/>
      <c r="B73" s="869"/>
      <c r="C73" s="878"/>
      <c r="D73" s="866"/>
      <c r="E73" s="866"/>
      <c r="F73" s="866"/>
      <c r="G73" s="878"/>
      <c r="H73" s="879"/>
      <c r="I73" s="879"/>
      <c r="J73" s="879"/>
      <c r="K73" s="879"/>
      <c r="L73" s="879"/>
      <c r="M73" s="917"/>
      <c r="N73" s="914"/>
      <c r="O73" s="914"/>
      <c r="P73" s="1975"/>
      <c r="Q73" s="947"/>
      <c r="R73" s="948"/>
      <c r="S73" s="948"/>
      <c r="T73" s="948"/>
      <c r="U73" s="948"/>
      <c r="V73" s="948"/>
      <c r="W73" s="948"/>
      <c r="X73" s="948"/>
      <c r="Y73" s="948"/>
      <c r="Z73" s="948"/>
      <c r="AA73" s="948"/>
      <c r="AB73" s="948"/>
      <c r="AC73" s="948"/>
    </row>
    <row r="74" s="570" customFormat="1" ht="14.75" spans="1:29">
      <c r="A74" s="875"/>
      <c r="B74" s="870">
        <f>B14</f>
        <v>111</v>
      </c>
      <c r="C74" s="876"/>
      <c r="D74" s="876"/>
      <c r="E74" s="876"/>
      <c r="F74" s="876"/>
      <c r="G74" s="739"/>
      <c r="H74" s="880"/>
      <c r="I74" s="880"/>
      <c r="J74" s="880"/>
      <c r="K74" s="880"/>
      <c r="L74" s="918"/>
      <c r="M74" s="919"/>
      <c r="N74" s="914"/>
      <c r="O74" s="914"/>
      <c r="P74" s="1977"/>
      <c r="Q74" s="947"/>
      <c r="R74" s="948"/>
      <c r="S74" s="948"/>
      <c r="T74" s="948"/>
      <c r="U74" s="948"/>
      <c r="V74" s="948"/>
      <c r="W74" s="948"/>
      <c r="X74" s="948"/>
      <c r="Y74" s="948"/>
      <c r="Z74" s="948"/>
      <c r="AA74" s="948"/>
      <c r="AB74" s="948"/>
      <c r="AC74" s="948"/>
    </row>
    <row r="75" s="570" customFormat="1" ht="14.75" spans="1:29">
      <c r="A75" s="881"/>
      <c r="B75" s="882"/>
      <c r="C75" s="883"/>
      <c r="D75" s="883"/>
      <c r="E75" s="883"/>
      <c r="F75" s="883"/>
      <c r="G75" s="883"/>
      <c r="H75" s="884"/>
      <c r="I75" s="884"/>
      <c r="J75" s="884"/>
      <c r="K75" s="884"/>
      <c r="L75" s="884"/>
      <c r="M75" s="921"/>
      <c r="N75" s="914"/>
      <c r="O75" s="914"/>
      <c r="P75" s="1975"/>
      <c r="Q75" s="947"/>
      <c r="R75" s="948"/>
      <c r="S75" s="948"/>
      <c r="T75" s="948"/>
      <c r="U75" s="948"/>
      <c r="V75" s="948"/>
      <c r="W75" s="948"/>
      <c r="X75" s="948"/>
      <c r="Y75" s="948"/>
      <c r="Z75" s="948"/>
      <c r="AA75" s="948"/>
      <c r="AB75" s="948"/>
      <c r="AC75" s="948"/>
    </row>
    <row r="76" spans="1:29">
      <c r="A76" s="741" t="s">
        <v>1186</v>
      </c>
      <c r="B76" s="742" t="s">
        <v>1456</v>
      </c>
      <c r="C76" s="885" t="s">
        <v>1225</v>
      </c>
      <c r="D76" s="885" t="s">
        <v>1226</v>
      </c>
      <c r="E76" s="885" t="s">
        <v>1227</v>
      </c>
      <c r="F76" s="885" t="s">
        <v>1228</v>
      </c>
      <c r="G76" s="885" t="s">
        <v>1229</v>
      </c>
      <c r="H76" s="743"/>
      <c r="I76" s="743"/>
      <c r="J76" s="743"/>
      <c r="K76" s="922"/>
      <c r="L76" s="923"/>
      <c r="M76" s="924"/>
      <c r="N76" s="810"/>
      <c r="O76" s="810"/>
      <c r="P76" s="1978"/>
      <c r="Q76" s="843"/>
      <c r="R76" s="710"/>
      <c r="S76" s="710"/>
      <c r="T76" s="710"/>
      <c r="U76" s="710"/>
      <c r="V76" s="710"/>
      <c r="W76" s="710"/>
      <c r="X76" s="710"/>
      <c r="Y76" s="710"/>
      <c r="Z76" s="710"/>
      <c r="AA76" s="710"/>
      <c r="AB76" s="710"/>
      <c r="AC76" s="710"/>
    </row>
    <row r="77" ht="14.75" spans="1:29">
      <c r="A77" s="864"/>
      <c r="B77" s="869"/>
      <c r="C77" s="874">
        <v>100</v>
      </c>
      <c r="D77" s="874">
        <f>C77-$K15</f>
        <v>100</v>
      </c>
      <c r="E77" s="874">
        <f>D77-$K15</f>
        <v>100</v>
      </c>
      <c r="F77" s="874">
        <f>E77-$K15</f>
        <v>100</v>
      </c>
      <c r="G77" s="874">
        <f>F77-$K15</f>
        <v>100</v>
      </c>
      <c r="H77" s="874"/>
      <c r="I77" s="874"/>
      <c r="J77" s="874"/>
      <c r="K77" s="874"/>
      <c r="L77" s="874"/>
      <c r="M77" s="911"/>
      <c r="N77" s="904"/>
      <c r="O77" s="904"/>
      <c r="P77" s="1970"/>
      <c r="Q77" s="843"/>
      <c r="R77" s="710"/>
      <c r="S77" s="710"/>
      <c r="T77" s="710"/>
      <c r="U77" s="710"/>
      <c r="V77" s="710"/>
      <c r="W77" s="710"/>
      <c r="X77" s="710"/>
      <c r="Y77" s="710"/>
      <c r="Z77" s="710"/>
      <c r="AA77" s="710"/>
      <c r="AB77" s="710"/>
      <c r="AC77" s="710"/>
    </row>
    <row r="78" ht="14.75" spans="1:29">
      <c r="A78" s="864"/>
      <c r="B78" s="867" t="s">
        <v>1191</v>
      </c>
      <c r="C78" s="886" t="s">
        <v>1225</v>
      </c>
      <c r="D78" s="886" t="s">
        <v>1226</v>
      </c>
      <c r="E78" s="886" t="s">
        <v>1227</v>
      </c>
      <c r="F78" s="886" t="s">
        <v>1228</v>
      </c>
      <c r="G78" s="886" t="s">
        <v>1229</v>
      </c>
      <c r="H78" s="887"/>
      <c r="I78" s="887"/>
      <c r="J78" s="887"/>
      <c r="K78" s="926"/>
      <c r="L78" s="927"/>
      <c r="M78" s="928"/>
      <c r="N78" s="810"/>
      <c r="O78" s="810"/>
      <c r="P78" s="1970"/>
      <c r="Q78" s="843"/>
      <c r="R78" s="710"/>
      <c r="S78" s="710"/>
      <c r="T78" s="710"/>
      <c r="U78" s="710"/>
      <c r="V78" s="710"/>
      <c r="W78" s="710"/>
      <c r="X78" s="710"/>
      <c r="Y78" s="710"/>
      <c r="Z78" s="710"/>
      <c r="AA78" s="710"/>
      <c r="AB78" s="710"/>
      <c r="AC78" s="710"/>
    </row>
    <row r="79" ht="14.75" spans="1:29">
      <c r="A79" s="864"/>
      <c r="B79" s="869"/>
      <c r="C79" s="874">
        <v>100</v>
      </c>
      <c r="D79" s="874">
        <f>C79-$K17</f>
        <v>100</v>
      </c>
      <c r="E79" s="874">
        <f>D79-$K17</f>
        <v>100</v>
      </c>
      <c r="F79" s="874">
        <f>E79-$K17</f>
        <v>100</v>
      </c>
      <c r="G79" s="874">
        <f>F79-$K17</f>
        <v>100</v>
      </c>
      <c r="H79" s="874"/>
      <c r="I79" s="874"/>
      <c r="J79" s="874"/>
      <c r="K79" s="874"/>
      <c r="L79" s="874"/>
      <c r="M79" s="911"/>
      <c r="N79" s="904"/>
      <c r="O79" s="904"/>
      <c r="P79" s="1970"/>
      <c r="Q79" s="843"/>
      <c r="R79" s="710"/>
      <c r="S79" s="710"/>
      <c r="T79" s="710"/>
      <c r="U79" s="710"/>
      <c r="V79" s="710"/>
      <c r="W79" s="710"/>
      <c r="X79" s="710"/>
      <c r="Y79" s="710"/>
      <c r="Z79" s="710"/>
      <c r="AA79" s="710"/>
      <c r="AB79" s="710"/>
      <c r="AC79" s="710"/>
    </row>
    <row r="80" ht="14.75" spans="1:29">
      <c r="A80" s="864"/>
      <c r="B80" s="867" t="s">
        <v>1192</v>
      </c>
      <c r="C80" s="886" t="s">
        <v>1225</v>
      </c>
      <c r="D80" s="886" t="s">
        <v>1226</v>
      </c>
      <c r="E80" s="886" t="s">
        <v>1227</v>
      </c>
      <c r="F80" s="886" t="s">
        <v>1228</v>
      </c>
      <c r="G80" s="886" t="s">
        <v>1229</v>
      </c>
      <c r="H80" s="887"/>
      <c r="I80" s="887"/>
      <c r="J80" s="887"/>
      <c r="K80" s="926"/>
      <c r="L80" s="927"/>
      <c r="M80" s="928"/>
      <c r="N80" s="810"/>
      <c r="O80" s="810"/>
      <c r="P80" s="1970"/>
      <c r="Q80" s="843"/>
      <c r="R80" s="710"/>
      <c r="S80" s="710"/>
      <c r="T80" s="710"/>
      <c r="U80" s="710"/>
      <c r="V80" s="710"/>
      <c r="W80" s="710"/>
      <c r="X80" s="710"/>
      <c r="Y80" s="710"/>
      <c r="Z80" s="710"/>
      <c r="AA80" s="710"/>
      <c r="AB80" s="710"/>
      <c r="AC80" s="710"/>
    </row>
    <row r="81" ht="14.75" spans="1:29">
      <c r="A81" s="864"/>
      <c r="B81" s="869"/>
      <c r="C81" s="874">
        <v>100</v>
      </c>
      <c r="D81" s="874">
        <f>C81-$K19</f>
        <v>100</v>
      </c>
      <c r="E81" s="874">
        <f>D81-$K19</f>
        <v>100</v>
      </c>
      <c r="F81" s="874">
        <f>E81-$K19</f>
        <v>100</v>
      </c>
      <c r="G81" s="874">
        <f>F81-$K19</f>
        <v>100</v>
      </c>
      <c r="H81" s="874"/>
      <c r="I81" s="874"/>
      <c r="J81" s="874"/>
      <c r="K81" s="874"/>
      <c r="L81" s="874"/>
      <c r="M81" s="911"/>
      <c r="N81" s="904"/>
      <c r="O81" s="904"/>
      <c r="P81" s="1970"/>
      <c r="Q81" s="843"/>
      <c r="R81" s="710"/>
      <c r="S81" s="710"/>
      <c r="T81" s="710"/>
      <c r="U81" s="710"/>
      <c r="V81" s="710"/>
      <c r="W81" s="710"/>
      <c r="X81" s="710"/>
      <c r="Y81" s="710"/>
      <c r="Z81" s="710"/>
      <c r="AA81" s="710"/>
      <c r="AB81" s="710"/>
      <c r="AC81" s="710"/>
    </row>
    <row r="82" ht="14.75" spans="1:29">
      <c r="A82" s="864"/>
      <c r="B82" s="870" t="s">
        <v>1193</v>
      </c>
      <c r="C82" s="888" t="s">
        <v>1230</v>
      </c>
      <c r="D82" s="888" t="s">
        <v>1231</v>
      </c>
      <c r="E82" s="888" t="s">
        <v>1232</v>
      </c>
      <c r="F82" s="888" t="s">
        <v>1233</v>
      </c>
      <c r="G82" s="888" t="s">
        <v>1234</v>
      </c>
      <c r="H82" s="887"/>
      <c r="I82" s="887"/>
      <c r="J82" s="887"/>
      <c r="K82" s="887"/>
      <c r="L82" s="887"/>
      <c r="M82" s="929"/>
      <c r="N82" s="904"/>
      <c r="O82" s="904"/>
      <c r="P82" s="1970"/>
      <c r="Q82" s="843"/>
      <c r="R82" s="710"/>
      <c r="S82" s="710"/>
      <c r="T82" s="710"/>
      <c r="U82" s="710"/>
      <c r="V82" s="710"/>
      <c r="W82" s="710"/>
      <c r="X82" s="710"/>
      <c r="Y82" s="710"/>
      <c r="Z82" s="710"/>
      <c r="AA82" s="710"/>
      <c r="AB82" s="710"/>
      <c r="AC82" s="710"/>
    </row>
    <row r="83" ht="14.75" spans="1:29">
      <c r="A83" s="864"/>
      <c r="B83" s="870"/>
      <c r="C83" s="874">
        <v>100</v>
      </c>
      <c r="D83" s="874">
        <f>C83-$K21</f>
        <v>100</v>
      </c>
      <c r="E83" s="874">
        <f t="shared" ref="E83:G83" si="19">D83-$K21</f>
        <v>100</v>
      </c>
      <c r="F83" s="874">
        <f t="shared" si="19"/>
        <v>100</v>
      </c>
      <c r="G83" s="874">
        <f t="shared" si="19"/>
        <v>100</v>
      </c>
      <c r="H83" s="888"/>
      <c r="I83" s="888"/>
      <c r="J83" s="888"/>
      <c r="K83" s="888"/>
      <c r="L83" s="888"/>
      <c r="M83" s="658"/>
      <c r="N83" s="904"/>
      <c r="O83" s="904"/>
      <c r="P83" s="1970"/>
      <c r="Q83" s="843"/>
      <c r="R83" s="710"/>
      <c r="S83" s="710"/>
      <c r="T83" s="710"/>
      <c r="U83" s="710"/>
      <c r="V83" s="710"/>
      <c r="W83" s="710"/>
      <c r="X83" s="710"/>
      <c r="Y83" s="710"/>
      <c r="Z83" s="710"/>
      <c r="AA83" s="710"/>
      <c r="AB83" s="710"/>
      <c r="AC83" s="710"/>
    </row>
    <row r="84" ht="14.75" spans="1:29">
      <c r="A84" s="864"/>
      <c r="B84" s="867" t="s">
        <v>1457</v>
      </c>
      <c r="C84" s="886" t="s">
        <v>1225</v>
      </c>
      <c r="D84" s="886" t="s">
        <v>1226</v>
      </c>
      <c r="E84" s="886" t="s">
        <v>1227</v>
      </c>
      <c r="F84" s="886" t="s">
        <v>1228</v>
      </c>
      <c r="G84" s="886" t="s">
        <v>1229</v>
      </c>
      <c r="H84" s="887"/>
      <c r="I84" s="887"/>
      <c r="J84" s="887"/>
      <c r="K84" s="926"/>
      <c r="L84" s="927"/>
      <c r="M84" s="928"/>
      <c r="N84" s="810"/>
      <c r="O84" s="810"/>
      <c r="P84" s="1970"/>
      <c r="Q84" s="843"/>
      <c r="R84" s="710"/>
      <c r="S84" s="710"/>
      <c r="T84" s="710"/>
      <c r="U84" s="710"/>
      <c r="V84" s="710"/>
      <c r="W84" s="710"/>
      <c r="X84" s="710"/>
      <c r="Y84" s="710"/>
      <c r="Z84" s="710"/>
      <c r="AA84" s="710"/>
      <c r="AB84" s="710"/>
      <c r="AC84" s="710"/>
    </row>
    <row r="85" ht="14.75" spans="1:29">
      <c r="A85" s="864"/>
      <c r="B85" s="869"/>
      <c r="C85" s="874">
        <v>100</v>
      </c>
      <c r="D85" s="874">
        <f>C85-$K23</f>
        <v>100</v>
      </c>
      <c r="E85" s="874">
        <f>D85-$K23</f>
        <v>100</v>
      </c>
      <c r="F85" s="874">
        <f>E85-$K23</f>
        <v>100</v>
      </c>
      <c r="G85" s="874">
        <f>F85-$K23</f>
        <v>100</v>
      </c>
      <c r="H85" s="874"/>
      <c r="I85" s="874"/>
      <c r="J85" s="874"/>
      <c r="K85" s="874"/>
      <c r="L85" s="874"/>
      <c r="M85" s="911"/>
      <c r="N85" s="904"/>
      <c r="O85" s="904"/>
      <c r="P85" s="1970"/>
      <c r="Q85" s="843"/>
      <c r="R85" s="710"/>
      <c r="S85" s="710"/>
      <c r="T85" s="710"/>
      <c r="U85" s="710"/>
      <c r="V85" s="710"/>
      <c r="W85" s="710"/>
      <c r="X85" s="710"/>
      <c r="Y85" s="710"/>
      <c r="Z85" s="710"/>
      <c r="AA85" s="710"/>
      <c r="AB85" s="710"/>
      <c r="AC85" s="710"/>
    </row>
    <row r="86" s="568" customFormat="1" ht="14.75" spans="1:29">
      <c r="A86" s="889"/>
      <c r="B86" s="867" t="s">
        <v>1484</v>
      </c>
      <c r="C86" s="876"/>
      <c r="D86" s="876"/>
      <c r="E86" s="876"/>
      <c r="F86" s="876"/>
      <c r="G86" s="876"/>
      <c r="H86" s="876"/>
      <c r="I86" s="876"/>
      <c r="J86" s="876"/>
      <c r="K86" s="876"/>
      <c r="L86" s="930"/>
      <c r="M86" s="931"/>
      <c r="N86" s="804"/>
      <c r="O86" s="804"/>
      <c r="P86" s="1970"/>
      <c r="Q86" s="843"/>
      <c r="R86" s="845"/>
      <c r="S86" s="845"/>
      <c r="T86" s="845"/>
      <c r="U86" s="845"/>
      <c r="V86" s="845"/>
      <c r="W86" s="845"/>
      <c r="X86" s="845"/>
      <c r="Y86" s="845"/>
      <c r="Z86" s="845"/>
      <c r="AA86" s="845"/>
      <c r="AB86" s="845"/>
      <c r="AC86" s="845"/>
    </row>
    <row r="87" s="568" customFormat="1" ht="14.75" spans="1:29">
      <c r="A87" s="889"/>
      <c r="B87" s="869"/>
      <c r="C87" s="890">
        <v>100</v>
      </c>
      <c r="D87" s="874">
        <f t="shared" ref="D87:M87" si="20">C87-$K25</f>
        <v>100</v>
      </c>
      <c r="E87" s="874">
        <f t="shared" si="20"/>
        <v>100</v>
      </c>
      <c r="F87" s="874">
        <f t="shared" si="20"/>
        <v>100</v>
      </c>
      <c r="G87" s="874">
        <f t="shared" si="20"/>
        <v>100</v>
      </c>
      <c r="H87" s="874">
        <f t="shared" si="20"/>
        <v>100</v>
      </c>
      <c r="I87" s="874">
        <f t="shared" si="20"/>
        <v>100</v>
      </c>
      <c r="J87" s="874">
        <f t="shared" si="20"/>
        <v>100</v>
      </c>
      <c r="K87" s="874">
        <f t="shared" si="20"/>
        <v>100</v>
      </c>
      <c r="L87" s="874">
        <f t="shared" si="20"/>
        <v>100</v>
      </c>
      <c r="M87" s="874">
        <f t="shared" si="20"/>
        <v>100</v>
      </c>
      <c r="N87" s="904"/>
      <c r="O87" s="904"/>
      <c r="P87" s="1970"/>
      <c r="Q87" s="843"/>
      <c r="R87" s="845"/>
      <c r="S87" s="845"/>
      <c r="T87" s="845"/>
      <c r="U87" s="845"/>
      <c r="V87" s="845"/>
      <c r="W87" s="845"/>
      <c r="X87" s="845"/>
      <c r="Y87" s="845"/>
      <c r="Z87" s="845"/>
      <c r="AA87" s="845"/>
      <c r="AB87" s="845"/>
      <c r="AC87" s="845"/>
    </row>
    <row r="88" s="568" customFormat="1" ht="14.75" spans="1:29">
      <c r="A88" s="889"/>
      <c r="B88" s="867" t="str">
        <f>B26</f>
        <v>平面位置/可视性</v>
      </c>
      <c r="C88" s="876"/>
      <c r="D88" s="876"/>
      <c r="E88" s="876"/>
      <c r="F88" s="891"/>
      <c r="G88" s="876"/>
      <c r="H88" s="876"/>
      <c r="I88" s="876"/>
      <c r="J88" s="876"/>
      <c r="K88" s="876"/>
      <c r="L88" s="876"/>
      <c r="M88" s="931"/>
      <c r="N88" s="804"/>
      <c r="O88" s="804"/>
      <c r="P88" s="1970"/>
      <c r="Q88" s="843"/>
      <c r="R88" s="845"/>
      <c r="S88" s="845"/>
      <c r="T88" s="845"/>
      <c r="U88" s="845"/>
      <c r="V88" s="845"/>
      <c r="W88" s="845"/>
      <c r="X88" s="845"/>
      <c r="Y88" s="845"/>
      <c r="Z88" s="845"/>
      <c r="AA88" s="845"/>
      <c r="AB88" s="845"/>
      <c r="AC88" s="845"/>
    </row>
    <row r="89" s="568" customFormat="1" ht="14.75" spans="1:29">
      <c r="A89" s="889"/>
      <c r="B89" s="869"/>
      <c r="C89" s="878"/>
      <c r="D89" s="866"/>
      <c r="E89" s="866"/>
      <c r="F89" s="866"/>
      <c r="G89" s="866"/>
      <c r="H89" s="866"/>
      <c r="I89" s="866"/>
      <c r="J89" s="866"/>
      <c r="K89" s="866"/>
      <c r="L89" s="866"/>
      <c r="M89" s="866"/>
      <c r="N89" s="904"/>
      <c r="O89" s="904"/>
      <c r="P89" s="1970"/>
      <c r="Q89" s="843"/>
      <c r="R89" s="845"/>
      <c r="S89" s="845"/>
      <c r="T89" s="845"/>
      <c r="U89" s="845"/>
      <c r="V89" s="845"/>
      <c r="W89" s="845"/>
      <c r="X89" s="845"/>
      <c r="Y89" s="845"/>
      <c r="Z89" s="845"/>
      <c r="AA89" s="845"/>
      <c r="AB89" s="845"/>
      <c r="AC89" s="845"/>
    </row>
    <row r="90" s="570" customFormat="1" ht="14.75" spans="1:29">
      <c r="A90" s="875"/>
      <c r="B90" s="867" t="str">
        <f>B27</f>
        <v>人流量</v>
      </c>
      <c r="C90" s="876"/>
      <c r="D90" s="876"/>
      <c r="E90" s="876"/>
      <c r="F90" s="876"/>
      <c r="G90" s="876"/>
      <c r="H90" s="877"/>
      <c r="I90" s="877"/>
      <c r="J90" s="877"/>
      <c r="K90" s="877"/>
      <c r="L90" s="912"/>
      <c r="M90" s="913"/>
      <c r="N90" s="914"/>
      <c r="O90" s="914"/>
      <c r="P90" s="1975"/>
      <c r="Q90" s="947"/>
      <c r="R90" s="948"/>
      <c r="S90" s="948"/>
      <c r="T90" s="948"/>
      <c r="U90" s="948"/>
      <c r="V90" s="948"/>
      <c r="W90" s="948"/>
      <c r="X90" s="948"/>
      <c r="Y90" s="948"/>
      <c r="Z90" s="948"/>
      <c r="AA90" s="948"/>
      <c r="AB90" s="948"/>
      <c r="AC90" s="948"/>
    </row>
    <row r="91" s="570" customFormat="1" ht="14.75" spans="1:29">
      <c r="A91" s="875"/>
      <c r="B91" s="869"/>
      <c r="C91" s="890">
        <v>100</v>
      </c>
      <c r="D91" s="874">
        <f>C91-$K27</f>
        <v>100</v>
      </c>
      <c r="E91" s="874">
        <f t="shared" ref="E91:M91" si="21">D91-$K27</f>
        <v>100</v>
      </c>
      <c r="F91" s="874">
        <f t="shared" si="21"/>
        <v>100</v>
      </c>
      <c r="G91" s="874">
        <f t="shared" si="21"/>
        <v>100</v>
      </c>
      <c r="H91" s="874">
        <f t="shared" si="21"/>
        <v>100</v>
      </c>
      <c r="I91" s="874">
        <f t="shared" si="21"/>
        <v>100</v>
      </c>
      <c r="J91" s="874">
        <f t="shared" si="21"/>
        <v>100</v>
      </c>
      <c r="K91" s="874">
        <f t="shared" si="21"/>
        <v>100</v>
      </c>
      <c r="L91" s="874">
        <f t="shared" si="21"/>
        <v>100</v>
      </c>
      <c r="M91" s="874">
        <f t="shared" si="21"/>
        <v>100</v>
      </c>
      <c r="N91" s="914"/>
      <c r="O91" s="914"/>
      <c r="P91" s="1975"/>
      <c r="Q91" s="947"/>
      <c r="R91" s="948"/>
      <c r="S91" s="948"/>
      <c r="T91" s="948"/>
      <c r="U91" s="948"/>
      <c r="V91" s="948"/>
      <c r="W91" s="948"/>
      <c r="X91" s="948"/>
      <c r="Y91" s="948"/>
      <c r="Z91" s="948"/>
      <c r="AA91" s="948"/>
      <c r="AB91" s="948"/>
      <c r="AC91" s="948"/>
    </row>
    <row r="92" ht="14.75" spans="1:29">
      <c r="A92" s="864"/>
      <c r="B92" s="867" t="str">
        <f>B28</f>
        <v>楼层</v>
      </c>
      <c r="C92" s="876"/>
      <c r="D92" s="876"/>
      <c r="E92" s="876"/>
      <c r="F92" s="876"/>
      <c r="G92" s="876"/>
      <c r="H92" s="876"/>
      <c r="I92" s="876"/>
      <c r="J92" s="876"/>
      <c r="K92" s="876"/>
      <c r="L92" s="930"/>
      <c r="M92" s="931"/>
      <c r="N92" s="810"/>
      <c r="O92" s="810"/>
      <c r="P92" s="1970"/>
      <c r="Q92" s="843"/>
      <c r="R92" s="710"/>
      <c r="S92" s="710"/>
      <c r="T92" s="710"/>
      <c r="U92" s="710"/>
      <c r="V92" s="710"/>
      <c r="W92" s="710"/>
      <c r="X92" s="710"/>
      <c r="Y92" s="710"/>
      <c r="Z92" s="710"/>
      <c r="AA92" s="710"/>
      <c r="AB92" s="710"/>
      <c r="AC92" s="710"/>
    </row>
    <row r="93" ht="14.75" spans="1:29">
      <c r="A93" s="864"/>
      <c r="B93" s="869"/>
      <c r="C93" s="866"/>
      <c r="D93" s="866"/>
      <c r="E93" s="866"/>
      <c r="F93" s="866"/>
      <c r="G93" s="866"/>
      <c r="H93" s="866"/>
      <c r="I93" s="866"/>
      <c r="J93" s="866"/>
      <c r="K93" s="866"/>
      <c r="L93" s="866"/>
      <c r="M93" s="903"/>
      <c r="N93" s="904"/>
      <c r="O93" s="904"/>
      <c r="P93" s="1970"/>
      <c r="Q93" s="843"/>
      <c r="R93" s="710"/>
      <c r="S93" s="710"/>
      <c r="T93" s="710"/>
      <c r="U93" s="710"/>
      <c r="V93" s="710"/>
      <c r="W93" s="710"/>
      <c r="X93" s="710"/>
      <c r="Y93" s="710"/>
      <c r="Z93" s="710"/>
      <c r="AA93" s="710"/>
      <c r="AB93" s="710"/>
      <c r="AC93" s="710"/>
    </row>
    <row r="94" ht="14.75" spans="1:29">
      <c r="A94" s="864"/>
      <c r="B94" s="867">
        <f>B29</f>
        <v>111</v>
      </c>
      <c r="C94" s="876"/>
      <c r="D94" s="876"/>
      <c r="E94" s="876"/>
      <c r="F94" s="876"/>
      <c r="G94" s="868"/>
      <c r="H94" s="868"/>
      <c r="I94" s="868"/>
      <c r="J94" s="868"/>
      <c r="K94" s="905"/>
      <c r="L94" s="906"/>
      <c r="M94" s="907"/>
      <c r="N94" s="810"/>
      <c r="O94" s="810"/>
      <c r="P94" s="1970"/>
      <c r="Q94" s="843"/>
      <c r="R94" s="710"/>
      <c r="S94" s="710"/>
      <c r="T94" s="710"/>
      <c r="U94" s="710"/>
      <c r="V94" s="710"/>
      <c r="W94" s="710"/>
      <c r="X94" s="710"/>
      <c r="Y94" s="710"/>
      <c r="Z94" s="710"/>
      <c r="AA94" s="710"/>
      <c r="AB94" s="710"/>
      <c r="AC94" s="710"/>
    </row>
    <row r="95" ht="14.75" spans="1:29">
      <c r="A95" s="864"/>
      <c r="B95" s="869"/>
      <c r="C95" s="878"/>
      <c r="D95" s="866"/>
      <c r="E95" s="866"/>
      <c r="F95" s="866"/>
      <c r="G95" s="866"/>
      <c r="H95" s="866"/>
      <c r="I95" s="866"/>
      <c r="J95" s="866"/>
      <c r="K95" s="866"/>
      <c r="L95" s="866"/>
      <c r="M95" s="903"/>
      <c r="N95" s="904"/>
      <c r="O95" s="904"/>
      <c r="P95" s="1970"/>
      <c r="Q95" s="843"/>
      <c r="R95" s="710"/>
      <c r="S95" s="710"/>
      <c r="T95" s="710"/>
      <c r="U95" s="710"/>
      <c r="V95" s="710"/>
      <c r="W95" s="710"/>
      <c r="X95" s="710"/>
      <c r="Y95" s="710"/>
      <c r="Z95" s="710"/>
      <c r="AA95" s="710"/>
      <c r="AB95" s="710"/>
      <c r="AC95" s="710"/>
    </row>
    <row r="96" ht="14.75" spans="1:29">
      <c r="A96" s="864"/>
      <c r="B96" s="867">
        <f>B30</f>
        <v>111</v>
      </c>
      <c r="C96" s="876"/>
      <c r="D96" s="876"/>
      <c r="E96" s="876"/>
      <c r="F96" s="876"/>
      <c r="G96" s="868"/>
      <c r="H96" s="868"/>
      <c r="I96" s="868"/>
      <c r="J96" s="868"/>
      <c r="K96" s="905"/>
      <c r="L96" s="906"/>
      <c r="M96" s="907"/>
      <c r="N96" s="810"/>
      <c r="O96" s="810"/>
      <c r="P96" s="1970"/>
      <c r="Q96" s="843"/>
      <c r="R96" s="710"/>
      <c r="S96" s="710"/>
      <c r="T96" s="710"/>
      <c r="U96" s="710"/>
      <c r="V96" s="710"/>
      <c r="W96" s="710"/>
      <c r="X96" s="710"/>
      <c r="Y96" s="710"/>
      <c r="Z96" s="710"/>
      <c r="AA96" s="710"/>
      <c r="AB96" s="710"/>
      <c r="AC96" s="710"/>
    </row>
    <row r="97" ht="14.75" spans="1:29">
      <c r="A97" s="864"/>
      <c r="B97" s="869"/>
      <c r="C97" s="878"/>
      <c r="D97" s="866"/>
      <c r="E97" s="866"/>
      <c r="F97" s="866"/>
      <c r="G97" s="866"/>
      <c r="H97" s="866"/>
      <c r="I97" s="866"/>
      <c r="J97" s="866"/>
      <c r="K97" s="866"/>
      <c r="L97" s="866"/>
      <c r="M97" s="903"/>
      <c r="N97" s="904"/>
      <c r="O97" s="904"/>
      <c r="P97" s="1970"/>
      <c r="Q97" s="843"/>
      <c r="R97" s="710"/>
      <c r="S97" s="710"/>
      <c r="T97" s="710"/>
      <c r="U97" s="710"/>
      <c r="V97" s="710"/>
      <c r="W97" s="710"/>
      <c r="X97" s="710"/>
      <c r="Y97" s="710"/>
      <c r="Z97" s="710"/>
      <c r="AA97" s="710"/>
      <c r="AB97" s="710"/>
      <c r="AC97" s="710"/>
    </row>
    <row r="98" ht="14.75" spans="1:29">
      <c r="A98" s="864"/>
      <c r="B98" s="870">
        <f>B31</f>
        <v>111</v>
      </c>
      <c r="C98" s="876"/>
      <c r="D98" s="876"/>
      <c r="E98" s="876"/>
      <c r="F98" s="876"/>
      <c r="G98" s="892"/>
      <c r="H98" s="892"/>
      <c r="I98" s="892"/>
      <c r="J98" s="892"/>
      <c r="K98" s="932"/>
      <c r="L98" s="933"/>
      <c r="M98" s="934"/>
      <c r="N98" s="810"/>
      <c r="O98" s="810"/>
      <c r="P98" s="1970"/>
      <c r="Q98" s="843"/>
      <c r="R98" s="710"/>
      <c r="S98" s="710"/>
      <c r="T98" s="710"/>
      <c r="U98" s="710"/>
      <c r="V98" s="710"/>
      <c r="W98" s="710"/>
      <c r="X98" s="710"/>
      <c r="Y98" s="710"/>
      <c r="Z98" s="710"/>
      <c r="AA98" s="710"/>
      <c r="AB98" s="710"/>
      <c r="AC98" s="710"/>
    </row>
    <row r="99" ht="14.75" spans="1:29">
      <c r="A99" s="893"/>
      <c r="B99" s="882"/>
      <c r="C99" s="883"/>
      <c r="D99" s="883"/>
      <c r="E99" s="883"/>
      <c r="F99" s="883"/>
      <c r="G99" s="894"/>
      <c r="H99" s="894"/>
      <c r="I99" s="894"/>
      <c r="J99" s="894"/>
      <c r="K99" s="894"/>
      <c r="L99" s="894"/>
      <c r="M99" s="935"/>
      <c r="N99" s="904"/>
      <c r="O99" s="904"/>
      <c r="P99" s="1970"/>
      <c r="Q99" s="843"/>
      <c r="R99" s="710"/>
      <c r="S99" s="710"/>
      <c r="T99" s="710"/>
      <c r="U99" s="710"/>
      <c r="V99" s="710"/>
      <c r="W99" s="710"/>
      <c r="X99" s="710"/>
      <c r="Y99" s="710"/>
      <c r="Z99" s="710"/>
      <c r="AA99" s="710"/>
      <c r="AB99" s="710"/>
      <c r="AC99" s="710"/>
    </row>
    <row r="100" spans="1:29">
      <c r="A100" s="741" t="s">
        <v>1198</v>
      </c>
      <c r="B100" s="742" t="s">
        <v>1487</v>
      </c>
      <c r="C100" s="745"/>
      <c r="D100" s="745"/>
      <c r="E100" s="745"/>
      <c r="F100" s="745"/>
      <c r="G100" s="745"/>
      <c r="H100" s="745"/>
      <c r="I100" s="745"/>
      <c r="J100" s="745"/>
      <c r="K100" s="807"/>
      <c r="L100" s="808"/>
      <c r="M100" s="809"/>
      <c r="N100" s="810"/>
      <c r="O100" s="810"/>
      <c r="P100" s="1970"/>
      <c r="Q100" s="843"/>
      <c r="R100" s="710"/>
      <c r="S100" s="710"/>
      <c r="T100" s="710"/>
      <c r="U100" s="710"/>
      <c r="V100" s="710"/>
      <c r="W100" s="710"/>
      <c r="X100" s="710"/>
      <c r="Y100" s="710"/>
      <c r="Z100" s="710"/>
      <c r="AA100" s="710"/>
      <c r="AB100" s="710"/>
      <c r="AC100" s="710"/>
    </row>
    <row r="101" ht="14.75" spans="1:29">
      <c r="A101" s="864"/>
      <c r="B101" s="869"/>
      <c r="C101" s="874">
        <v>100</v>
      </c>
      <c r="D101" s="874">
        <f t="shared" ref="D101:M101" si="22">C101-$K32</f>
        <v>100</v>
      </c>
      <c r="E101" s="874">
        <f t="shared" si="22"/>
        <v>100</v>
      </c>
      <c r="F101" s="874">
        <f t="shared" si="22"/>
        <v>100</v>
      </c>
      <c r="G101" s="874">
        <f t="shared" si="22"/>
        <v>100</v>
      </c>
      <c r="H101" s="874">
        <f t="shared" si="22"/>
        <v>100</v>
      </c>
      <c r="I101" s="874">
        <f t="shared" si="22"/>
        <v>100</v>
      </c>
      <c r="J101" s="874">
        <f t="shared" si="22"/>
        <v>100</v>
      </c>
      <c r="K101" s="874">
        <f t="shared" si="22"/>
        <v>100</v>
      </c>
      <c r="L101" s="874">
        <f t="shared" si="22"/>
        <v>100</v>
      </c>
      <c r="M101" s="911">
        <f t="shared" si="22"/>
        <v>100</v>
      </c>
      <c r="N101" s="904"/>
      <c r="O101" s="904"/>
      <c r="P101" s="1970"/>
      <c r="Q101" s="843"/>
      <c r="R101" s="710"/>
      <c r="S101" s="710"/>
      <c r="T101" s="710"/>
      <c r="U101" s="710"/>
      <c r="V101" s="710"/>
      <c r="W101" s="710"/>
      <c r="X101" s="710"/>
      <c r="Y101" s="710"/>
      <c r="Z101" s="710"/>
      <c r="AA101" s="710"/>
      <c r="AB101" s="710"/>
      <c r="AC101" s="710"/>
    </row>
    <row r="102" ht="14.75" spans="1:29">
      <c r="A102" s="864"/>
      <c r="B102" s="867" t="s">
        <v>1203</v>
      </c>
      <c r="C102" s="886" t="str">
        <f>C103&amp;"(含)"&amp;"-"&amp;D103</f>
        <v>(含)-</v>
      </c>
      <c r="D102" s="886" t="str">
        <f t="shared" ref="D102:L102" si="23">D103&amp;"(含)"&amp;"-"&amp;E103</f>
        <v>(含)-</v>
      </c>
      <c r="E102" s="886" t="str">
        <f t="shared" si="23"/>
        <v>(含)-</v>
      </c>
      <c r="F102" s="886" t="str">
        <f t="shared" si="23"/>
        <v>(含)-</v>
      </c>
      <c r="G102" s="886" t="str">
        <f t="shared" si="23"/>
        <v>(含)-</v>
      </c>
      <c r="H102" s="886" t="str">
        <f t="shared" si="23"/>
        <v>(含)-</v>
      </c>
      <c r="I102" s="886" t="str">
        <f t="shared" si="23"/>
        <v>(含)-</v>
      </c>
      <c r="J102" s="886" t="str">
        <f t="shared" si="23"/>
        <v>(含)-</v>
      </c>
      <c r="K102" s="886" t="str">
        <f t="shared" si="23"/>
        <v>(含)-</v>
      </c>
      <c r="L102" s="886" t="str">
        <f t="shared" si="23"/>
        <v>(含)-</v>
      </c>
      <c r="M102" s="936" t="str">
        <f>M103&amp;"(含)"&amp;"-"&amp;P103</f>
        <v>(含)-</v>
      </c>
      <c r="N102" s="804"/>
      <c r="O102" s="804"/>
      <c r="P102" s="1970"/>
      <c r="Q102" s="843"/>
      <c r="R102" s="710"/>
      <c r="S102" s="710"/>
      <c r="T102" s="710"/>
      <c r="U102" s="710"/>
      <c r="V102" s="710"/>
      <c r="W102" s="710"/>
      <c r="X102" s="710"/>
      <c r="Y102" s="710"/>
      <c r="Z102" s="710"/>
      <c r="AA102" s="710"/>
      <c r="AB102" s="710"/>
      <c r="AC102" s="710"/>
    </row>
    <row r="103" s="570" customFormat="1" spans="1:29">
      <c r="A103" s="895"/>
      <c r="B103" s="896"/>
      <c r="C103" s="897"/>
      <c r="D103" s="897"/>
      <c r="E103" s="897"/>
      <c r="F103" s="897"/>
      <c r="G103" s="897"/>
      <c r="H103" s="897"/>
      <c r="I103" s="897"/>
      <c r="J103" s="937"/>
      <c r="K103" s="937"/>
      <c r="L103" s="938"/>
      <c r="M103" s="939"/>
      <c r="N103" s="914"/>
      <c r="O103" s="914"/>
      <c r="P103" s="1975"/>
      <c r="Q103" s="947"/>
      <c r="R103" s="948"/>
      <c r="S103" s="948"/>
      <c r="T103" s="948"/>
      <c r="U103" s="948"/>
      <c r="V103" s="948"/>
      <c r="W103" s="948"/>
      <c r="X103" s="948"/>
      <c r="Y103" s="948"/>
      <c r="Z103" s="948"/>
      <c r="AA103" s="948"/>
      <c r="AB103" s="948"/>
      <c r="AC103" s="948"/>
    </row>
    <row r="104" s="570" customFormat="1" ht="14.75" spans="1:29">
      <c r="A104" s="875"/>
      <c r="B104" s="869"/>
      <c r="C104" s="878"/>
      <c r="D104" s="866"/>
      <c r="E104" s="866"/>
      <c r="F104" s="866"/>
      <c r="G104" s="866"/>
      <c r="H104" s="866"/>
      <c r="I104" s="866"/>
      <c r="J104" s="866"/>
      <c r="K104" s="866"/>
      <c r="L104" s="866"/>
      <c r="M104" s="903"/>
      <c r="N104" s="904"/>
      <c r="O104" s="904"/>
      <c r="P104" s="1975"/>
      <c r="Q104" s="947"/>
      <c r="R104" s="948"/>
      <c r="S104" s="948"/>
      <c r="T104" s="948"/>
      <c r="U104" s="948"/>
      <c r="V104" s="948"/>
      <c r="W104" s="948"/>
      <c r="X104" s="948"/>
      <c r="Y104" s="948"/>
      <c r="Z104" s="948"/>
      <c r="AA104" s="948"/>
      <c r="AB104" s="948"/>
      <c r="AC104" s="948"/>
    </row>
    <row r="105" ht="14.75" spans="1:29">
      <c r="A105" s="898"/>
      <c r="B105" s="867" t="s">
        <v>1204</v>
      </c>
      <c r="C105" s="876"/>
      <c r="D105" s="876"/>
      <c r="E105" s="868"/>
      <c r="F105" s="868"/>
      <c r="G105" s="868"/>
      <c r="H105" s="868"/>
      <c r="I105" s="868"/>
      <c r="J105" s="868"/>
      <c r="K105" s="905"/>
      <c r="L105" s="906"/>
      <c r="M105" s="907"/>
      <c r="N105" s="810"/>
      <c r="O105" s="810"/>
      <c r="P105" s="1970"/>
      <c r="Q105" s="843"/>
      <c r="R105" s="710"/>
      <c r="S105" s="710"/>
      <c r="T105" s="710"/>
      <c r="U105" s="710"/>
      <c r="V105" s="710"/>
      <c r="W105" s="710"/>
      <c r="X105" s="710"/>
      <c r="Y105" s="710"/>
      <c r="Z105" s="710"/>
      <c r="AA105" s="710"/>
      <c r="AB105" s="710"/>
      <c r="AC105" s="710"/>
    </row>
    <row r="106" ht="14.75" spans="1:29">
      <c r="A106" s="864"/>
      <c r="B106" s="869"/>
      <c r="C106" s="874">
        <v>100</v>
      </c>
      <c r="D106" s="874">
        <f t="shared" ref="D106:M106" si="24">C106-$K34</f>
        <v>100</v>
      </c>
      <c r="E106" s="874">
        <f t="shared" si="24"/>
        <v>100</v>
      </c>
      <c r="F106" s="874">
        <f t="shared" si="24"/>
        <v>100</v>
      </c>
      <c r="G106" s="874">
        <f t="shared" si="24"/>
        <v>100</v>
      </c>
      <c r="H106" s="874">
        <f t="shared" si="24"/>
        <v>100</v>
      </c>
      <c r="I106" s="874">
        <f t="shared" si="24"/>
        <v>100</v>
      </c>
      <c r="J106" s="874">
        <f t="shared" si="24"/>
        <v>100</v>
      </c>
      <c r="K106" s="874">
        <f t="shared" si="24"/>
        <v>100</v>
      </c>
      <c r="L106" s="874">
        <f t="shared" si="24"/>
        <v>100</v>
      </c>
      <c r="M106" s="911">
        <f t="shared" si="24"/>
        <v>100</v>
      </c>
      <c r="N106" s="904"/>
      <c r="O106" s="904"/>
      <c r="P106" s="1970"/>
      <c r="Q106" s="843"/>
      <c r="R106" s="710"/>
      <c r="S106" s="710"/>
      <c r="T106" s="710"/>
      <c r="U106" s="710"/>
      <c r="V106" s="710"/>
      <c r="W106" s="710"/>
      <c r="X106" s="710"/>
      <c r="Y106" s="710"/>
      <c r="Z106" s="710"/>
      <c r="AA106" s="710"/>
      <c r="AB106" s="710"/>
      <c r="AC106" s="710"/>
    </row>
    <row r="107" ht="14.75" spans="1:29">
      <c r="A107" s="898"/>
      <c r="B107" s="867" t="s">
        <v>1205</v>
      </c>
      <c r="C107" s="876"/>
      <c r="D107" s="876"/>
      <c r="E107" s="876"/>
      <c r="F107" s="868"/>
      <c r="G107" s="868"/>
      <c r="H107" s="868"/>
      <c r="I107" s="868"/>
      <c r="J107" s="868"/>
      <c r="K107" s="905"/>
      <c r="L107" s="906"/>
      <c r="M107" s="907"/>
      <c r="N107" s="810"/>
      <c r="O107" s="810"/>
      <c r="P107" s="1970"/>
      <c r="Q107" s="843"/>
      <c r="R107" s="710"/>
      <c r="S107" s="710"/>
      <c r="T107" s="710"/>
      <c r="U107" s="710"/>
      <c r="V107" s="710"/>
      <c r="W107" s="710"/>
      <c r="X107" s="710"/>
      <c r="Y107" s="710"/>
      <c r="Z107" s="710"/>
      <c r="AA107" s="710"/>
      <c r="AB107" s="710"/>
      <c r="AC107" s="710"/>
    </row>
    <row r="108" ht="14.75" spans="1:29">
      <c r="A108" s="864"/>
      <c r="B108" s="869"/>
      <c r="C108" s="874">
        <v>100</v>
      </c>
      <c r="D108" s="874">
        <f t="shared" ref="D108:M108" si="25">C108-$K35</f>
        <v>100</v>
      </c>
      <c r="E108" s="874">
        <f t="shared" si="25"/>
        <v>100</v>
      </c>
      <c r="F108" s="874">
        <f t="shared" si="25"/>
        <v>100</v>
      </c>
      <c r="G108" s="874">
        <f t="shared" si="25"/>
        <v>100</v>
      </c>
      <c r="H108" s="874">
        <f t="shared" si="25"/>
        <v>100</v>
      </c>
      <c r="I108" s="874">
        <f t="shared" si="25"/>
        <v>100</v>
      </c>
      <c r="J108" s="874">
        <f t="shared" si="25"/>
        <v>100</v>
      </c>
      <c r="K108" s="874">
        <f t="shared" si="25"/>
        <v>100</v>
      </c>
      <c r="L108" s="874">
        <f t="shared" si="25"/>
        <v>100</v>
      </c>
      <c r="M108" s="911">
        <f t="shared" si="25"/>
        <v>100</v>
      </c>
      <c r="N108" s="904"/>
      <c r="O108" s="904"/>
      <c r="P108" s="1970"/>
      <c r="Q108" s="843"/>
      <c r="R108" s="710"/>
      <c r="S108" s="710"/>
      <c r="T108" s="710"/>
      <c r="U108" s="710"/>
      <c r="V108" s="710"/>
      <c r="W108" s="710"/>
      <c r="X108" s="710"/>
      <c r="Y108" s="710"/>
      <c r="Z108" s="710"/>
      <c r="AA108" s="710"/>
      <c r="AB108" s="710"/>
      <c r="AC108" s="710"/>
    </row>
    <row r="109" ht="14.75" spans="1:29">
      <c r="A109" s="898"/>
      <c r="B109" s="867" t="s">
        <v>636</v>
      </c>
      <c r="C109" s="886" t="str">
        <f>C110&amp;"(含)"&amp;"-"&amp;D110</f>
        <v>0.5(含)-0.6</v>
      </c>
      <c r="D109" s="886" t="str">
        <f>D110&amp;"(含)"&amp;"-"&amp;E110</f>
        <v>0.6(含)-0.7</v>
      </c>
      <c r="E109" s="886" t="str">
        <f>E110&amp;"(含)"&amp;"-"&amp;F110</f>
        <v>0.7(含)-0.8</v>
      </c>
      <c r="F109" s="886" t="str">
        <f>F110&amp;"(含)"&amp;"-"&amp;G110</f>
        <v>0.8(含)-0.9</v>
      </c>
      <c r="G109" s="886" t="str">
        <f>G110&amp;"(含)"&amp;"-"&amp;ROUND(H110,0)&amp;"(含)"</f>
        <v>0.9(含)-1(含)</v>
      </c>
      <c r="H109" s="886"/>
      <c r="I109" s="868"/>
      <c r="J109" s="868"/>
      <c r="K109" s="905"/>
      <c r="L109" s="906"/>
      <c r="M109" s="907"/>
      <c r="N109" s="810"/>
      <c r="O109" s="810"/>
      <c r="P109" s="1970"/>
      <c r="Q109" s="843"/>
      <c r="R109" s="710"/>
      <c r="S109" s="710"/>
      <c r="T109" s="710"/>
      <c r="U109" s="710"/>
      <c r="V109" s="710"/>
      <c r="W109" s="710"/>
      <c r="X109" s="710"/>
      <c r="Y109" s="710"/>
      <c r="Z109" s="710"/>
      <c r="AA109" s="710"/>
      <c r="AB109" s="710"/>
      <c r="AC109" s="710"/>
    </row>
    <row r="110" spans="1:29">
      <c r="A110" s="898"/>
      <c r="B110" s="870"/>
      <c r="C110" s="899">
        <v>0.5</v>
      </c>
      <c r="D110" s="899">
        <v>0.6</v>
      </c>
      <c r="E110" s="899">
        <v>0.7</v>
      </c>
      <c r="F110" s="899">
        <v>0.8</v>
      </c>
      <c r="G110" s="899">
        <v>0.9</v>
      </c>
      <c r="H110" s="899">
        <v>1.0001</v>
      </c>
      <c r="I110" s="940"/>
      <c r="J110" s="940"/>
      <c r="K110" s="941"/>
      <c r="L110" s="942"/>
      <c r="M110" s="943"/>
      <c r="N110" s="810"/>
      <c r="O110" s="810"/>
      <c r="P110" s="1970"/>
      <c r="Q110" s="843"/>
      <c r="R110" s="710"/>
      <c r="S110" s="710"/>
      <c r="T110" s="710"/>
      <c r="U110" s="710"/>
      <c r="V110" s="710"/>
      <c r="W110" s="710"/>
      <c r="X110" s="710"/>
      <c r="Y110" s="710"/>
      <c r="Z110" s="710"/>
      <c r="AA110" s="710"/>
      <c r="AB110" s="710"/>
      <c r="AC110" s="710"/>
    </row>
    <row r="111" ht="14.75" spans="1:29">
      <c r="A111" s="864"/>
      <c r="B111" s="869"/>
      <c r="C111" s="890">
        <v>100</v>
      </c>
      <c r="D111" s="874">
        <f>C111+$K36</f>
        <v>100</v>
      </c>
      <c r="E111" s="874">
        <f t="shared" ref="E111:M111" si="26">D111+$K36</f>
        <v>100</v>
      </c>
      <c r="F111" s="874">
        <f t="shared" si="26"/>
        <v>100</v>
      </c>
      <c r="G111" s="874">
        <f t="shared" si="26"/>
        <v>100</v>
      </c>
      <c r="H111" s="874">
        <f t="shared" si="26"/>
        <v>100</v>
      </c>
      <c r="I111" s="874">
        <f t="shared" si="26"/>
        <v>100</v>
      </c>
      <c r="J111" s="874">
        <f t="shared" si="26"/>
        <v>100</v>
      </c>
      <c r="K111" s="874">
        <f t="shared" si="26"/>
        <v>100</v>
      </c>
      <c r="L111" s="874">
        <f t="shared" si="26"/>
        <v>100</v>
      </c>
      <c r="M111" s="874">
        <f t="shared" si="26"/>
        <v>100</v>
      </c>
      <c r="N111" s="904"/>
      <c r="O111" s="904"/>
      <c r="P111" s="1970"/>
      <c r="Q111" s="843"/>
      <c r="R111" s="710"/>
      <c r="S111" s="710"/>
      <c r="T111" s="710"/>
      <c r="U111" s="710"/>
      <c r="V111" s="710"/>
      <c r="W111" s="710"/>
      <c r="X111" s="710"/>
      <c r="Y111" s="710"/>
      <c r="Z111" s="710"/>
      <c r="AA111" s="710"/>
      <c r="AB111" s="710"/>
      <c r="AC111" s="710"/>
    </row>
    <row r="112" s="570" customFormat="1" ht="14.75" spans="1:29">
      <c r="A112" s="895"/>
      <c r="B112" s="867" t="s">
        <v>1208</v>
      </c>
      <c r="C112" s="876"/>
      <c r="D112" s="876"/>
      <c r="E112" s="876"/>
      <c r="F112" s="876"/>
      <c r="G112" s="876"/>
      <c r="H112" s="868"/>
      <c r="I112" s="868"/>
      <c r="J112" s="868"/>
      <c r="K112" s="905"/>
      <c r="L112" s="906"/>
      <c r="M112" s="907"/>
      <c r="N112" s="914"/>
      <c r="O112" s="914"/>
      <c r="P112" s="1975"/>
      <c r="Q112" s="947"/>
      <c r="R112" s="948"/>
      <c r="S112" s="948"/>
      <c r="T112" s="948"/>
      <c r="U112" s="948"/>
      <c r="V112" s="948"/>
      <c r="W112" s="948"/>
      <c r="X112" s="948"/>
      <c r="Y112" s="948"/>
      <c r="Z112" s="948"/>
      <c r="AA112" s="948"/>
      <c r="AB112" s="948"/>
      <c r="AC112" s="948"/>
    </row>
    <row r="113" s="570" customFormat="1" ht="14.75" spans="1:29">
      <c r="A113" s="875"/>
      <c r="B113" s="869"/>
      <c r="C113" s="874">
        <v>100</v>
      </c>
      <c r="D113" s="874">
        <f>C113-$K37</f>
        <v>100</v>
      </c>
      <c r="E113" s="874">
        <f t="shared" ref="E113:M113" si="27">D113-$K37</f>
        <v>100</v>
      </c>
      <c r="F113" s="874">
        <f t="shared" si="27"/>
        <v>100</v>
      </c>
      <c r="G113" s="874">
        <f t="shared" si="27"/>
        <v>100</v>
      </c>
      <c r="H113" s="874">
        <f t="shared" si="27"/>
        <v>100</v>
      </c>
      <c r="I113" s="874">
        <f t="shared" si="27"/>
        <v>100</v>
      </c>
      <c r="J113" s="874">
        <f t="shared" si="27"/>
        <v>100</v>
      </c>
      <c r="K113" s="874">
        <f t="shared" si="27"/>
        <v>100</v>
      </c>
      <c r="L113" s="874">
        <f t="shared" si="27"/>
        <v>100</v>
      </c>
      <c r="M113" s="874">
        <f t="shared" si="27"/>
        <v>100</v>
      </c>
      <c r="N113" s="914"/>
      <c r="O113" s="914"/>
      <c r="P113" s="1975"/>
      <c r="Q113" s="947"/>
      <c r="R113" s="948"/>
      <c r="S113" s="948"/>
      <c r="T113" s="948"/>
      <c r="U113" s="948"/>
      <c r="V113" s="948"/>
      <c r="W113" s="948"/>
      <c r="X113" s="948"/>
      <c r="Y113" s="948"/>
      <c r="Z113" s="948"/>
      <c r="AA113" s="948"/>
      <c r="AB113" s="948"/>
      <c r="AC113" s="948"/>
    </row>
    <row r="114" ht="14.75" spans="1:29">
      <c r="A114" s="898"/>
      <c r="B114" s="867" t="s">
        <v>1488</v>
      </c>
      <c r="C114" s="876"/>
      <c r="D114" s="876"/>
      <c r="E114" s="868"/>
      <c r="F114" s="868"/>
      <c r="G114" s="868"/>
      <c r="H114" s="868"/>
      <c r="I114" s="868"/>
      <c r="J114" s="868"/>
      <c r="K114" s="905"/>
      <c r="L114" s="906"/>
      <c r="M114" s="907"/>
      <c r="N114" s="810"/>
      <c r="O114" s="810"/>
      <c r="P114" s="1970"/>
      <c r="Q114" s="843"/>
      <c r="R114" s="710"/>
      <c r="S114" s="710"/>
      <c r="T114" s="710"/>
      <c r="U114" s="710"/>
      <c r="V114" s="710"/>
      <c r="W114" s="710"/>
      <c r="X114" s="710"/>
      <c r="Y114" s="710"/>
      <c r="Z114" s="710"/>
      <c r="AA114" s="710"/>
      <c r="AB114" s="710"/>
      <c r="AC114" s="710"/>
    </row>
    <row r="115" ht="14.75" spans="1:29">
      <c r="A115" s="864"/>
      <c r="B115" s="869"/>
      <c r="C115" s="874">
        <v>100</v>
      </c>
      <c r="D115" s="874">
        <f t="shared" ref="D115:M115" si="28">C115-$K38</f>
        <v>100</v>
      </c>
      <c r="E115" s="874">
        <f t="shared" si="28"/>
        <v>100</v>
      </c>
      <c r="F115" s="874">
        <f t="shared" si="28"/>
        <v>100</v>
      </c>
      <c r="G115" s="874">
        <f t="shared" si="28"/>
        <v>100</v>
      </c>
      <c r="H115" s="874">
        <f t="shared" si="28"/>
        <v>100</v>
      </c>
      <c r="I115" s="874">
        <f t="shared" si="28"/>
        <v>100</v>
      </c>
      <c r="J115" s="874">
        <f t="shared" si="28"/>
        <v>100</v>
      </c>
      <c r="K115" s="874">
        <f t="shared" si="28"/>
        <v>100</v>
      </c>
      <c r="L115" s="874">
        <f t="shared" si="28"/>
        <v>100</v>
      </c>
      <c r="M115" s="911">
        <f t="shared" si="28"/>
        <v>100</v>
      </c>
      <c r="N115" s="904"/>
      <c r="O115" s="904"/>
      <c r="P115" s="1970"/>
      <c r="Q115" s="843"/>
      <c r="R115" s="710"/>
      <c r="S115" s="710"/>
      <c r="T115" s="710"/>
      <c r="U115" s="710"/>
      <c r="V115" s="710"/>
      <c r="W115" s="710"/>
      <c r="X115" s="710"/>
      <c r="Y115" s="710"/>
      <c r="Z115" s="710"/>
      <c r="AA115" s="710"/>
      <c r="AB115" s="710"/>
      <c r="AC115" s="710"/>
    </row>
    <row r="116" ht="14.75" spans="1:29">
      <c r="A116" s="898"/>
      <c r="B116" s="867" t="s">
        <v>1209</v>
      </c>
      <c r="C116" s="876"/>
      <c r="D116" s="876"/>
      <c r="E116" s="876"/>
      <c r="F116" s="876"/>
      <c r="G116" s="876"/>
      <c r="H116" s="868"/>
      <c r="I116" s="868"/>
      <c r="J116" s="868"/>
      <c r="K116" s="905"/>
      <c r="L116" s="906"/>
      <c r="M116" s="907"/>
      <c r="N116" s="810"/>
      <c r="O116" s="810"/>
      <c r="P116" s="1970"/>
      <c r="Q116" s="843"/>
      <c r="R116" s="710"/>
      <c r="S116" s="710"/>
      <c r="T116" s="710"/>
      <c r="U116" s="710"/>
      <c r="V116" s="710"/>
      <c r="W116" s="710"/>
      <c r="X116" s="710"/>
      <c r="Y116" s="710"/>
      <c r="Z116" s="710"/>
      <c r="AA116" s="710"/>
      <c r="AB116" s="710"/>
      <c r="AC116" s="710"/>
    </row>
    <row r="117" ht="14.75" spans="1:29">
      <c r="A117" s="864"/>
      <c r="B117" s="869"/>
      <c r="C117" s="874">
        <v>100</v>
      </c>
      <c r="D117" s="874">
        <f>C117-$K39</f>
        <v>100</v>
      </c>
      <c r="E117" s="874">
        <f>D117-$K39</f>
        <v>100</v>
      </c>
      <c r="F117" s="874">
        <f>E117-$K39</f>
        <v>100</v>
      </c>
      <c r="G117" s="874">
        <f>F117-$K39</f>
        <v>100</v>
      </c>
      <c r="H117" s="874"/>
      <c r="I117" s="874"/>
      <c r="J117" s="874"/>
      <c r="K117" s="874"/>
      <c r="L117" s="874"/>
      <c r="M117" s="911"/>
      <c r="N117" s="904"/>
      <c r="O117" s="904"/>
      <c r="P117" s="1970"/>
      <c r="Q117" s="843"/>
      <c r="R117" s="710"/>
      <c r="S117" s="710"/>
      <c r="T117" s="710"/>
      <c r="U117" s="710"/>
      <c r="V117" s="710"/>
      <c r="W117" s="710"/>
      <c r="X117" s="710"/>
      <c r="Y117" s="710"/>
      <c r="Z117" s="710"/>
      <c r="AA117" s="710"/>
      <c r="AB117" s="710"/>
      <c r="AC117" s="710"/>
    </row>
    <row r="118" ht="14.75" spans="1:29">
      <c r="A118" s="898"/>
      <c r="B118" s="867" t="s">
        <v>1236</v>
      </c>
      <c r="C118" s="1974"/>
      <c r="D118" s="1974"/>
      <c r="E118" s="1974"/>
      <c r="F118" s="1974"/>
      <c r="G118" s="1974"/>
      <c r="H118" s="877"/>
      <c r="I118" s="877"/>
      <c r="J118" s="877"/>
      <c r="K118" s="877"/>
      <c r="L118" s="912"/>
      <c r="M118" s="913"/>
      <c r="N118" s="810"/>
      <c r="O118" s="810"/>
      <c r="P118" s="1970"/>
      <c r="Q118" s="843"/>
      <c r="R118" s="710"/>
      <c r="S118" s="710"/>
      <c r="T118" s="710"/>
      <c r="U118" s="710"/>
      <c r="V118" s="710"/>
      <c r="W118" s="710"/>
      <c r="X118" s="710"/>
      <c r="Y118" s="710"/>
      <c r="Z118" s="710"/>
      <c r="AA118" s="710"/>
      <c r="AB118" s="710"/>
      <c r="AC118" s="710"/>
    </row>
    <row r="119" ht="14.75" spans="1:29">
      <c r="A119" s="864"/>
      <c r="B119" s="869"/>
      <c r="C119" s="878"/>
      <c r="D119" s="866"/>
      <c r="E119" s="866"/>
      <c r="F119" s="866"/>
      <c r="G119" s="866"/>
      <c r="H119" s="866"/>
      <c r="I119" s="866"/>
      <c r="J119" s="866"/>
      <c r="K119" s="866"/>
      <c r="L119" s="866"/>
      <c r="M119" s="903"/>
      <c r="N119" s="904"/>
      <c r="O119" s="904"/>
      <c r="P119" s="1970"/>
      <c r="Q119" s="843"/>
      <c r="R119" s="710"/>
      <c r="S119" s="710"/>
      <c r="T119" s="710"/>
      <c r="U119" s="710"/>
      <c r="V119" s="710"/>
      <c r="W119" s="710"/>
      <c r="X119" s="710"/>
      <c r="Y119" s="710"/>
      <c r="Z119" s="710"/>
      <c r="AA119" s="710"/>
      <c r="AB119" s="710"/>
      <c r="AC119" s="710"/>
    </row>
    <row r="120" s="570" customFormat="1" ht="14.75" spans="1:29">
      <c r="A120" s="895"/>
      <c r="B120" s="867" t="s">
        <v>1490</v>
      </c>
      <c r="C120" s="868"/>
      <c r="D120" s="868"/>
      <c r="E120" s="868"/>
      <c r="F120" s="868"/>
      <c r="G120" s="877"/>
      <c r="H120" s="877"/>
      <c r="I120" s="877"/>
      <c r="J120" s="877"/>
      <c r="K120" s="877"/>
      <c r="L120" s="912"/>
      <c r="M120" s="913"/>
      <c r="N120" s="914"/>
      <c r="O120" s="914"/>
      <c r="P120" s="1975"/>
      <c r="Q120" s="947"/>
      <c r="R120" s="948"/>
      <c r="S120" s="948"/>
      <c r="T120" s="948"/>
      <c r="U120" s="948"/>
      <c r="V120" s="948"/>
      <c r="W120" s="948"/>
      <c r="X120" s="948"/>
      <c r="Y120" s="948"/>
      <c r="Z120" s="948"/>
      <c r="AA120" s="948"/>
      <c r="AB120" s="948"/>
      <c r="AC120" s="948"/>
    </row>
    <row r="121" s="570" customFormat="1" ht="14.75" spans="1:29">
      <c r="A121" s="875"/>
      <c r="B121" s="865"/>
      <c r="C121" s="890">
        <v>100</v>
      </c>
      <c r="D121" s="874">
        <f>C121-$K41</f>
        <v>100</v>
      </c>
      <c r="E121" s="874">
        <f t="shared" ref="E121:M121" si="29">D121-$K41</f>
        <v>100</v>
      </c>
      <c r="F121" s="874">
        <f t="shared" si="29"/>
        <v>100</v>
      </c>
      <c r="G121" s="874">
        <f t="shared" si="29"/>
        <v>100</v>
      </c>
      <c r="H121" s="874">
        <f t="shared" si="29"/>
        <v>100</v>
      </c>
      <c r="I121" s="874">
        <f t="shared" si="29"/>
        <v>100</v>
      </c>
      <c r="J121" s="874">
        <f t="shared" si="29"/>
        <v>100</v>
      </c>
      <c r="K121" s="874">
        <f t="shared" si="29"/>
        <v>100</v>
      </c>
      <c r="L121" s="874">
        <f t="shared" si="29"/>
        <v>100</v>
      </c>
      <c r="M121" s="911">
        <f t="shared" si="29"/>
        <v>100</v>
      </c>
      <c r="N121" s="914"/>
      <c r="O121" s="914"/>
      <c r="P121" s="1975"/>
      <c r="Q121" s="947"/>
      <c r="R121" s="948"/>
      <c r="S121" s="948"/>
      <c r="T121" s="948"/>
      <c r="U121" s="948"/>
      <c r="V121" s="948"/>
      <c r="W121" s="948"/>
      <c r="X121" s="948"/>
      <c r="Y121" s="948"/>
      <c r="Z121" s="948"/>
      <c r="AA121" s="948"/>
      <c r="AB121" s="948"/>
      <c r="AC121" s="948"/>
    </row>
    <row r="122" ht="14.75" spans="1:29">
      <c r="A122" s="898"/>
      <c r="B122" s="867" t="s">
        <v>1211</v>
      </c>
      <c r="C122" s="876"/>
      <c r="D122" s="876"/>
      <c r="E122" s="876"/>
      <c r="F122" s="868"/>
      <c r="G122" s="868"/>
      <c r="H122" s="868"/>
      <c r="I122" s="868"/>
      <c r="J122" s="868"/>
      <c r="K122" s="905"/>
      <c r="L122" s="906"/>
      <c r="M122" s="907"/>
      <c r="N122" s="810"/>
      <c r="O122" s="810"/>
      <c r="P122" s="1970"/>
      <c r="Q122" s="843"/>
      <c r="R122" s="710"/>
      <c r="S122" s="710"/>
      <c r="T122" s="710"/>
      <c r="U122" s="710"/>
      <c r="V122" s="710"/>
      <c r="W122" s="710"/>
      <c r="X122" s="710"/>
      <c r="Y122" s="710"/>
      <c r="Z122" s="710"/>
      <c r="AA122" s="710"/>
      <c r="AB122" s="710"/>
      <c r="AC122" s="710"/>
    </row>
    <row r="123" ht="14.75" spans="1:29">
      <c r="A123" s="864"/>
      <c r="B123" s="869"/>
      <c r="C123" s="874">
        <v>100</v>
      </c>
      <c r="D123" s="874">
        <f t="shared" ref="D123:M123" si="30">C123-$K42</f>
        <v>100</v>
      </c>
      <c r="E123" s="874">
        <f t="shared" si="30"/>
        <v>100</v>
      </c>
      <c r="F123" s="874">
        <f t="shared" si="30"/>
        <v>100</v>
      </c>
      <c r="G123" s="874">
        <f t="shared" si="30"/>
        <v>100</v>
      </c>
      <c r="H123" s="874">
        <f t="shared" si="30"/>
        <v>100</v>
      </c>
      <c r="I123" s="874">
        <f t="shared" si="30"/>
        <v>100</v>
      </c>
      <c r="J123" s="874">
        <f t="shared" si="30"/>
        <v>100</v>
      </c>
      <c r="K123" s="874">
        <f t="shared" si="30"/>
        <v>100</v>
      </c>
      <c r="L123" s="874">
        <f t="shared" si="30"/>
        <v>100</v>
      </c>
      <c r="M123" s="911">
        <f t="shared" si="30"/>
        <v>100</v>
      </c>
      <c r="N123" s="904"/>
      <c r="O123" s="904"/>
      <c r="P123" s="1970"/>
      <c r="Q123" s="843"/>
      <c r="R123" s="710"/>
      <c r="S123" s="710"/>
      <c r="T123" s="710"/>
      <c r="U123" s="710"/>
      <c r="V123" s="710"/>
      <c r="W123" s="710"/>
      <c r="X123" s="710"/>
      <c r="Y123" s="710"/>
      <c r="Z123" s="710"/>
      <c r="AA123" s="710"/>
      <c r="AB123" s="710"/>
      <c r="AC123" s="710"/>
    </row>
    <row r="124" ht="28.75" spans="1:29">
      <c r="A124" s="898"/>
      <c r="B124" s="867" t="s">
        <v>1213</v>
      </c>
      <c r="C124" s="886" t="s">
        <v>1225</v>
      </c>
      <c r="D124" s="886" t="s">
        <v>1226</v>
      </c>
      <c r="E124" s="886" t="s">
        <v>1227</v>
      </c>
      <c r="F124" s="886" t="s">
        <v>1228</v>
      </c>
      <c r="G124" s="886" t="s">
        <v>1229</v>
      </c>
      <c r="H124" s="887"/>
      <c r="I124" s="887"/>
      <c r="J124" s="887"/>
      <c r="K124" s="926"/>
      <c r="L124" s="927"/>
      <c r="M124" s="928"/>
      <c r="N124" s="810"/>
      <c r="O124" s="810"/>
      <c r="P124" s="1975"/>
      <c r="Q124" s="843"/>
      <c r="R124" s="710"/>
      <c r="S124" s="710"/>
      <c r="T124" s="710"/>
      <c r="U124" s="710"/>
      <c r="V124" s="710"/>
      <c r="W124" s="710"/>
      <c r="X124" s="710"/>
      <c r="Y124" s="710"/>
      <c r="Z124" s="710"/>
      <c r="AA124" s="710"/>
      <c r="AB124" s="710"/>
      <c r="AC124" s="710"/>
    </row>
    <row r="125" ht="14.75" spans="1:29">
      <c r="A125" s="864"/>
      <c r="B125" s="869"/>
      <c r="C125" s="874">
        <v>100</v>
      </c>
      <c r="D125" s="874">
        <f>C125-$K43</f>
        <v>100</v>
      </c>
      <c r="E125" s="874">
        <f>D125-$K43</f>
        <v>100</v>
      </c>
      <c r="F125" s="874">
        <f>E125-$K43</f>
        <v>100</v>
      </c>
      <c r="G125" s="874">
        <f>F125-$K43</f>
        <v>100</v>
      </c>
      <c r="H125" s="874"/>
      <c r="I125" s="874"/>
      <c r="J125" s="874"/>
      <c r="K125" s="874"/>
      <c r="L125" s="874"/>
      <c r="M125" s="911"/>
      <c r="N125" s="904"/>
      <c r="O125" s="904"/>
      <c r="P125" s="1970"/>
      <c r="Q125" s="843"/>
      <c r="R125" s="710"/>
      <c r="S125" s="710"/>
      <c r="T125" s="710"/>
      <c r="U125" s="710"/>
      <c r="V125" s="710"/>
      <c r="W125" s="710"/>
      <c r="X125" s="710"/>
      <c r="Y125" s="710"/>
      <c r="Z125" s="710"/>
      <c r="AA125" s="710"/>
      <c r="AB125" s="710"/>
      <c r="AC125" s="710"/>
    </row>
    <row r="126" s="570" customFormat="1" ht="14.75" spans="1:29">
      <c r="A126" s="895"/>
      <c r="B126" s="867">
        <f>B44</f>
        <v>111</v>
      </c>
      <c r="C126" s="876"/>
      <c r="D126" s="876"/>
      <c r="E126" s="876"/>
      <c r="F126" s="876"/>
      <c r="G126" s="876"/>
      <c r="H126" s="877"/>
      <c r="I126" s="877"/>
      <c r="J126" s="877"/>
      <c r="K126" s="877"/>
      <c r="L126" s="912"/>
      <c r="M126" s="913"/>
      <c r="N126" s="914"/>
      <c r="O126" s="914"/>
      <c r="P126" s="1975"/>
      <c r="Q126" s="947"/>
      <c r="R126" s="948"/>
      <c r="S126" s="948"/>
      <c r="T126" s="948"/>
      <c r="U126" s="948"/>
      <c r="V126" s="948"/>
      <c r="W126" s="948"/>
      <c r="X126" s="948"/>
      <c r="Y126" s="948"/>
      <c r="Z126" s="948"/>
      <c r="AA126" s="948"/>
      <c r="AB126" s="948"/>
      <c r="AC126" s="948"/>
    </row>
    <row r="127" s="570" customFormat="1" ht="14.75" spans="1:29">
      <c r="A127" s="875"/>
      <c r="B127" s="869"/>
      <c r="C127" s="878"/>
      <c r="D127" s="866"/>
      <c r="E127" s="866"/>
      <c r="F127" s="866"/>
      <c r="G127" s="878"/>
      <c r="H127" s="879"/>
      <c r="I127" s="879"/>
      <c r="J127" s="879"/>
      <c r="K127" s="879"/>
      <c r="L127" s="879"/>
      <c r="M127" s="917"/>
      <c r="N127" s="914"/>
      <c r="O127" s="914"/>
      <c r="P127" s="1975"/>
      <c r="Q127" s="947"/>
      <c r="R127" s="948"/>
      <c r="S127" s="948"/>
      <c r="T127" s="948"/>
      <c r="U127" s="948"/>
      <c r="V127" s="948"/>
      <c r="W127" s="948"/>
      <c r="X127" s="948"/>
      <c r="Y127" s="948"/>
      <c r="Z127" s="948"/>
      <c r="AA127" s="948"/>
      <c r="AB127" s="948"/>
      <c r="AC127" s="948"/>
    </row>
    <row r="128" ht="14.75" spans="1:29">
      <c r="A128" s="898"/>
      <c r="B128" s="867">
        <f>B45</f>
        <v>111</v>
      </c>
      <c r="C128" s="876"/>
      <c r="D128" s="876"/>
      <c r="E128" s="876"/>
      <c r="F128" s="876"/>
      <c r="G128" s="868"/>
      <c r="H128" s="868"/>
      <c r="I128" s="868"/>
      <c r="J128" s="868"/>
      <c r="K128" s="905"/>
      <c r="L128" s="906"/>
      <c r="M128" s="907"/>
      <c r="N128" s="810"/>
      <c r="O128" s="810"/>
      <c r="P128" s="1970"/>
      <c r="Q128" s="843"/>
      <c r="R128" s="710"/>
      <c r="S128" s="710"/>
      <c r="T128" s="710"/>
      <c r="U128" s="710"/>
      <c r="V128" s="710"/>
      <c r="W128" s="710"/>
      <c r="X128" s="710"/>
      <c r="Y128" s="710"/>
      <c r="Z128" s="710"/>
      <c r="AA128" s="710"/>
      <c r="AB128" s="710"/>
      <c r="AC128" s="710"/>
    </row>
    <row r="129" ht="14.75" spans="1:29">
      <c r="A129" s="864"/>
      <c r="B129" s="869"/>
      <c r="C129" s="878"/>
      <c r="D129" s="866"/>
      <c r="E129" s="866"/>
      <c r="F129" s="866"/>
      <c r="G129" s="866"/>
      <c r="H129" s="866"/>
      <c r="I129" s="866"/>
      <c r="J129" s="866"/>
      <c r="K129" s="866"/>
      <c r="L129" s="866"/>
      <c r="M129" s="903"/>
      <c r="N129" s="904"/>
      <c r="O129" s="904"/>
      <c r="P129" s="1970"/>
      <c r="Q129" s="843"/>
      <c r="R129" s="710"/>
      <c r="S129" s="710"/>
      <c r="T129" s="710"/>
      <c r="U129" s="710"/>
      <c r="V129" s="710"/>
      <c r="W129" s="710"/>
      <c r="X129" s="710"/>
      <c r="Y129" s="710"/>
      <c r="Z129" s="710"/>
      <c r="AA129" s="710"/>
      <c r="AB129" s="710"/>
      <c r="AC129" s="710"/>
    </row>
    <row r="130" ht="14.75" spans="1:29">
      <c r="A130" s="898"/>
      <c r="B130" s="870">
        <f>B46</f>
        <v>111</v>
      </c>
      <c r="C130" s="876"/>
      <c r="D130" s="876"/>
      <c r="E130" s="876"/>
      <c r="F130" s="876"/>
      <c r="G130" s="892"/>
      <c r="H130" s="892"/>
      <c r="I130" s="892"/>
      <c r="J130" s="892"/>
      <c r="K130" s="739"/>
      <c r="L130" s="802"/>
      <c r="M130" s="934"/>
      <c r="N130" s="810"/>
      <c r="O130" s="810"/>
      <c r="P130" s="1970"/>
      <c r="Q130" s="843"/>
      <c r="R130" s="710"/>
      <c r="S130" s="710"/>
      <c r="T130" s="710"/>
      <c r="U130" s="710"/>
      <c r="V130" s="710"/>
      <c r="W130" s="710"/>
      <c r="X130" s="710"/>
      <c r="Y130" s="710"/>
      <c r="Z130" s="710"/>
      <c r="AA130" s="710"/>
      <c r="AB130" s="710"/>
      <c r="AC130" s="710"/>
    </row>
    <row r="131" ht="14.75" spans="1:29">
      <c r="A131" s="893"/>
      <c r="B131" s="882"/>
      <c r="C131" s="883"/>
      <c r="D131" s="883"/>
      <c r="E131" s="883"/>
      <c r="F131" s="883"/>
      <c r="G131" s="894"/>
      <c r="H131" s="894"/>
      <c r="I131" s="894"/>
      <c r="J131" s="894"/>
      <c r="K131" s="894"/>
      <c r="L131" s="894"/>
      <c r="M131" s="935"/>
      <c r="N131" s="904"/>
      <c r="O131" s="904"/>
      <c r="P131" s="1970"/>
      <c r="Q131" s="843"/>
      <c r="R131" s="710"/>
      <c r="S131" s="710"/>
      <c r="T131" s="710"/>
      <c r="U131" s="710"/>
      <c r="V131" s="710"/>
      <c r="W131" s="710"/>
      <c r="X131" s="710"/>
      <c r="Y131" s="710"/>
      <c r="Z131" s="710"/>
      <c r="AA131" s="710"/>
      <c r="AB131" s="710"/>
      <c r="AC131" s="71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F20" sqref="F20"/>
    </sheetView>
  </sheetViews>
  <sheetFormatPr defaultColWidth="9" defaultRowHeight="14"/>
  <cols>
    <col min="1" max="1" width="10.5" style="573" customWidth="1"/>
    <col min="2" max="2" width="15.7545454545455" style="573" customWidth="1"/>
    <col min="3" max="3" width="14.3727272727273" style="573" customWidth="1"/>
    <col min="4" max="4" width="12.2545454545455" style="573" customWidth="1"/>
    <col min="5" max="5" width="14.3727272727273" style="573" customWidth="1"/>
    <col min="6" max="6" width="12.2545454545455" style="573" customWidth="1"/>
    <col min="7" max="7" width="14.5" style="573" customWidth="1"/>
    <col min="8" max="8" width="12.2545454545455" style="573" customWidth="1"/>
    <col min="9" max="9" width="14.5" style="573" customWidth="1"/>
    <col min="10" max="10" width="12.2545454545455" style="573" customWidth="1"/>
    <col min="11" max="11" width="12.2545454545455" style="574" customWidth="1"/>
    <col min="12" max="12" width="12.2545454545455" style="575" customWidth="1"/>
    <col min="13" max="15" width="12.2545454545455" style="573" customWidth="1"/>
    <col min="16" max="16" width="4.75454545454545" style="573" customWidth="1"/>
    <col min="17" max="17" width="19.5" style="573" customWidth="1"/>
    <col min="18" max="22" width="6.12727272727273" style="573" customWidth="1"/>
    <col min="23" max="23" width="5.75454545454545" style="573" customWidth="1"/>
    <col min="24" max="24" width="4.25454545454545" style="573" customWidth="1"/>
    <col min="25" max="25" width="3.5" style="573" customWidth="1"/>
    <col min="26" max="26" width="19.7545454545455" style="573" customWidth="1"/>
    <col min="27" max="28" width="9.37272727272727" style="573" customWidth="1"/>
    <col min="29" max="16384" width="9" style="573"/>
  </cols>
  <sheetData>
    <row r="1" s="566" customFormat="1" ht="28.5" customHeight="1" spans="1:29">
      <c r="A1" s="577" t="s">
        <v>1152</v>
      </c>
      <c r="B1" s="578" t="s">
        <v>1491</v>
      </c>
      <c r="C1" s="579" t="s">
        <v>1154</v>
      </c>
      <c r="D1" s="580"/>
      <c r="E1" s="581"/>
      <c r="F1" s="582"/>
      <c r="G1" s="583" t="s">
        <v>1157</v>
      </c>
      <c r="H1" s="584"/>
      <c r="I1" s="584"/>
      <c r="J1" s="584"/>
      <c r="K1" s="746"/>
      <c r="L1" s="747"/>
      <c r="M1" s="748"/>
      <c r="N1" s="748"/>
      <c r="O1" s="748"/>
      <c r="P1" s="579"/>
      <c r="Q1" s="579"/>
      <c r="R1" s="579"/>
      <c r="S1" s="579"/>
      <c r="T1" s="579"/>
      <c r="U1" s="579"/>
      <c r="V1" s="579"/>
      <c r="W1" s="579"/>
      <c r="X1" s="579"/>
      <c r="Y1" s="579"/>
      <c r="Z1" s="579"/>
      <c r="AA1" s="579"/>
      <c r="AB1" s="579"/>
      <c r="AC1" s="846"/>
    </row>
    <row r="2" s="567" customFormat="1" ht="28.5" customHeight="1" spans="1:29">
      <c r="A2" s="585" t="s">
        <v>995</v>
      </c>
      <c r="B2" s="586" t="b">
        <f ca="1">IF(E1="项目模式",IF(C2="——",ROUND(C43*D3/10000,0),ROUND(C43*D3/10000,0)-D2),IF(E1="单套模式",IF(C2="——",ROUND(C43*D3/10000,4),ROUND(C43*D3/10000,4)-D2)))</f>
        <v>0</v>
      </c>
      <c r="C2" s="587"/>
      <c r="D2" s="1821" t="e">
        <f ca="1">IF(E1="项目模式",SUMIF(INDIRECT("'"&amp;F2&amp;"'"&amp;"!A:A"),"承租人权益价值",INDIRECT("'"&amp;F2&amp;"'"&amp;"!c:c")),SUMIF(INDIRECT("'"&amp;F2&amp;"'"&amp;"!A:A"),"承租人权益价值（单套）",INDIRECT("'"&amp;F2&amp;"'"&amp;"!c:c")))</f>
        <v>#REF!</v>
      </c>
      <c r="E2" s="589" t="s">
        <v>996</v>
      </c>
      <c r="F2" s="590"/>
      <c r="G2" s="591"/>
      <c r="H2" s="591"/>
      <c r="I2" s="591"/>
      <c r="J2" s="591"/>
      <c r="K2" s="591"/>
      <c r="L2" s="1917"/>
      <c r="M2" s="1918"/>
      <c r="N2" s="1918"/>
      <c r="O2" s="1918"/>
      <c r="P2" s="751"/>
      <c r="Q2" s="751"/>
      <c r="R2" s="751"/>
      <c r="S2" s="751"/>
      <c r="T2" s="751"/>
      <c r="U2" s="751"/>
      <c r="V2" s="751"/>
      <c r="W2" s="751"/>
      <c r="X2" s="751"/>
      <c r="Y2" s="751"/>
      <c r="Z2" s="751"/>
      <c r="AA2" s="751"/>
      <c r="AB2" s="751"/>
      <c r="AC2" s="1601"/>
    </row>
    <row r="3" s="567" customFormat="1" ht="28.5" customHeight="1" spans="1:29">
      <c r="A3" s="396" t="s">
        <v>997</v>
      </c>
      <c r="B3" s="592">
        <f ca="1">IF(C2="——",C43,ROUND(B2*10000/D3,0))</f>
        <v>0</v>
      </c>
      <c r="C3" s="593" t="s">
        <v>1158</v>
      </c>
      <c r="D3" s="594">
        <f>IF(D1="",'数据-汇总表'!E3,SUMIF('数据-汇总表'!$C19:$C33,D1,'数据-汇总表'!$E19:$E33))</f>
        <v>3013</v>
      </c>
      <c r="E3" s="591"/>
      <c r="F3" s="596"/>
      <c r="G3" s="591"/>
      <c r="H3" s="591"/>
      <c r="I3" s="591"/>
      <c r="J3" s="591"/>
      <c r="K3" s="752"/>
      <c r="L3" s="1917"/>
      <c r="M3" s="1918"/>
      <c r="N3" s="1918"/>
      <c r="O3" s="1918"/>
      <c r="P3" s="751"/>
      <c r="Q3" s="751"/>
      <c r="R3" s="751"/>
      <c r="S3" s="751"/>
      <c r="T3" s="751"/>
      <c r="U3" s="751"/>
      <c r="V3" s="751"/>
      <c r="W3" s="751"/>
      <c r="X3" s="751"/>
      <c r="Y3" s="751"/>
      <c r="Z3" s="751"/>
      <c r="AA3" s="751"/>
      <c r="AB3" s="1600"/>
      <c r="AC3" s="1601"/>
    </row>
    <row r="4" spans="1:29">
      <c r="A4" s="597" t="s">
        <v>1159</v>
      </c>
      <c r="B4" s="598"/>
      <c r="C4" s="599" t="s">
        <v>1160</v>
      </c>
      <c r="D4" s="600"/>
      <c r="E4" s="601" t="s">
        <v>1161</v>
      </c>
      <c r="F4" s="602"/>
      <c r="G4" s="599" t="s">
        <v>1162</v>
      </c>
      <c r="H4" s="600"/>
      <c r="I4" s="599" t="s">
        <v>1163</v>
      </c>
      <c r="J4" s="600"/>
      <c r="K4" s="753" t="s">
        <v>1164</v>
      </c>
      <c r="L4" s="1919"/>
      <c r="M4" s="1920"/>
      <c r="N4" s="1920"/>
      <c r="O4" s="1920"/>
      <c r="P4" s="1575" t="s">
        <v>1165</v>
      </c>
      <c r="Q4" s="1594"/>
      <c r="R4" s="1595" t="s">
        <v>1161</v>
      </c>
      <c r="S4" s="1596"/>
      <c r="T4" s="1595" t="s">
        <v>1162</v>
      </c>
      <c r="U4" s="1596"/>
      <c r="V4" s="820" t="s">
        <v>1163</v>
      </c>
      <c r="W4" s="820"/>
      <c r="X4" s="821"/>
      <c r="Y4" s="1595" t="s">
        <v>1165</v>
      </c>
      <c r="Z4" s="1596"/>
      <c r="AA4" s="1602" t="s">
        <v>1161</v>
      </c>
      <c r="AB4" s="821" t="s">
        <v>1162</v>
      </c>
      <c r="AC4" s="1602" t="s">
        <v>1163</v>
      </c>
    </row>
    <row r="5" spans="1:29">
      <c r="A5" s="603"/>
      <c r="B5" s="604"/>
      <c r="C5" s="605" t="s">
        <v>1166</v>
      </c>
      <c r="D5" s="606"/>
      <c r="E5" s="609" t="s">
        <v>1453</v>
      </c>
      <c r="F5" s="608"/>
      <c r="G5" s="605" t="s">
        <v>1454</v>
      </c>
      <c r="H5" s="606"/>
      <c r="I5" s="605" t="s">
        <v>1455</v>
      </c>
      <c r="J5" s="606"/>
      <c r="K5" s="753"/>
      <c r="L5" s="1919"/>
      <c r="M5" s="1920"/>
      <c r="N5" s="1920"/>
      <c r="O5" s="1920"/>
      <c r="P5" s="1576"/>
      <c r="Q5" s="817"/>
      <c r="R5" s="818"/>
      <c r="S5" s="819"/>
      <c r="T5" s="818"/>
      <c r="U5" s="819"/>
      <c r="V5" s="820"/>
      <c r="W5" s="820"/>
      <c r="X5" s="821"/>
      <c r="Y5" s="818"/>
      <c r="Z5" s="819"/>
      <c r="AA5" s="821"/>
      <c r="AB5" s="821"/>
      <c r="AC5" s="821"/>
    </row>
    <row r="6" ht="14.75" spans="1:29">
      <c r="A6" s="610"/>
      <c r="B6" s="611"/>
      <c r="C6" s="612" t="s">
        <v>1170</v>
      </c>
      <c r="D6" s="613"/>
      <c r="E6" s="614" t="s">
        <v>1170</v>
      </c>
      <c r="F6" s="615"/>
      <c r="G6" s="612" t="s">
        <v>1170</v>
      </c>
      <c r="H6" s="613"/>
      <c r="I6" s="612" t="s">
        <v>1170</v>
      </c>
      <c r="J6" s="613"/>
      <c r="K6" s="753" t="s">
        <v>1171</v>
      </c>
      <c r="L6" s="1919"/>
      <c r="M6" s="1920"/>
      <c r="N6" s="1920"/>
      <c r="O6" s="1920"/>
      <c r="P6" s="1577"/>
      <c r="Q6" s="822"/>
      <c r="R6" s="818"/>
      <c r="S6" s="819"/>
      <c r="T6" s="823"/>
      <c r="U6" s="824"/>
      <c r="V6" s="820"/>
      <c r="W6" s="820"/>
      <c r="X6" s="821"/>
      <c r="Y6" s="823"/>
      <c r="Z6" s="824"/>
      <c r="AA6" s="850"/>
      <c r="AB6" s="850"/>
      <c r="AC6" s="850"/>
    </row>
    <row r="7" s="568" customFormat="1" ht="14.75" spans="1:29">
      <c r="A7" s="616" t="s">
        <v>1172</v>
      </c>
      <c r="B7" s="617"/>
      <c r="C7" s="618">
        <f>'数据-取费表'!B2</f>
        <v>45538</v>
      </c>
      <c r="D7" s="619">
        <v>100</v>
      </c>
      <c r="E7" s="620"/>
      <c r="F7" s="621">
        <f>SUMIF(52:52,YEAR(E7)&amp;"-"&amp;MONTH(E7),53:53)</f>
        <v>0</v>
      </c>
      <c r="G7" s="620"/>
      <c r="H7" s="619">
        <f>SUMIF(52:52,YEAR(G7)&amp;"-"&amp;MONTH(G7),53:53)</f>
        <v>0</v>
      </c>
      <c r="I7" s="620"/>
      <c r="J7" s="619">
        <f>SUMIF(52:52,YEAR(I7)&amp;"-"&amp;MONTH(I7),53:53)</f>
        <v>0</v>
      </c>
      <c r="K7" s="759"/>
      <c r="L7" s="1921"/>
      <c r="M7" s="1922"/>
      <c r="N7" s="1922"/>
      <c r="O7" s="1922"/>
      <c r="P7" s="852" t="s">
        <v>1173</v>
      </c>
      <c r="Q7" s="825"/>
      <c r="R7" s="826" t="s">
        <v>1174</v>
      </c>
      <c r="S7" s="827">
        <f t="shared" ref="S7:S15" si="0">F7</f>
        <v>0</v>
      </c>
      <c r="T7" s="826" t="s">
        <v>1174</v>
      </c>
      <c r="U7" s="827">
        <f t="shared" ref="U7:U15" si="1">H7</f>
        <v>0</v>
      </c>
      <c r="V7" s="826" t="s">
        <v>1174</v>
      </c>
      <c r="W7" s="827">
        <f t="shared" ref="W7:W15" si="2">J7</f>
        <v>0</v>
      </c>
      <c r="X7" s="828"/>
      <c r="Y7" s="852" t="s">
        <v>1173</v>
      </c>
      <c r="Z7" s="829"/>
      <c r="AA7" s="853" t="e">
        <f>D7/F7</f>
        <v>#DIV/0!</v>
      </c>
      <c r="AB7" s="853" t="e">
        <f>D7/H7</f>
        <v>#DIV/0!</v>
      </c>
      <c r="AC7" s="853" t="e">
        <f>D7/J7</f>
        <v>#DIV/0!</v>
      </c>
    </row>
    <row r="8" s="568" customFormat="1" ht="14.75" spans="1:29">
      <c r="A8" s="616" t="s">
        <v>1175</v>
      </c>
      <c r="B8" s="617"/>
      <c r="C8" s="622"/>
      <c r="D8" s="619">
        <v>100</v>
      </c>
      <c r="E8" s="622"/>
      <c r="F8" s="621">
        <f>SUMIF(55:55,E8,56:56)-SUMIF(55:55,C8,56:56)+100</f>
        <v>100</v>
      </c>
      <c r="G8" s="622"/>
      <c r="H8" s="619">
        <f>SUMIF(55:55,G8,56:56)-SUMIF(55:55,C8,56:56)+100</f>
        <v>100</v>
      </c>
      <c r="I8" s="622"/>
      <c r="J8" s="619">
        <f>SUMIF(55:55,I8,56:56)-SUMIF(55:55,C8,56:56)+100</f>
        <v>100</v>
      </c>
      <c r="K8" s="759"/>
      <c r="L8" s="1921"/>
      <c r="M8" s="1922"/>
      <c r="N8" s="1922"/>
      <c r="O8" s="1922"/>
      <c r="P8" s="852" t="s">
        <v>1177</v>
      </c>
      <c r="Q8" s="829"/>
      <c r="R8" s="826" t="s">
        <v>1174</v>
      </c>
      <c r="S8" s="827">
        <f t="shared" si="0"/>
        <v>100</v>
      </c>
      <c r="T8" s="826" t="s">
        <v>1174</v>
      </c>
      <c r="U8" s="827">
        <f t="shared" si="1"/>
        <v>100</v>
      </c>
      <c r="V8" s="826" t="s">
        <v>1174</v>
      </c>
      <c r="W8" s="827">
        <f t="shared" si="2"/>
        <v>100</v>
      </c>
      <c r="X8" s="828"/>
      <c r="Y8" s="852" t="s">
        <v>1177</v>
      </c>
      <c r="Z8" s="829"/>
      <c r="AA8" s="853">
        <f t="shared" ref="AA8:AA40" si="3">D8/F8</f>
        <v>1</v>
      </c>
      <c r="AB8" s="853">
        <f t="shared" ref="AB8:AB40" si="4">D8/H8</f>
        <v>1</v>
      </c>
      <c r="AC8" s="853">
        <f t="shared" ref="AC8:AC40" si="5">D8/J8</f>
        <v>1</v>
      </c>
    </row>
    <row r="9" s="568" customFormat="1" spans="1:29">
      <c r="A9" s="623" t="s">
        <v>1178</v>
      </c>
      <c r="B9" s="624" t="s">
        <v>1179</v>
      </c>
      <c r="C9" s="1856"/>
      <c r="D9" s="626">
        <v>100</v>
      </c>
      <c r="E9" s="627"/>
      <c r="F9" s="626">
        <f>SUMIF(57:57,E9,58:58)-SUMIF(57:57,C9,58:58)+100</f>
        <v>100</v>
      </c>
      <c r="G9" s="628"/>
      <c r="H9" s="626">
        <f>SUMIF(57:57,G9,58:58)-SUMIF(57:57,C9,58:58)+100</f>
        <v>100</v>
      </c>
      <c r="I9" s="628"/>
      <c r="J9" s="626">
        <f>SUMIF(57:57,I9,58:58)-SUMIF(57:57,C9,58:58)+100</f>
        <v>100</v>
      </c>
      <c r="K9" s="759"/>
      <c r="L9" s="1921"/>
      <c r="M9" s="1922"/>
      <c r="N9" s="1922"/>
      <c r="O9" s="1923"/>
      <c r="P9" s="831" t="s">
        <v>1182</v>
      </c>
      <c r="Q9" s="830" t="str">
        <f t="shared" ref="Q9:Q15" si="6">B9</f>
        <v>用途</v>
      </c>
      <c r="R9" s="826" t="s">
        <v>1174</v>
      </c>
      <c r="S9" s="827">
        <f t="shared" si="0"/>
        <v>100</v>
      </c>
      <c r="T9" s="826" t="s">
        <v>1174</v>
      </c>
      <c r="U9" s="827">
        <f t="shared" si="1"/>
        <v>100</v>
      </c>
      <c r="V9" s="826" t="s">
        <v>1174</v>
      </c>
      <c r="W9" s="827">
        <f t="shared" si="2"/>
        <v>100</v>
      </c>
      <c r="X9" s="828"/>
      <c r="Y9" s="830" t="s">
        <v>1183</v>
      </c>
      <c r="Z9" s="855" t="str">
        <f t="shared" ref="Z9:Z15" si="7">Q9</f>
        <v>用途</v>
      </c>
      <c r="AA9" s="853">
        <f t="shared" si="3"/>
        <v>1</v>
      </c>
      <c r="AB9" s="853">
        <f t="shared" si="4"/>
        <v>1</v>
      </c>
      <c r="AC9" s="853">
        <f t="shared" si="5"/>
        <v>1</v>
      </c>
    </row>
    <row r="10" s="569" customFormat="1" ht="28" spans="1:29">
      <c r="A10" s="629"/>
      <c r="B10" s="630" t="s">
        <v>1184</v>
      </c>
      <c r="C10" s="631"/>
      <c r="D10" s="632">
        <v>100</v>
      </c>
      <c r="E10" s="631"/>
      <c r="F10" s="632">
        <f>SUMIF(59:59,E10,60:60)-SUMIF(59:59,C10,60:60)+100</f>
        <v>100</v>
      </c>
      <c r="G10" s="633"/>
      <c r="H10" s="632">
        <f>SUMIF(59:59,G10,60:60)-SUMIF(59:59,C10,60:60)+100</f>
        <v>100</v>
      </c>
      <c r="I10" s="631"/>
      <c r="J10" s="632">
        <f>SUMIF(59:59,I10,60:60)-SUMIF(59:59,C10,60:60)+100</f>
        <v>100</v>
      </c>
      <c r="K10" s="759"/>
      <c r="L10" s="1924"/>
      <c r="M10" s="1925"/>
      <c r="N10" s="1925"/>
      <c r="O10" s="1926"/>
      <c r="P10" s="831"/>
      <c r="Q10" s="830" t="str">
        <f t="shared" si="6"/>
        <v>土地使用年限（年）</v>
      </c>
      <c r="R10" s="826" t="s">
        <v>1174</v>
      </c>
      <c r="S10" s="827">
        <f t="shared" si="0"/>
        <v>100</v>
      </c>
      <c r="T10" s="826" t="s">
        <v>1174</v>
      </c>
      <c r="U10" s="827">
        <f t="shared" si="1"/>
        <v>100</v>
      </c>
      <c r="V10" s="826" t="s">
        <v>1174</v>
      </c>
      <c r="W10" s="827">
        <f t="shared" si="2"/>
        <v>100</v>
      </c>
      <c r="X10" s="828"/>
      <c r="Y10" s="830"/>
      <c r="Z10" s="855" t="str">
        <f t="shared" si="7"/>
        <v>土地使用年限（年）</v>
      </c>
      <c r="AA10" s="853">
        <f t="shared" si="3"/>
        <v>1</v>
      </c>
      <c r="AB10" s="853">
        <f t="shared" si="4"/>
        <v>1</v>
      </c>
      <c r="AC10" s="853">
        <f t="shared" si="5"/>
        <v>1</v>
      </c>
    </row>
    <row r="11" ht="15.5" spans="1:29">
      <c r="A11" s="634"/>
      <c r="B11" s="630" t="s">
        <v>1185</v>
      </c>
      <c r="C11" s="635"/>
      <c r="D11" s="632">
        <v>100</v>
      </c>
      <c r="E11" s="635"/>
      <c r="F11" s="632">
        <f>LOOKUP(E11,62:62,63:63)-LOOKUP(C11,62:62,63:63)+100</f>
        <v>100</v>
      </c>
      <c r="G11" s="636"/>
      <c r="H11" s="632">
        <f>LOOKUP(G11,62:62,63:63)-LOOKUP(C11,62:62,63:63)+100</f>
        <v>100</v>
      </c>
      <c r="I11" s="635"/>
      <c r="J11" s="632">
        <f>LOOKUP(I11,62:62,63:63)-LOOKUP(C11,62:62,63:63)+100</f>
        <v>100</v>
      </c>
      <c r="K11" s="766"/>
      <c r="L11" s="1927"/>
      <c r="M11" s="1920"/>
      <c r="N11" s="1920"/>
      <c r="O11" s="1928"/>
      <c r="P11" s="831"/>
      <c r="Q11" s="830" t="str">
        <f t="shared" si="6"/>
        <v>容积率</v>
      </c>
      <c r="R11" s="826" t="s">
        <v>1174</v>
      </c>
      <c r="S11" s="827">
        <f t="shared" si="0"/>
        <v>100</v>
      </c>
      <c r="T11" s="826" t="s">
        <v>1174</v>
      </c>
      <c r="U11" s="827">
        <f t="shared" si="1"/>
        <v>100</v>
      </c>
      <c r="V11" s="826" t="s">
        <v>1174</v>
      </c>
      <c r="W11" s="827">
        <f t="shared" si="2"/>
        <v>100</v>
      </c>
      <c r="X11" s="828"/>
      <c r="Y11" s="830"/>
      <c r="Z11" s="855" t="str">
        <f t="shared" si="7"/>
        <v>容积率</v>
      </c>
      <c r="AA11" s="853">
        <f t="shared" si="3"/>
        <v>1</v>
      </c>
      <c r="AB11" s="853">
        <f t="shared" si="4"/>
        <v>1</v>
      </c>
      <c r="AC11" s="853">
        <f t="shared" si="5"/>
        <v>1</v>
      </c>
    </row>
    <row r="12" s="568" customFormat="1" ht="15.5" spans="1:29">
      <c r="A12" s="637"/>
      <c r="B12" s="638">
        <v>111</v>
      </c>
      <c r="C12" s="639"/>
      <c r="D12" s="640">
        <v>100</v>
      </c>
      <c r="E12" s="642"/>
      <c r="F12" s="632">
        <f>SUMIF(64:64,E12,65:65)-SUMIF(64:64,C12,65:65)+100</f>
        <v>100</v>
      </c>
      <c r="G12" s="1915"/>
      <c r="H12" s="632">
        <f>SUMIF(64:64,G12,65:65)-SUMIF(64:64,C12,65:65)+100</f>
        <v>100</v>
      </c>
      <c r="I12" s="683"/>
      <c r="J12" s="632">
        <f>SUMIF(64:64,I12,65:65)-SUMIF(64:64,C12,65:65)+100</f>
        <v>100</v>
      </c>
      <c r="K12" s="768"/>
      <c r="L12" s="1921"/>
      <c r="M12" s="1922"/>
      <c r="N12" s="1922"/>
      <c r="O12" s="1923"/>
      <c r="P12" s="831"/>
      <c r="Q12" s="830">
        <f t="shared" si="6"/>
        <v>111</v>
      </c>
      <c r="R12" s="826" t="s">
        <v>1174</v>
      </c>
      <c r="S12" s="827">
        <f t="shared" si="0"/>
        <v>100</v>
      </c>
      <c r="T12" s="826" t="s">
        <v>1174</v>
      </c>
      <c r="U12" s="827">
        <f t="shared" si="1"/>
        <v>100</v>
      </c>
      <c r="V12" s="826" t="s">
        <v>1174</v>
      </c>
      <c r="W12" s="827">
        <f t="shared" si="2"/>
        <v>100</v>
      </c>
      <c r="X12" s="828"/>
      <c r="Y12" s="830"/>
      <c r="Z12" s="855">
        <f t="shared" si="7"/>
        <v>111</v>
      </c>
      <c r="AA12" s="853">
        <f t="shared" si="3"/>
        <v>1</v>
      </c>
      <c r="AB12" s="853">
        <f t="shared" si="4"/>
        <v>1</v>
      </c>
      <c r="AC12" s="853">
        <f t="shared" si="5"/>
        <v>1</v>
      </c>
    </row>
    <row r="13" ht="15.5" spans="1:29">
      <c r="A13" s="634"/>
      <c r="B13" s="638">
        <v>111</v>
      </c>
      <c r="C13" s="642"/>
      <c r="D13" s="643">
        <v>100</v>
      </c>
      <c r="E13" s="642"/>
      <c r="F13" s="632">
        <f>SUMIF(66:66,E13,67:67)-SUMIF(66:66,C13,67:67)+100</f>
        <v>100</v>
      </c>
      <c r="G13" s="1915"/>
      <c r="H13" s="643">
        <f>SUMIF(66:66,G13,67:67)-SUMIF(66:66,C13,67:67)+100</f>
        <v>100</v>
      </c>
      <c r="I13" s="683"/>
      <c r="J13" s="643">
        <f>SUMIF(66:66,I13,67:67)-SUMIF(66:66,C13,67:67)+100</f>
        <v>100</v>
      </c>
      <c r="K13" s="768"/>
      <c r="L13" s="1929"/>
      <c r="M13" s="1920"/>
      <c r="N13" s="1920"/>
      <c r="O13" s="1928"/>
      <c r="P13" s="831"/>
      <c r="Q13" s="830">
        <f t="shared" si="6"/>
        <v>111</v>
      </c>
      <c r="R13" s="826" t="s">
        <v>1174</v>
      </c>
      <c r="S13" s="827">
        <f t="shared" si="0"/>
        <v>100</v>
      </c>
      <c r="T13" s="826" t="s">
        <v>1174</v>
      </c>
      <c r="U13" s="827">
        <f t="shared" si="1"/>
        <v>100</v>
      </c>
      <c r="V13" s="826" t="s">
        <v>1174</v>
      </c>
      <c r="W13" s="827">
        <f t="shared" si="2"/>
        <v>100</v>
      </c>
      <c r="X13" s="828"/>
      <c r="Y13" s="830"/>
      <c r="Z13" s="855">
        <f t="shared" si="7"/>
        <v>111</v>
      </c>
      <c r="AA13" s="853">
        <f t="shared" si="3"/>
        <v>1</v>
      </c>
      <c r="AB13" s="853">
        <f t="shared" si="4"/>
        <v>1</v>
      </c>
      <c r="AC13" s="853">
        <f t="shared" si="5"/>
        <v>1</v>
      </c>
    </row>
    <row r="14" ht="16.25" spans="1:29">
      <c r="A14" s="644"/>
      <c r="B14" s="645">
        <v>111</v>
      </c>
      <c r="C14" s="646"/>
      <c r="D14" s="647">
        <v>100</v>
      </c>
      <c r="E14" s="646"/>
      <c r="F14" s="647">
        <f>SUMIF(68:68,E14,69:69)-SUMIF(68:68,C14,69:69)+100</f>
        <v>100</v>
      </c>
      <c r="G14" s="1915"/>
      <c r="H14" s="647">
        <f>SUMIF(68:68,G14,69:69)-SUMIF(68:68,C14,69:69)+100</f>
        <v>100</v>
      </c>
      <c r="I14" s="683"/>
      <c r="J14" s="647">
        <f>SUMIF(68:68,I14,69:69)-SUMIF(68:68,C14,69:69)+100</f>
        <v>100</v>
      </c>
      <c r="K14" s="768"/>
      <c r="L14" s="1929"/>
      <c r="M14" s="1920"/>
      <c r="N14" s="1920"/>
      <c r="O14" s="1928"/>
      <c r="P14" s="831"/>
      <c r="Q14" s="830">
        <f t="shared" si="6"/>
        <v>111</v>
      </c>
      <c r="R14" s="826" t="s">
        <v>1174</v>
      </c>
      <c r="S14" s="827">
        <f t="shared" si="0"/>
        <v>100</v>
      </c>
      <c r="T14" s="826" t="s">
        <v>1174</v>
      </c>
      <c r="U14" s="827">
        <f t="shared" si="1"/>
        <v>100</v>
      </c>
      <c r="V14" s="826" t="s">
        <v>1174</v>
      </c>
      <c r="W14" s="827">
        <f t="shared" si="2"/>
        <v>100</v>
      </c>
      <c r="X14" s="828"/>
      <c r="Y14" s="830"/>
      <c r="Z14" s="855">
        <f t="shared" si="7"/>
        <v>111</v>
      </c>
      <c r="AA14" s="853">
        <f t="shared" si="3"/>
        <v>1</v>
      </c>
      <c r="AB14" s="853">
        <f t="shared" si="4"/>
        <v>1</v>
      </c>
      <c r="AC14" s="853">
        <f t="shared" si="5"/>
        <v>1</v>
      </c>
    </row>
    <row r="15" ht="70" spans="1:29">
      <c r="A15" s="649" t="s">
        <v>1186</v>
      </c>
      <c r="B15" s="1828" t="s">
        <v>1492</v>
      </c>
      <c r="C15" s="1509" t="str">
        <f>估价对象房地状况!G3</f>
        <v>估价对象位于XX开发区，园区建设成熟度XX，产业集聚程度XX</v>
      </c>
      <c r="D15" s="652">
        <v>100</v>
      </c>
      <c r="E15" s="654"/>
      <c r="F15" s="1859">
        <f>SUMIF(70:70,E16,71:71)-SUMIF(70:70,C16,71:71)+100</f>
        <v>100</v>
      </c>
      <c r="G15" s="653"/>
      <c r="H15" s="652">
        <f>SUMIF(70:70,G16,71:71)-SUMIF(70:70,C16,71:71)+100</f>
        <v>100</v>
      </c>
      <c r="I15" s="654"/>
      <c r="J15" s="652">
        <f>SUMIF(70:70,I16,71:71)-SUMIF(70:70,C16,71:71)+100</f>
        <v>100</v>
      </c>
      <c r="K15" s="770"/>
      <c r="L15" s="1929"/>
      <c r="M15" s="1920"/>
      <c r="N15" s="1920"/>
      <c r="O15" s="1928"/>
      <c r="P15" s="856" t="s">
        <v>1189</v>
      </c>
      <c r="Q15" s="831" t="str">
        <f t="shared" si="6"/>
        <v>产业集聚程度</v>
      </c>
      <c r="R15" s="832" t="s">
        <v>1174</v>
      </c>
      <c r="S15" s="833">
        <f t="shared" si="0"/>
        <v>100</v>
      </c>
      <c r="T15" s="832" t="s">
        <v>1174</v>
      </c>
      <c r="U15" s="833">
        <f t="shared" si="1"/>
        <v>100</v>
      </c>
      <c r="V15" s="832" t="s">
        <v>1174</v>
      </c>
      <c r="W15" s="833">
        <f t="shared" si="2"/>
        <v>100</v>
      </c>
      <c r="X15" s="821"/>
      <c r="Y15" s="856" t="s">
        <v>1189</v>
      </c>
      <c r="Z15" s="820" t="str">
        <f t="shared" si="7"/>
        <v>产业集聚程度</v>
      </c>
      <c r="AA15" s="838">
        <f t="shared" si="3"/>
        <v>1</v>
      </c>
      <c r="AB15" s="838">
        <f t="shared" si="4"/>
        <v>1</v>
      </c>
      <c r="AC15" s="838">
        <f t="shared" si="5"/>
        <v>1</v>
      </c>
    </row>
    <row r="16" ht="15.5" spans="1:29">
      <c r="A16" s="634"/>
      <c r="B16" s="839"/>
      <c r="C16" s="669"/>
      <c r="D16" s="657"/>
      <c r="E16" s="669"/>
      <c r="F16" s="1860"/>
      <c r="G16" s="669"/>
      <c r="H16" s="658"/>
      <c r="I16" s="669"/>
      <c r="J16" s="657"/>
      <c r="K16" s="773"/>
      <c r="L16" s="1929"/>
      <c r="M16" s="1920"/>
      <c r="N16" s="1920"/>
      <c r="O16" s="1928"/>
      <c r="P16" s="858"/>
      <c r="Q16" s="831"/>
      <c r="R16" s="832"/>
      <c r="S16" s="833"/>
      <c r="T16" s="832"/>
      <c r="U16" s="833"/>
      <c r="V16" s="832"/>
      <c r="W16" s="833"/>
      <c r="X16" s="821"/>
      <c r="Y16" s="858"/>
      <c r="Z16" s="820"/>
      <c r="AA16" s="838">
        <v>1</v>
      </c>
      <c r="AB16" s="838">
        <v>1</v>
      </c>
      <c r="AC16" s="838">
        <v>1</v>
      </c>
    </row>
    <row r="17" ht="98" spans="1:29">
      <c r="A17" s="634"/>
      <c r="B17" s="1830" t="s">
        <v>1191</v>
      </c>
      <c r="C17" s="1510" t="str">
        <f>估价对象房地状况!G4</f>
        <v>估价对象周边道路状况、公共交通通达情况、停车便捷程度，综合评价交通便捷度较好</v>
      </c>
      <c r="D17" s="658">
        <v>100</v>
      </c>
      <c r="E17" s="662"/>
      <c r="F17" s="1862">
        <f>SUMIF(72:72,E18,73:73)-SUMIF(72:72,C18,73:73)+100</f>
        <v>100</v>
      </c>
      <c r="G17" s="661"/>
      <c r="H17" s="663">
        <f>SUMIF(72:72,G18,73:73)-SUMIF(72:72,C18,73:73)+100</f>
        <v>100</v>
      </c>
      <c r="I17" s="662"/>
      <c r="J17" s="663">
        <f>SUMIF(72:72,I18,73:73)-SUMIF(72:72,C18,73:73)+100</f>
        <v>100</v>
      </c>
      <c r="K17" s="770"/>
      <c r="L17" s="1929"/>
      <c r="M17" s="1920"/>
      <c r="N17" s="1920"/>
      <c r="O17" s="1928"/>
      <c r="P17" s="858"/>
      <c r="Q17" s="831" t="str">
        <f>B17</f>
        <v>交通便捷度</v>
      </c>
      <c r="R17" s="832" t="s">
        <v>1174</v>
      </c>
      <c r="S17" s="833">
        <f>F17</f>
        <v>100</v>
      </c>
      <c r="T17" s="832" t="s">
        <v>1174</v>
      </c>
      <c r="U17" s="833">
        <f>H17</f>
        <v>100</v>
      </c>
      <c r="V17" s="832" t="s">
        <v>1174</v>
      </c>
      <c r="W17" s="833">
        <f>J17</f>
        <v>100</v>
      </c>
      <c r="X17" s="821"/>
      <c r="Y17" s="858"/>
      <c r="Z17" s="820" t="str">
        <f>Q17</f>
        <v>交通便捷度</v>
      </c>
      <c r="AA17" s="838">
        <f t="shared" si="3"/>
        <v>1</v>
      </c>
      <c r="AB17" s="838">
        <f t="shared" si="4"/>
        <v>1</v>
      </c>
      <c r="AC17" s="838">
        <f t="shared" si="5"/>
        <v>1</v>
      </c>
    </row>
    <row r="18" ht="15.5" spans="1:29">
      <c r="A18" s="634"/>
      <c r="B18" s="1526"/>
      <c r="C18" s="1831"/>
      <c r="D18" s="658"/>
      <c r="E18" s="1832"/>
      <c r="F18" s="1862"/>
      <c r="G18" s="1840"/>
      <c r="H18" s="657"/>
      <c r="I18" s="1832"/>
      <c r="J18" s="657"/>
      <c r="K18" s="773"/>
      <c r="L18" s="1929"/>
      <c r="M18" s="1920"/>
      <c r="N18" s="1920"/>
      <c r="O18" s="1928"/>
      <c r="P18" s="858"/>
      <c r="Q18" s="831"/>
      <c r="R18" s="832"/>
      <c r="S18" s="833"/>
      <c r="T18" s="832"/>
      <c r="U18" s="833"/>
      <c r="V18" s="832"/>
      <c r="W18" s="833"/>
      <c r="X18" s="821"/>
      <c r="Y18" s="858"/>
      <c r="Z18" s="820"/>
      <c r="AA18" s="838">
        <v>1</v>
      </c>
      <c r="AB18" s="838">
        <v>1</v>
      </c>
      <c r="AC18" s="838">
        <v>1</v>
      </c>
    </row>
    <row r="19" ht="42" spans="1:29">
      <c r="A19" s="634"/>
      <c r="B19" s="1830" t="s">
        <v>1192</v>
      </c>
      <c r="C19" s="1510" t="str">
        <f>估价对象房地状况!G5</f>
        <v>估价对象所在区域公共配套设施齐备情况</v>
      </c>
      <c r="D19" s="663">
        <v>100</v>
      </c>
      <c r="E19" s="666"/>
      <c r="F19" s="1861">
        <f>SUMIF(74:74,E20,75:75)-SUMIF(74:74,C20,75:75)+100</f>
        <v>100</v>
      </c>
      <c r="G19" s="665"/>
      <c r="H19" s="658">
        <f>SUMIF(74:74,G20,75:75)-SUMIF(74:74,C20,75:75)+100</f>
        <v>100</v>
      </c>
      <c r="I19" s="666"/>
      <c r="J19" s="658">
        <f>SUMIF(74:74,I20,75:75)-SUMIF(74:74,C20,75:75)+100</f>
        <v>100</v>
      </c>
      <c r="K19" s="770"/>
      <c r="L19" s="1929"/>
      <c r="M19" s="1920"/>
      <c r="N19" s="1920"/>
      <c r="O19" s="1928"/>
      <c r="P19" s="858"/>
      <c r="Q19" s="831" t="str">
        <f>B19</f>
        <v>公共配套设施</v>
      </c>
      <c r="R19" s="832" t="s">
        <v>1174</v>
      </c>
      <c r="S19" s="833">
        <f>F19</f>
        <v>100</v>
      </c>
      <c r="T19" s="832" t="s">
        <v>1174</v>
      </c>
      <c r="U19" s="833">
        <f>H19</f>
        <v>100</v>
      </c>
      <c r="V19" s="832" t="s">
        <v>1174</v>
      </c>
      <c r="W19" s="833">
        <f>J19</f>
        <v>100</v>
      </c>
      <c r="X19" s="821"/>
      <c r="Y19" s="858"/>
      <c r="Z19" s="820" t="str">
        <f>Q19</f>
        <v>公共配套设施</v>
      </c>
      <c r="AA19" s="838">
        <f t="shared" si="3"/>
        <v>1</v>
      </c>
      <c r="AB19" s="838">
        <f t="shared" si="4"/>
        <v>1</v>
      </c>
      <c r="AC19" s="838">
        <f t="shared" si="5"/>
        <v>1</v>
      </c>
    </row>
    <row r="20" ht="15.5" spans="1:29">
      <c r="A20" s="634"/>
      <c r="B20" s="1526"/>
      <c r="C20" s="669"/>
      <c r="D20" s="657"/>
      <c r="E20" s="1511"/>
      <c r="F20" s="1860"/>
      <c r="G20" s="1583"/>
      <c r="H20" s="657"/>
      <c r="I20" s="1511"/>
      <c r="J20" s="657"/>
      <c r="K20" s="773"/>
      <c r="L20" s="1929"/>
      <c r="M20" s="1920"/>
      <c r="N20" s="1920"/>
      <c r="O20" s="1928"/>
      <c r="P20" s="858"/>
      <c r="Q20" s="831"/>
      <c r="R20" s="832"/>
      <c r="S20" s="833"/>
      <c r="T20" s="832"/>
      <c r="U20" s="833"/>
      <c r="V20" s="832"/>
      <c r="W20" s="833"/>
      <c r="X20" s="821"/>
      <c r="Y20" s="858"/>
      <c r="Z20" s="820"/>
      <c r="AA20" s="838">
        <v>1</v>
      </c>
      <c r="AB20" s="838">
        <v>1</v>
      </c>
      <c r="AC20" s="838">
        <v>1</v>
      </c>
    </row>
    <row r="21" ht="42" spans="1:29">
      <c r="A21" s="634"/>
      <c r="B21" s="1833" t="s">
        <v>1193</v>
      </c>
      <c r="C21" s="1510" t="str">
        <f>估价对象房地状况!G6</f>
        <v>估价对象所在区域基础设施水平</v>
      </c>
      <c r="D21" s="658">
        <v>100</v>
      </c>
      <c r="E21" s="666"/>
      <c r="F21" s="1861">
        <f>SUMIF(76:76,E22,77:77)-SUMIF(76:76,C22,77:77)+100</f>
        <v>100</v>
      </c>
      <c r="G21" s="665"/>
      <c r="H21" s="658">
        <f>SUMIF(76:76,G22,77:77)-SUMIF(76:76,C22,77:77)+100</f>
        <v>100</v>
      </c>
      <c r="I21" s="666"/>
      <c r="J21" s="658">
        <f>SUMIF(76:76,I22,77:77)-SUMIF(76:76,C22,77:77)+100</f>
        <v>100</v>
      </c>
      <c r="K21" s="770"/>
      <c r="L21" s="1929"/>
      <c r="M21" s="1920"/>
      <c r="N21" s="1920"/>
      <c r="O21" s="1928"/>
      <c r="P21" s="858"/>
      <c r="Q21" s="831" t="str">
        <f>B21</f>
        <v>基础设施水平</v>
      </c>
      <c r="R21" s="832" t="s">
        <v>1174</v>
      </c>
      <c r="S21" s="833">
        <f>F21</f>
        <v>100</v>
      </c>
      <c r="T21" s="832" t="s">
        <v>1174</v>
      </c>
      <c r="U21" s="833">
        <f>H21</f>
        <v>100</v>
      </c>
      <c r="V21" s="832" t="s">
        <v>1174</v>
      </c>
      <c r="W21" s="833">
        <f>J21</f>
        <v>100</v>
      </c>
      <c r="X21" s="821"/>
      <c r="Y21" s="858"/>
      <c r="Z21" s="820" t="str">
        <f>Q21</f>
        <v>基础设施水平</v>
      </c>
      <c r="AA21" s="838">
        <f t="shared" ref="AA21" si="8">D21/F21</f>
        <v>1</v>
      </c>
      <c r="AB21" s="838">
        <f t="shared" ref="AB21" si="9">D21/H21</f>
        <v>1</v>
      </c>
      <c r="AC21" s="838">
        <f t="shared" ref="AC21" si="10">D21/J21</f>
        <v>1</v>
      </c>
    </row>
    <row r="22" ht="15.5" spans="1:29">
      <c r="A22" s="634"/>
      <c r="B22" s="1833"/>
      <c r="C22" s="1831"/>
      <c r="D22" s="657"/>
      <c r="E22" s="669"/>
      <c r="F22" s="1860"/>
      <c r="G22" s="669"/>
      <c r="H22" s="657"/>
      <c r="I22" s="669"/>
      <c r="J22" s="657"/>
      <c r="K22" s="775"/>
      <c r="L22" s="1929"/>
      <c r="M22" s="1920"/>
      <c r="N22" s="1920"/>
      <c r="O22" s="1928"/>
      <c r="P22" s="858"/>
      <c r="Q22" s="831"/>
      <c r="R22" s="832"/>
      <c r="S22" s="833"/>
      <c r="T22" s="832"/>
      <c r="U22" s="833"/>
      <c r="V22" s="832"/>
      <c r="W22" s="833"/>
      <c r="X22" s="821"/>
      <c r="Y22" s="858"/>
      <c r="Z22" s="820"/>
      <c r="AA22" s="838">
        <v>1</v>
      </c>
      <c r="AB22" s="838">
        <v>1</v>
      </c>
      <c r="AC22" s="838">
        <v>1</v>
      </c>
    </row>
    <row r="23" ht="84" spans="1:29">
      <c r="A23" s="634"/>
      <c r="B23" s="1830" t="s">
        <v>1194</v>
      </c>
      <c r="C23" s="1510" t="str">
        <f>估价对象房地状况!G7</f>
        <v>该园区内是否有污染型企业，绿化情况，卫生条件，整体环境状况判断</v>
      </c>
      <c r="D23" s="658">
        <v>100</v>
      </c>
      <c r="E23" s="662"/>
      <c r="F23" s="1862">
        <f>SUMIF(78:78,E24,79:79)-SUMIF(78:78,C24,79:79)+100</f>
        <v>100</v>
      </c>
      <c r="G23" s="661"/>
      <c r="H23" s="658">
        <f>SUMIF(78:78,G24,79:79)-SUMIF(78:78,C24,79:79)+100</f>
        <v>100</v>
      </c>
      <c r="I23" s="662"/>
      <c r="J23" s="658">
        <f>SUMIF(78:78,I24,79:79)-SUMIF(78:78,C24,79:79)+100</f>
        <v>100</v>
      </c>
      <c r="K23" s="770"/>
      <c r="L23" s="1929"/>
      <c r="M23" s="1920"/>
      <c r="N23" s="1920"/>
      <c r="O23" s="1928"/>
      <c r="P23" s="858"/>
      <c r="Q23" s="831" t="str">
        <f>B23</f>
        <v>环境质量</v>
      </c>
      <c r="R23" s="832" t="s">
        <v>1174</v>
      </c>
      <c r="S23" s="833">
        <f>F23</f>
        <v>100</v>
      </c>
      <c r="T23" s="832" t="s">
        <v>1174</v>
      </c>
      <c r="U23" s="833">
        <f>H23</f>
        <v>100</v>
      </c>
      <c r="V23" s="832" t="s">
        <v>1174</v>
      </c>
      <c r="W23" s="833">
        <f>J23</f>
        <v>100</v>
      </c>
      <c r="X23" s="821"/>
      <c r="Y23" s="858"/>
      <c r="Z23" s="820" t="str">
        <f>Q23</f>
        <v>环境质量</v>
      </c>
      <c r="AA23" s="838">
        <f t="shared" si="3"/>
        <v>1</v>
      </c>
      <c r="AB23" s="838">
        <f t="shared" si="4"/>
        <v>1</v>
      </c>
      <c r="AC23" s="838">
        <f t="shared" si="5"/>
        <v>1</v>
      </c>
    </row>
    <row r="24" ht="15.5" spans="1:29">
      <c r="A24" s="634"/>
      <c r="B24" s="1833"/>
      <c r="C24" s="669"/>
      <c r="D24" s="657"/>
      <c r="E24" s="1511"/>
      <c r="F24" s="1860"/>
      <c r="G24" s="1583"/>
      <c r="H24" s="657"/>
      <c r="I24" s="1511"/>
      <c r="J24" s="657"/>
      <c r="K24" s="773"/>
      <c r="L24" s="1929"/>
      <c r="M24" s="1920"/>
      <c r="N24" s="1920"/>
      <c r="O24" s="1928"/>
      <c r="P24" s="858"/>
      <c r="Q24" s="831"/>
      <c r="R24" s="832"/>
      <c r="S24" s="833"/>
      <c r="T24" s="832"/>
      <c r="U24" s="833"/>
      <c r="V24" s="832"/>
      <c r="W24" s="833"/>
      <c r="X24" s="821"/>
      <c r="Y24" s="858"/>
      <c r="Z24" s="820"/>
      <c r="AA24" s="838">
        <v>1</v>
      </c>
      <c r="AB24" s="838">
        <v>1</v>
      </c>
      <c r="AC24" s="838">
        <v>1</v>
      </c>
    </row>
    <row r="25" ht="15.5" spans="1:29">
      <c r="A25" s="603"/>
      <c r="B25" s="690">
        <v>111</v>
      </c>
      <c r="C25" s="642">
        <v>111</v>
      </c>
      <c r="D25" s="643">
        <v>100</v>
      </c>
      <c r="E25" s="642"/>
      <c r="F25" s="681">
        <f>SUMIF(80:80,E25,81:81)-SUMIF(80:80,C25,81:81)+100</f>
        <v>100</v>
      </c>
      <c r="G25" s="642"/>
      <c r="H25" s="643">
        <f>SUMIF(80:80,G25,81:81)-SUMIF(80:80,C25,81:81)+100</f>
        <v>100</v>
      </c>
      <c r="I25" s="642"/>
      <c r="J25" s="643">
        <f>SUMIF(80:80,I25,81:81)-SUMIF(80:80,C25,81:81)+100</f>
        <v>100</v>
      </c>
      <c r="K25" s="768"/>
      <c r="L25" s="1929"/>
      <c r="M25" s="1920"/>
      <c r="N25" s="1920"/>
      <c r="O25" s="1928"/>
      <c r="P25" s="858"/>
      <c r="Q25" s="831">
        <f>B25</f>
        <v>111</v>
      </c>
      <c r="R25" s="832" t="s">
        <v>1174</v>
      </c>
      <c r="S25" s="833">
        <f>F25</f>
        <v>100</v>
      </c>
      <c r="T25" s="832" t="s">
        <v>1174</v>
      </c>
      <c r="U25" s="833">
        <f>H25</f>
        <v>100</v>
      </c>
      <c r="V25" s="832" t="s">
        <v>1174</v>
      </c>
      <c r="W25" s="833">
        <f>J25</f>
        <v>100</v>
      </c>
      <c r="X25" s="821"/>
      <c r="Y25" s="858"/>
      <c r="Z25" s="820">
        <f>Q25</f>
        <v>111</v>
      </c>
      <c r="AA25" s="838">
        <f t="shared" si="3"/>
        <v>1</v>
      </c>
      <c r="AB25" s="838">
        <f t="shared" si="4"/>
        <v>1</v>
      </c>
      <c r="AC25" s="838">
        <f t="shared" si="5"/>
        <v>1</v>
      </c>
    </row>
    <row r="26" ht="15.5" spans="1:29">
      <c r="A26" s="634"/>
      <c r="B26" s="690">
        <v>111</v>
      </c>
      <c r="C26" s="642">
        <v>111</v>
      </c>
      <c r="D26" s="643">
        <v>100</v>
      </c>
      <c r="E26" s="642"/>
      <c r="F26" s="681">
        <f>SUMIF(82:82,E26,83:83)-SUMIF(82:82,C26,83:83)+100</f>
        <v>100</v>
      </c>
      <c r="G26" s="642"/>
      <c r="H26" s="643">
        <f>SUMIF(82:82,G26,83:83)-SUMIF(82:82,C26,83:83)+100</f>
        <v>100</v>
      </c>
      <c r="I26" s="642"/>
      <c r="J26" s="643">
        <f>SUMIF(82:82,I26,83:83)-SUMIF(82:82,C26,83:83)+100</f>
        <v>100</v>
      </c>
      <c r="K26" s="768"/>
      <c r="L26" s="1929"/>
      <c r="M26" s="1920"/>
      <c r="N26" s="1920"/>
      <c r="O26" s="1928"/>
      <c r="P26" s="858"/>
      <c r="Q26" s="831">
        <f t="shared" ref="Q26:Q40" si="11">B26</f>
        <v>111</v>
      </c>
      <c r="R26" s="832" t="s">
        <v>1174</v>
      </c>
      <c r="S26" s="833">
        <f>F26</f>
        <v>100</v>
      </c>
      <c r="T26" s="832" t="s">
        <v>1174</v>
      </c>
      <c r="U26" s="833">
        <f>H26</f>
        <v>100</v>
      </c>
      <c r="V26" s="832" t="s">
        <v>1174</v>
      </c>
      <c r="W26" s="833">
        <f>J26</f>
        <v>100</v>
      </c>
      <c r="X26" s="821"/>
      <c r="Y26" s="858"/>
      <c r="Z26" s="820">
        <f>Q26</f>
        <v>111</v>
      </c>
      <c r="AA26" s="838">
        <f t="shared" si="3"/>
        <v>1</v>
      </c>
      <c r="AB26" s="838">
        <f t="shared" si="4"/>
        <v>1</v>
      </c>
      <c r="AC26" s="838">
        <f t="shared" si="5"/>
        <v>1</v>
      </c>
    </row>
    <row r="27" s="568" customFormat="1" ht="15.5" spans="1:29">
      <c r="A27" s="637"/>
      <c r="B27" s="690">
        <v>111</v>
      </c>
      <c r="C27" s="642">
        <v>111</v>
      </c>
      <c r="D27" s="674">
        <v>100</v>
      </c>
      <c r="E27" s="642"/>
      <c r="F27" s="1916">
        <f>SUMIF(84:84,E27,85:85)-SUMIF(84:84,C27,85:85)+100</f>
        <v>100</v>
      </c>
      <c r="G27" s="642"/>
      <c r="H27" s="674">
        <f>SUMIF(84:84,G27,85:85)-SUMIF(84:84,C27,85:85)+100</f>
        <v>100</v>
      </c>
      <c r="I27" s="642"/>
      <c r="J27" s="674">
        <f>SUMIF(84:84,I27,85:85)-SUMIF(84:84,C27,85:85)+100</f>
        <v>100</v>
      </c>
      <c r="K27" s="768"/>
      <c r="L27" s="1921"/>
      <c r="M27" s="1922"/>
      <c r="N27" s="1922"/>
      <c r="O27" s="1923"/>
      <c r="P27" s="858"/>
      <c r="Q27" s="830">
        <f t="shared" si="11"/>
        <v>111</v>
      </c>
      <c r="R27" s="826" t="s">
        <v>1174</v>
      </c>
      <c r="S27" s="827">
        <f>F27</f>
        <v>100</v>
      </c>
      <c r="T27" s="826" t="s">
        <v>1174</v>
      </c>
      <c r="U27" s="827">
        <f>H27</f>
        <v>100</v>
      </c>
      <c r="V27" s="826" t="s">
        <v>1174</v>
      </c>
      <c r="W27" s="827">
        <f>J27</f>
        <v>100</v>
      </c>
      <c r="X27" s="828"/>
      <c r="Y27" s="858"/>
      <c r="Z27" s="855">
        <f>Q27</f>
        <v>111</v>
      </c>
      <c r="AA27" s="838">
        <f t="shared" si="3"/>
        <v>1</v>
      </c>
      <c r="AB27" s="838">
        <f t="shared" si="4"/>
        <v>1</v>
      </c>
      <c r="AC27" s="838">
        <f t="shared" si="5"/>
        <v>1</v>
      </c>
    </row>
    <row r="28" ht="16.25" spans="1:29">
      <c r="A28" s="644"/>
      <c r="B28" s="690">
        <v>111</v>
      </c>
      <c r="C28" s="646">
        <v>111</v>
      </c>
      <c r="D28" s="647">
        <v>100</v>
      </c>
      <c r="E28" s="642"/>
      <c r="F28" s="692">
        <f>SUMIF(86:86,E28,87:87)-SUMIF(86:86,C28,87:87)+100</f>
        <v>100</v>
      </c>
      <c r="G28" s="683"/>
      <c r="H28" s="647">
        <f>SUMIF(86:86,G28,87:87)-SUMIF(86:86,C28,87:87)+100</f>
        <v>100</v>
      </c>
      <c r="I28" s="683"/>
      <c r="J28" s="647">
        <f>SUMIF(86:86,I28,87:87)-SUMIF(86:86,C28,87:87)+100</f>
        <v>100</v>
      </c>
      <c r="K28" s="768"/>
      <c r="L28" s="1929"/>
      <c r="M28" s="1920"/>
      <c r="N28" s="1920"/>
      <c r="O28" s="1928"/>
      <c r="P28" s="858"/>
      <c r="Q28" s="831">
        <f t="shared" si="11"/>
        <v>111</v>
      </c>
      <c r="R28" s="832" t="s">
        <v>1174</v>
      </c>
      <c r="S28" s="833">
        <f t="shared" ref="S28:S40" si="12">F28</f>
        <v>100</v>
      </c>
      <c r="T28" s="832" t="s">
        <v>1174</v>
      </c>
      <c r="U28" s="833">
        <f t="shared" ref="U28:U40" si="13">H28</f>
        <v>100</v>
      </c>
      <c r="V28" s="832" t="s">
        <v>1174</v>
      </c>
      <c r="W28" s="833">
        <f t="shared" ref="W28:W40" si="14">J28</f>
        <v>100</v>
      </c>
      <c r="X28" s="821"/>
      <c r="Y28" s="858"/>
      <c r="Z28" s="820">
        <f t="shared" ref="Z28:Z40" si="15">Q28</f>
        <v>111</v>
      </c>
      <c r="AA28" s="838">
        <f t="shared" si="3"/>
        <v>1</v>
      </c>
      <c r="AB28" s="838">
        <f t="shared" si="4"/>
        <v>1</v>
      </c>
      <c r="AC28" s="838">
        <f t="shared" si="5"/>
        <v>1</v>
      </c>
    </row>
    <row r="29" ht="15.5" spans="1:29">
      <c r="A29" s="1866" t="s">
        <v>1198</v>
      </c>
      <c r="B29" s="624" t="s">
        <v>1199</v>
      </c>
      <c r="C29" s="679"/>
      <c r="D29" s="680">
        <v>100</v>
      </c>
      <c r="E29" s="679"/>
      <c r="F29" s="681">
        <f>SUMIF(88:88,E29,89:89)-SUMIF(88:88,C29,89:89)+100</f>
        <v>100</v>
      </c>
      <c r="G29" s="679"/>
      <c r="H29" s="643">
        <f>SUMIF(88:88,G29,89:89)-SUMIF(88:88,C29,89:89)+100</f>
        <v>100</v>
      </c>
      <c r="I29" s="679"/>
      <c r="J29" s="680">
        <f>SUMIF(88:88,I29,89:89)-SUMIF(88:88,C29,89:89)+100</f>
        <v>100</v>
      </c>
      <c r="K29" s="766"/>
      <c r="L29" s="1929"/>
      <c r="M29" s="1920"/>
      <c r="N29" s="1920"/>
      <c r="O29" s="1928"/>
      <c r="P29" s="1585" t="s">
        <v>1202</v>
      </c>
      <c r="Q29" s="831" t="str">
        <f t="shared" si="11"/>
        <v>建筑类型</v>
      </c>
      <c r="R29" s="832" t="s">
        <v>1174</v>
      </c>
      <c r="S29" s="833">
        <f t="shared" si="12"/>
        <v>100</v>
      </c>
      <c r="T29" s="832" t="s">
        <v>1174</v>
      </c>
      <c r="U29" s="833">
        <f t="shared" si="13"/>
        <v>100</v>
      </c>
      <c r="V29" s="832" t="s">
        <v>1174</v>
      </c>
      <c r="W29" s="833">
        <f t="shared" si="14"/>
        <v>100</v>
      </c>
      <c r="X29" s="821"/>
      <c r="Y29" s="859" t="s">
        <v>1202</v>
      </c>
      <c r="Z29" s="820" t="str">
        <f t="shared" si="15"/>
        <v>建筑类型</v>
      </c>
      <c r="AA29" s="838">
        <f t="shared" si="3"/>
        <v>1</v>
      </c>
      <c r="AB29" s="838">
        <f t="shared" si="4"/>
        <v>1</v>
      </c>
      <c r="AC29" s="838">
        <f t="shared" si="5"/>
        <v>1</v>
      </c>
    </row>
    <row r="30" s="570" customFormat="1" ht="15.5" spans="1:29">
      <c r="A30" s="682"/>
      <c r="B30" s="630" t="s">
        <v>1203</v>
      </c>
      <c r="C30" s="683"/>
      <c r="D30" s="632">
        <v>100</v>
      </c>
      <c r="E30" s="636"/>
      <c r="F30" s="684" t="e">
        <f>LOOKUP(E30,91:91,92:92)-LOOKUP(C30,91:91,92:92)+100</f>
        <v>#N/A</v>
      </c>
      <c r="G30" s="635"/>
      <c r="H30" s="632" t="e">
        <f>LOOKUP(G30,91:91,92:92)-LOOKUP(C30,91:91,92:92)+100</f>
        <v>#N/A</v>
      </c>
      <c r="I30" s="635"/>
      <c r="J30" s="632" t="e">
        <f>LOOKUP(I30,91:91,92:92)-LOOKUP(C30,91:91,92:92)+100</f>
        <v>#N/A</v>
      </c>
      <c r="K30" s="768"/>
      <c r="L30" s="1927"/>
      <c r="M30" s="1930"/>
      <c r="N30" s="1930"/>
      <c r="O30" s="1931"/>
      <c r="P30" s="859"/>
      <c r="Q30" s="834" t="str">
        <f t="shared" si="11"/>
        <v>项目建筑规模</v>
      </c>
      <c r="R30" s="835" t="s">
        <v>1174</v>
      </c>
      <c r="S30" s="836" t="e">
        <f t="shared" si="12"/>
        <v>#N/A</v>
      </c>
      <c r="T30" s="835" t="s">
        <v>1174</v>
      </c>
      <c r="U30" s="836" t="e">
        <f t="shared" si="13"/>
        <v>#N/A</v>
      </c>
      <c r="V30" s="835" t="s">
        <v>1174</v>
      </c>
      <c r="W30" s="836" t="e">
        <f t="shared" si="14"/>
        <v>#N/A</v>
      </c>
      <c r="X30" s="837"/>
      <c r="Y30" s="859"/>
      <c r="Z30" s="860" t="str">
        <f t="shared" si="15"/>
        <v>项目建筑规模</v>
      </c>
      <c r="AA30" s="838" t="e">
        <f t="shared" si="3"/>
        <v>#N/A</v>
      </c>
      <c r="AB30" s="838" t="e">
        <f t="shared" si="4"/>
        <v>#N/A</v>
      </c>
      <c r="AC30" s="838" t="e">
        <f t="shared" si="5"/>
        <v>#N/A</v>
      </c>
    </row>
    <row r="31" ht="15.5" spans="1:29">
      <c r="A31" s="685"/>
      <c r="B31" s="630" t="s">
        <v>1204</v>
      </c>
      <c r="C31" s="686"/>
      <c r="D31" s="643">
        <v>100</v>
      </c>
      <c r="E31" s="686"/>
      <c r="F31" s="681">
        <f>SUMIF(93:93,E31,94:94)-SUMIF(93:93,C31,94:94)+100</f>
        <v>100</v>
      </c>
      <c r="G31" s="686"/>
      <c r="H31" s="643">
        <f>SUMIF(93:93,G31,94:94)-SUMIF(93:93,C31,94:94)+100</f>
        <v>100</v>
      </c>
      <c r="I31" s="686"/>
      <c r="J31" s="643">
        <f>SUMIF(93:93,I31,94:94)-SUMIF(93:93,C31,94:94)+100</f>
        <v>100</v>
      </c>
      <c r="K31" s="766"/>
      <c r="L31" s="1929"/>
      <c r="M31" s="1920"/>
      <c r="N31" s="1920"/>
      <c r="O31" s="1928"/>
      <c r="P31" s="859"/>
      <c r="Q31" s="831" t="str">
        <f t="shared" si="11"/>
        <v>建筑结构</v>
      </c>
      <c r="R31" s="832" t="s">
        <v>1174</v>
      </c>
      <c r="S31" s="833">
        <f t="shared" si="12"/>
        <v>100</v>
      </c>
      <c r="T31" s="832" t="s">
        <v>1174</v>
      </c>
      <c r="U31" s="833">
        <f t="shared" si="13"/>
        <v>100</v>
      </c>
      <c r="V31" s="832" t="s">
        <v>1174</v>
      </c>
      <c r="W31" s="833">
        <f t="shared" si="14"/>
        <v>100</v>
      </c>
      <c r="X31" s="821"/>
      <c r="Y31" s="859"/>
      <c r="Z31" s="820" t="str">
        <f t="shared" si="15"/>
        <v>建筑结构</v>
      </c>
      <c r="AA31" s="838">
        <f t="shared" si="3"/>
        <v>1</v>
      </c>
      <c r="AB31" s="838">
        <f t="shared" si="4"/>
        <v>1</v>
      </c>
      <c r="AC31" s="838">
        <f t="shared" si="5"/>
        <v>1</v>
      </c>
    </row>
    <row r="32" ht="15.5" spans="1:29">
      <c r="A32" s="685"/>
      <c r="B32" s="630" t="s">
        <v>1205</v>
      </c>
      <c r="C32" s="686"/>
      <c r="D32" s="643">
        <v>100</v>
      </c>
      <c r="E32" s="686"/>
      <c r="F32" s="681">
        <f>SUMIF(95:95,E32,96:96)-SUMIF(95:95,C32,96:96)+100</f>
        <v>100</v>
      </c>
      <c r="G32" s="686"/>
      <c r="H32" s="643">
        <f>SUMIF(95:95,G32,96:96)-SUMIF(95:95,C32,96:96)+100</f>
        <v>100</v>
      </c>
      <c r="I32" s="686"/>
      <c r="J32" s="643">
        <f>SUMIF(95:95,I32,96:96)-SUMIF(95:95,C32,96:96)+100</f>
        <v>100</v>
      </c>
      <c r="K32" s="766"/>
      <c r="L32" s="1929"/>
      <c r="M32" s="1920"/>
      <c r="N32" s="1920"/>
      <c r="O32" s="1928"/>
      <c r="P32" s="859"/>
      <c r="Q32" s="831" t="str">
        <f t="shared" si="11"/>
        <v>公共部分装修</v>
      </c>
      <c r="R32" s="832" t="s">
        <v>1174</v>
      </c>
      <c r="S32" s="833">
        <f t="shared" si="12"/>
        <v>100</v>
      </c>
      <c r="T32" s="832" t="s">
        <v>1174</v>
      </c>
      <c r="U32" s="833">
        <f t="shared" si="13"/>
        <v>100</v>
      </c>
      <c r="V32" s="832" t="s">
        <v>1174</v>
      </c>
      <c r="W32" s="833">
        <f t="shared" si="14"/>
        <v>100</v>
      </c>
      <c r="X32" s="821"/>
      <c r="Y32" s="859"/>
      <c r="Z32" s="820" t="str">
        <f t="shared" si="15"/>
        <v>公共部分装修</v>
      </c>
      <c r="AA32" s="838">
        <f t="shared" si="3"/>
        <v>1</v>
      </c>
      <c r="AB32" s="838">
        <f t="shared" si="4"/>
        <v>1</v>
      </c>
      <c r="AC32" s="838">
        <f t="shared" si="5"/>
        <v>1</v>
      </c>
    </row>
    <row r="33" ht="15.5" spans="1:29">
      <c r="A33" s="685"/>
      <c r="B33" s="630" t="s">
        <v>636</v>
      </c>
      <c r="C33" s="683"/>
      <c r="D33" s="643">
        <v>100</v>
      </c>
      <c r="E33" s="687"/>
      <c r="F33" s="681" t="e">
        <f>LOOKUP(E33,98:98,99:99)-LOOKUP(C33,98:98,99:99)+100</f>
        <v>#N/A</v>
      </c>
      <c r="G33" s="687"/>
      <c r="H33" s="681" t="e">
        <f>LOOKUP(G33,98:98,99:99)-LOOKUP(C33,98:98,99:99)+100</f>
        <v>#N/A</v>
      </c>
      <c r="I33" s="687"/>
      <c r="J33" s="643" t="e">
        <f>LOOKUP(I33,98:98,99:99)-LOOKUP(C33,98:98,99:99)+100</f>
        <v>#N/A</v>
      </c>
      <c r="K33" s="766"/>
      <c r="L33" s="1929"/>
      <c r="M33" s="1920"/>
      <c r="N33" s="1920"/>
      <c r="O33" s="1928"/>
      <c r="P33" s="859"/>
      <c r="Q33" s="831" t="str">
        <f t="shared" si="11"/>
        <v>成新度</v>
      </c>
      <c r="R33" s="832" t="s">
        <v>1174</v>
      </c>
      <c r="S33" s="833" t="e">
        <f t="shared" si="12"/>
        <v>#N/A</v>
      </c>
      <c r="T33" s="832" t="s">
        <v>1174</v>
      </c>
      <c r="U33" s="833" t="e">
        <f t="shared" si="13"/>
        <v>#N/A</v>
      </c>
      <c r="V33" s="832" t="s">
        <v>1174</v>
      </c>
      <c r="W33" s="833" t="e">
        <f t="shared" si="14"/>
        <v>#N/A</v>
      </c>
      <c r="X33" s="821"/>
      <c r="Y33" s="859"/>
      <c r="Z33" s="820" t="str">
        <f t="shared" si="15"/>
        <v>成新度</v>
      </c>
      <c r="AA33" s="838" t="e">
        <f t="shared" si="3"/>
        <v>#N/A</v>
      </c>
      <c r="AB33" s="838" t="e">
        <f t="shared" si="4"/>
        <v>#N/A</v>
      </c>
      <c r="AC33" s="838" t="e">
        <f t="shared" si="5"/>
        <v>#N/A</v>
      </c>
    </row>
    <row r="34" s="568" customFormat="1" ht="15.5" spans="1:29">
      <c r="A34" s="688"/>
      <c r="B34" s="630" t="s">
        <v>1207</v>
      </c>
      <c r="C34" s="686"/>
      <c r="D34" s="632">
        <v>100</v>
      </c>
      <c r="E34" s="686"/>
      <c r="F34" s="681">
        <f>SUMIF(100:100,E34,101:101)-SUMIF(100:100,C34,101:101)+100</f>
        <v>100</v>
      </c>
      <c r="G34" s="686"/>
      <c r="H34" s="643">
        <f>SUMIF(100:100,G34,101:101)-SUMIF(100:100,C34,101:101)+100</f>
        <v>100</v>
      </c>
      <c r="I34" s="686"/>
      <c r="J34" s="643">
        <f>SUMIF(100:100,I34,101:101)-SUMIF(100:100,C34,101:101)+100</f>
        <v>100</v>
      </c>
      <c r="K34" s="766"/>
      <c r="L34" s="1921"/>
      <c r="M34" s="1922"/>
      <c r="N34" s="1922"/>
      <c r="O34" s="1923"/>
      <c r="P34" s="859"/>
      <c r="Q34" s="830" t="str">
        <f t="shared" si="11"/>
        <v>物业管理</v>
      </c>
      <c r="R34" s="826" t="s">
        <v>1174</v>
      </c>
      <c r="S34" s="827">
        <f t="shared" si="12"/>
        <v>100</v>
      </c>
      <c r="T34" s="826" t="s">
        <v>1174</v>
      </c>
      <c r="U34" s="827">
        <f t="shared" si="13"/>
        <v>100</v>
      </c>
      <c r="V34" s="826" t="s">
        <v>1174</v>
      </c>
      <c r="W34" s="827">
        <f t="shared" si="14"/>
        <v>100</v>
      </c>
      <c r="X34" s="828"/>
      <c r="Y34" s="859"/>
      <c r="Z34" s="855" t="str">
        <f t="shared" si="15"/>
        <v>物业管理</v>
      </c>
      <c r="AA34" s="853">
        <f t="shared" si="3"/>
        <v>1</v>
      </c>
      <c r="AB34" s="853">
        <f t="shared" si="4"/>
        <v>1</v>
      </c>
      <c r="AC34" s="853">
        <f t="shared" si="5"/>
        <v>1</v>
      </c>
    </row>
    <row r="35" ht="15.5" spans="1:29">
      <c r="A35" s="685"/>
      <c r="B35" s="630" t="s">
        <v>1208</v>
      </c>
      <c r="C35" s="686"/>
      <c r="D35" s="643">
        <v>100</v>
      </c>
      <c r="E35" s="686"/>
      <c r="F35" s="681">
        <f>SUMIF(102:102,E35,103:103)-SUMIF(102:102,C35,103:103)+100</f>
        <v>100</v>
      </c>
      <c r="G35" s="686"/>
      <c r="H35" s="643">
        <f>SUMIF(102:102,G35,103:103)-SUMIF(102:102,C35,103:103)+100</f>
        <v>100</v>
      </c>
      <c r="I35" s="686"/>
      <c r="J35" s="643">
        <f>SUMIF(102:102,I35,103:103)-SUMIF(102:102,C35,103:103)+100</f>
        <v>100</v>
      </c>
      <c r="K35" s="766"/>
      <c r="L35" s="1929"/>
      <c r="M35" s="1920"/>
      <c r="N35" s="1920"/>
      <c r="O35" s="1928"/>
      <c r="P35" s="859" t="s">
        <v>1202</v>
      </c>
      <c r="Q35" s="831" t="str">
        <f t="shared" si="11"/>
        <v>市政基础设施</v>
      </c>
      <c r="R35" s="832" t="s">
        <v>1174</v>
      </c>
      <c r="S35" s="833">
        <f t="shared" si="12"/>
        <v>100</v>
      </c>
      <c r="T35" s="832" t="s">
        <v>1174</v>
      </c>
      <c r="U35" s="833">
        <f t="shared" si="13"/>
        <v>100</v>
      </c>
      <c r="V35" s="832" t="s">
        <v>1174</v>
      </c>
      <c r="W35" s="833">
        <f t="shared" si="14"/>
        <v>100</v>
      </c>
      <c r="X35" s="821"/>
      <c r="Y35" s="859" t="s">
        <v>1202</v>
      </c>
      <c r="Z35" s="820" t="str">
        <f t="shared" si="15"/>
        <v>市政基础设施</v>
      </c>
      <c r="AA35" s="838">
        <f t="shared" si="3"/>
        <v>1</v>
      </c>
      <c r="AB35" s="838">
        <f t="shared" si="4"/>
        <v>1</v>
      </c>
      <c r="AC35" s="838">
        <f t="shared" si="5"/>
        <v>1</v>
      </c>
    </row>
    <row r="36" ht="15.5" spans="1:29">
      <c r="A36" s="685"/>
      <c r="B36" s="630" t="s">
        <v>1211</v>
      </c>
      <c r="C36" s="686"/>
      <c r="D36" s="643">
        <v>100</v>
      </c>
      <c r="E36" s="686"/>
      <c r="F36" s="681">
        <f>SUMIF(104:104,E36,105:105)-SUMIF(104:104,C36,105:105)+100</f>
        <v>100</v>
      </c>
      <c r="G36" s="686"/>
      <c r="H36" s="643">
        <f>SUMIF(104:104,G36,105:105)-SUMIF(104:104,C36,105:105)+100</f>
        <v>100</v>
      </c>
      <c r="I36" s="686"/>
      <c r="J36" s="643">
        <f>SUMIF(104:104,I36,105:105)-SUMIF(104:104,C36,105:105)+100</f>
        <v>100</v>
      </c>
      <c r="K36" s="766"/>
      <c r="L36" s="1929"/>
      <c r="M36" s="1920"/>
      <c r="N36" s="1920"/>
      <c r="O36" s="1928"/>
      <c r="P36" s="859"/>
      <c r="Q36" s="831" t="str">
        <f t="shared" si="11"/>
        <v>内部装修</v>
      </c>
      <c r="R36" s="832" t="s">
        <v>1174</v>
      </c>
      <c r="S36" s="833">
        <f t="shared" si="12"/>
        <v>100</v>
      </c>
      <c r="T36" s="832" t="s">
        <v>1174</v>
      </c>
      <c r="U36" s="833">
        <f t="shared" si="13"/>
        <v>100</v>
      </c>
      <c r="V36" s="832" t="s">
        <v>1174</v>
      </c>
      <c r="W36" s="833">
        <f t="shared" si="14"/>
        <v>100</v>
      </c>
      <c r="X36" s="821"/>
      <c r="Y36" s="859"/>
      <c r="Z36" s="820" t="str">
        <f t="shared" si="15"/>
        <v>内部装修</v>
      </c>
      <c r="AA36" s="838">
        <f t="shared" si="3"/>
        <v>1</v>
      </c>
      <c r="AB36" s="838">
        <f t="shared" si="4"/>
        <v>1</v>
      </c>
      <c r="AC36" s="838">
        <f t="shared" si="5"/>
        <v>1</v>
      </c>
    </row>
    <row r="37" ht="15.5" spans="1:29">
      <c r="A37" s="685"/>
      <c r="B37" s="630" t="s">
        <v>1493</v>
      </c>
      <c r="C37" s="672"/>
      <c r="D37" s="643">
        <v>100</v>
      </c>
      <c r="E37" s="672"/>
      <c r="F37" s="681">
        <f>SUMIF(106:106,E37,107:107)-SUMIF(106:106,C37,107:107)+100</f>
        <v>100</v>
      </c>
      <c r="G37" s="672"/>
      <c r="H37" s="643">
        <f>SUMIF(106:106,G37,107:107)-SUMIF(106:106,C37,107:107)+100</f>
        <v>100</v>
      </c>
      <c r="I37" s="672"/>
      <c r="J37" s="643">
        <f>SUMIF(106:106,I37,107:107)-SUMIF(106:106,C37,107:107)+100</f>
        <v>100</v>
      </c>
      <c r="K37" s="766"/>
      <c r="L37" s="1929"/>
      <c r="M37" s="1920"/>
      <c r="N37" s="1920"/>
      <c r="O37" s="1928"/>
      <c r="P37" s="859"/>
      <c r="Q37" s="831" t="str">
        <f t="shared" si="11"/>
        <v>内部装修状况</v>
      </c>
      <c r="R37" s="832" t="s">
        <v>1174</v>
      </c>
      <c r="S37" s="833">
        <f t="shared" si="12"/>
        <v>100</v>
      </c>
      <c r="T37" s="832" t="s">
        <v>1174</v>
      </c>
      <c r="U37" s="833">
        <f t="shared" si="13"/>
        <v>100</v>
      </c>
      <c r="V37" s="832" t="s">
        <v>1174</v>
      </c>
      <c r="W37" s="833">
        <f t="shared" si="14"/>
        <v>100</v>
      </c>
      <c r="X37" s="821"/>
      <c r="Y37" s="859"/>
      <c r="Z37" s="820" t="str">
        <f t="shared" si="15"/>
        <v>内部装修状况</v>
      </c>
      <c r="AA37" s="838">
        <f t="shared" si="3"/>
        <v>1</v>
      </c>
      <c r="AB37" s="838">
        <f t="shared" si="4"/>
        <v>1</v>
      </c>
      <c r="AC37" s="838">
        <f t="shared" si="5"/>
        <v>1</v>
      </c>
    </row>
    <row r="38" s="570" customFormat="1" ht="15.5" spans="1:29">
      <c r="A38" s="682"/>
      <c r="B38" s="690">
        <v>111</v>
      </c>
      <c r="C38" s="683"/>
      <c r="D38" s="643">
        <v>100</v>
      </c>
      <c r="E38" s="642"/>
      <c r="F38" s="681">
        <f>SUMIF(108:108,E38,109:109)-SUMIF(108:108,C38,109:109)+100</f>
        <v>100</v>
      </c>
      <c r="G38" s="683"/>
      <c r="H38" s="643">
        <f>SUMIF(108:108,G38,109:109)-SUMIF(108:108,C38,109:109)+100</f>
        <v>100</v>
      </c>
      <c r="I38" s="683"/>
      <c r="J38" s="643">
        <f>SUMIF(108:108,I38,109:1038)-SUMIF(108:108,C38,109:109)+100</f>
        <v>100</v>
      </c>
      <c r="K38" s="768"/>
      <c r="L38" s="1927"/>
      <c r="M38" s="1930"/>
      <c r="N38" s="1930"/>
      <c r="O38" s="1931"/>
      <c r="P38" s="859"/>
      <c r="Q38" s="834">
        <f t="shared" si="11"/>
        <v>111</v>
      </c>
      <c r="R38" s="835" t="s">
        <v>1174</v>
      </c>
      <c r="S38" s="836">
        <f t="shared" si="12"/>
        <v>100</v>
      </c>
      <c r="T38" s="835" t="s">
        <v>1174</v>
      </c>
      <c r="U38" s="836">
        <f t="shared" si="13"/>
        <v>100</v>
      </c>
      <c r="V38" s="835" t="s">
        <v>1174</v>
      </c>
      <c r="W38" s="836">
        <f t="shared" si="14"/>
        <v>100</v>
      </c>
      <c r="X38" s="837"/>
      <c r="Y38" s="859"/>
      <c r="Z38" s="860">
        <f t="shared" si="15"/>
        <v>111</v>
      </c>
      <c r="AA38" s="838">
        <f t="shared" si="3"/>
        <v>1</v>
      </c>
      <c r="AB38" s="838">
        <f t="shared" si="4"/>
        <v>1</v>
      </c>
      <c r="AC38" s="838">
        <f t="shared" si="5"/>
        <v>1</v>
      </c>
    </row>
    <row r="39" ht="15.5" spans="1:29">
      <c r="A39" s="685"/>
      <c r="B39" s="690">
        <v>111</v>
      </c>
      <c r="C39" s="683"/>
      <c r="D39" s="643">
        <v>100</v>
      </c>
      <c r="E39" s="642"/>
      <c r="F39" s="681">
        <f>SUMIF(110:110,E39,111:111)-SUMIF(110:110,C39,111:111)+100</f>
        <v>100</v>
      </c>
      <c r="G39" s="683"/>
      <c r="H39" s="643">
        <f>SUMIF(110:110,G39,111:111)-SUMIF(110:110,C39,111:111)+100</f>
        <v>100</v>
      </c>
      <c r="I39" s="683"/>
      <c r="J39" s="643">
        <f>SUMIF(110:110,I39,111:111)-SUMIF(110:110,C39,111:111)+100</f>
        <v>100</v>
      </c>
      <c r="K39" s="768"/>
      <c r="L39" s="1929"/>
      <c r="M39" s="1920"/>
      <c r="N39" s="1920"/>
      <c r="O39" s="1928"/>
      <c r="P39" s="859"/>
      <c r="Q39" s="831">
        <f t="shared" si="11"/>
        <v>111</v>
      </c>
      <c r="R39" s="832" t="s">
        <v>1174</v>
      </c>
      <c r="S39" s="833">
        <f t="shared" si="12"/>
        <v>100</v>
      </c>
      <c r="T39" s="832" t="s">
        <v>1174</v>
      </c>
      <c r="U39" s="833">
        <f t="shared" si="13"/>
        <v>100</v>
      </c>
      <c r="V39" s="832" t="s">
        <v>1174</v>
      </c>
      <c r="W39" s="833">
        <f t="shared" si="14"/>
        <v>100</v>
      </c>
      <c r="X39" s="821"/>
      <c r="Y39" s="859"/>
      <c r="Z39" s="820">
        <f t="shared" si="15"/>
        <v>111</v>
      </c>
      <c r="AA39" s="838">
        <f t="shared" si="3"/>
        <v>1</v>
      </c>
      <c r="AB39" s="838">
        <f t="shared" si="4"/>
        <v>1</v>
      </c>
      <c r="AC39" s="838">
        <f t="shared" si="5"/>
        <v>1</v>
      </c>
    </row>
    <row r="40" ht="16.25" spans="1:29">
      <c r="A40" s="691"/>
      <c r="B40" s="645">
        <v>111</v>
      </c>
      <c r="C40" s="646"/>
      <c r="D40" s="647">
        <v>100</v>
      </c>
      <c r="E40" s="642"/>
      <c r="F40" s="692">
        <f>SUMIF(112:112,E40,113:113)-SUMIF(112:112,C40,113:113)+100</f>
        <v>100</v>
      </c>
      <c r="G40" s="683"/>
      <c r="H40" s="647">
        <f>SUMIF(112:112,G40,113:113)-SUMIF(112:112,C40,113:113)+100</f>
        <v>100</v>
      </c>
      <c r="I40" s="683"/>
      <c r="J40" s="647">
        <f>SUMIF(112:112,I40,113:113)-SUMIF(112:112,C40,113:113)+100</f>
        <v>100</v>
      </c>
      <c r="K40" s="768"/>
      <c r="L40" s="1929"/>
      <c r="M40" s="1920"/>
      <c r="N40" s="1920"/>
      <c r="O40" s="1928"/>
      <c r="P40" s="861"/>
      <c r="Q40" s="831">
        <f t="shared" si="11"/>
        <v>111</v>
      </c>
      <c r="R40" s="832" t="s">
        <v>1174</v>
      </c>
      <c r="S40" s="833">
        <f t="shared" si="12"/>
        <v>100</v>
      </c>
      <c r="T40" s="832" t="s">
        <v>1174</v>
      </c>
      <c r="U40" s="833">
        <f t="shared" si="13"/>
        <v>100</v>
      </c>
      <c r="V40" s="832" t="s">
        <v>1174</v>
      </c>
      <c r="W40" s="833">
        <f t="shared" si="14"/>
        <v>100</v>
      </c>
      <c r="X40" s="821"/>
      <c r="Y40" s="861"/>
      <c r="Z40" s="820">
        <f t="shared" si="15"/>
        <v>111</v>
      </c>
      <c r="AA40" s="838">
        <f t="shared" si="3"/>
        <v>1</v>
      </c>
      <c r="AB40" s="838">
        <f t="shared" si="4"/>
        <v>1</v>
      </c>
      <c r="AC40" s="838">
        <f t="shared" si="5"/>
        <v>1</v>
      </c>
    </row>
    <row r="41" spans="1:29">
      <c r="A41" s="693" t="s">
        <v>1214</v>
      </c>
      <c r="B41" s="694"/>
      <c r="C41" s="695" t="s">
        <v>124</v>
      </c>
      <c r="D41" s="696"/>
      <c r="E41" s="697"/>
      <c r="F41" s="698"/>
      <c r="G41" s="699"/>
      <c r="H41" s="700"/>
      <c r="I41" s="697"/>
      <c r="J41" s="700"/>
      <c r="K41" s="781"/>
      <c r="L41" s="1932"/>
      <c r="M41" s="1568"/>
      <c r="N41" s="1920"/>
      <c r="O41" s="1568"/>
      <c r="P41" s="831" t="str">
        <f>A41</f>
        <v>成交单价（元/平方米）</v>
      </c>
      <c r="Q41" s="831"/>
      <c r="R41" s="838">
        <f>E41</f>
        <v>0</v>
      </c>
      <c r="S41" s="838"/>
      <c r="T41" s="838">
        <f>G41</f>
        <v>0</v>
      </c>
      <c r="U41" s="838"/>
      <c r="V41" s="838">
        <f>I41</f>
        <v>0</v>
      </c>
      <c r="W41" s="838"/>
      <c r="X41" s="721"/>
      <c r="Y41" s="862"/>
      <c r="Z41" s="721"/>
      <c r="AA41" s="721"/>
      <c r="AB41" s="721"/>
      <c r="AC41" s="721"/>
    </row>
    <row r="42" ht="14.75" spans="1:29">
      <c r="A42" s="701" t="s">
        <v>1215</v>
      </c>
      <c r="B42" s="702"/>
      <c r="C42" s="703" t="e">
        <f>R43</f>
        <v>#DIV/0!</v>
      </c>
      <c r="D42" s="704" t="s">
        <v>1216</v>
      </c>
      <c r="E42" s="705" t="e">
        <f>R42</f>
        <v>#DIV/0!</v>
      </c>
      <c r="F42" s="706"/>
      <c r="G42" s="703" t="e">
        <f>T42</f>
        <v>#DIV/0!</v>
      </c>
      <c r="H42" s="706"/>
      <c r="I42" s="705" t="e">
        <f>V42</f>
        <v>#DIV/0!</v>
      </c>
      <c r="J42" s="706"/>
      <c r="K42" s="783">
        <f>F42+H42+J42</f>
        <v>0</v>
      </c>
      <c r="L42" s="1932"/>
      <c r="M42" s="1568"/>
      <c r="N42" s="1920"/>
      <c r="O42" s="1568"/>
      <c r="P42" s="831" t="str">
        <f>A42</f>
        <v>比较价值（元/平方米）</v>
      </c>
      <c r="Q42" s="831"/>
      <c r="R42" s="838" t="e">
        <f>IF(F1="售价",ROUND(PRODUCT(R41,AA7:AA40),0),ROUND(PRODUCT(R41,AA7:AA40),1))</f>
        <v>#DIV/0!</v>
      </c>
      <c r="S42" s="838"/>
      <c r="T42" s="838" t="e">
        <f>IF(F1="售价",ROUND(PRODUCT(T41,AB7:AB40),0),ROUND(PRODUCT(T41,AB7:AB40),1))</f>
        <v>#DIV/0!</v>
      </c>
      <c r="U42" s="838"/>
      <c r="V42" s="838" t="e">
        <f>IF(F1="售价",ROUND(PRODUCT(V41,AC7:AC40),0),ROUND(PRODUCT(V41,AC7:AC40),1))</f>
        <v>#DIV/0!</v>
      </c>
      <c r="W42" s="838"/>
      <c r="X42" s="721"/>
      <c r="Y42" s="721"/>
      <c r="Z42" s="721"/>
      <c r="AA42" s="721"/>
      <c r="AB42" s="721"/>
      <c r="AC42" s="721"/>
    </row>
    <row r="43" ht="14.75" spans="1:29">
      <c r="A43" s="707" t="s">
        <v>1217</v>
      </c>
      <c r="B43" s="708"/>
      <c r="C43" s="709" t="e">
        <f>R43</f>
        <v>#DIV/0!</v>
      </c>
      <c r="D43" s="709"/>
      <c r="E43" s="709"/>
      <c r="F43" s="709"/>
      <c r="G43" s="709"/>
      <c r="H43" s="709"/>
      <c r="I43" s="709"/>
      <c r="J43" s="709"/>
      <c r="K43" s="785"/>
      <c r="L43" s="1932"/>
      <c r="M43" s="1568"/>
      <c r="N43" s="1568"/>
      <c r="O43" s="1568"/>
      <c r="P43" s="689" t="str">
        <f>A43</f>
        <v>估价对象XX用房的比较价值（楼面单价，元/平方米）</v>
      </c>
      <c r="Q43" s="1598"/>
      <c r="R43" s="1947" t="e">
        <f>IF(F1="售价",ROUND(IF(D42="简单平均",AVERAGE(R42:V42),R42*F42+T42*H42+V42*J42),0),ROUND(IF(D42="简单平均",AVERAGE(R42:V42),R42*F42+T42*H42+V42*J42),1))</f>
        <v>#DIV/0!</v>
      </c>
      <c r="S43" s="1947"/>
      <c r="T43" s="1947"/>
      <c r="U43" s="1947"/>
      <c r="V43" s="1947"/>
      <c r="W43" s="1947"/>
      <c r="X43" s="721"/>
      <c r="Y43" s="721"/>
      <c r="Z43" s="721"/>
      <c r="AA43" s="721"/>
      <c r="AB43" s="721"/>
      <c r="AC43" s="721"/>
    </row>
    <row r="44" spans="1:15">
      <c r="A44" s="710"/>
      <c r="B44" s="710"/>
      <c r="C44" s="710"/>
      <c r="D44" s="710"/>
      <c r="E44" s="710"/>
      <c r="F44" s="710"/>
      <c r="G44" s="711"/>
      <c r="H44" s="710"/>
      <c r="I44" s="710"/>
      <c r="J44" s="710"/>
      <c r="K44" s="787"/>
      <c r="L44" s="1592"/>
      <c r="M44" s="1568"/>
      <c r="N44" s="1568"/>
      <c r="O44" s="1568"/>
    </row>
    <row r="45" spans="1:15">
      <c r="A45" s="710"/>
      <c r="B45" s="710"/>
      <c r="C45" s="710"/>
      <c r="D45" s="710"/>
      <c r="E45" s="710"/>
      <c r="F45" s="710"/>
      <c r="G45" s="710"/>
      <c r="H45" s="710"/>
      <c r="I45" s="710"/>
      <c r="J45" s="710"/>
      <c r="K45" s="787"/>
      <c r="L45" s="1592"/>
      <c r="M45" s="1568"/>
      <c r="N45" s="1568"/>
      <c r="O45" s="1568"/>
    </row>
    <row r="46" ht="13.5" customHeight="1" spans="1:15">
      <c r="A46" s="710"/>
      <c r="B46" s="710"/>
      <c r="C46" s="712" t="s">
        <v>1218</v>
      </c>
      <c r="D46" s="713"/>
      <c r="E46" s="714" t="e">
        <f>IF(E41&lt;E42,E42/E41-1,E41/E42-1)</f>
        <v>#DIV/0!</v>
      </c>
      <c r="F46" s="715" t="e">
        <f>IF(OR(E46&gt;=0.3,E46&lt;=-0.3),"超过30%","")</f>
        <v>#DIV/0!</v>
      </c>
      <c r="G46" s="714" t="e">
        <f>IF(G41&lt;G42,G42/G41-1,G41/G42-1)</f>
        <v>#DIV/0!</v>
      </c>
      <c r="H46" s="715" t="e">
        <f>IF(OR(G46&gt;=0.3,G46&lt;=-0.3),"超过30%","")</f>
        <v>#DIV/0!</v>
      </c>
      <c r="I46" s="714" t="e">
        <f>IF(I41&lt;I42,I42/I41-1,I41/I42-1)</f>
        <v>#DIV/0!</v>
      </c>
      <c r="J46" s="715" t="e">
        <f>IF(OR(I46&gt;=0.3,I46&lt;=-0.3),"超过30%","")</f>
        <v>#DIV/0!</v>
      </c>
      <c r="K46" s="787"/>
      <c r="L46" s="1592"/>
      <c r="M46" s="1568"/>
      <c r="N46" s="1568"/>
      <c r="O46" s="1568"/>
    </row>
    <row r="47" ht="13.5" customHeight="1" spans="1:15">
      <c r="A47" s="710"/>
      <c r="B47" s="710"/>
      <c r="C47" s="712" t="s">
        <v>1219</v>
      </c>
      <c r="D47" s="716"/>
      <c r="E47" s="714" t="e">
        <f>IF(E42&lt;G42,G42/E42-1,E42/G42-1)</f>
        <v>#DIV/0!</v>
      </c>
      <c r="F47" s="715" t="e">
        <f>IF(OR(E47&gt;=0.2,E47&lt;=-0.2),"超过20%","")</f>
        <v>#DIV/0!</v>
      </c>
      <c r="G47" s="714" t="e">
        <f>IF(G42&lt;I42,I42/G42-1,G42/I42-1)</f>
        <v>#DIV/0!</v>
      </c>
      <c r="H47" s="715" t="e">
        <f>IF(OR(G47&gt;=0.2,G47&lt;=-0.2),"超过20%","")</f>
        <v>#DIV/0!</v>
      </c>
      <c r="I47" s="714" t="e">
        <f>IF(I42&lt;E42,E42/I42-1,I42/E42-1)</f>
        <v>#DIV/0!</v>
      </c>
      <c r="J47" s="715" t="e">
        <f>IF(OR(I47&gt;=0.2,I47&lt;=-0.2),"超过20%","")</f>
        <v>#DIV/0!</v>
      </c>
      <c r="K47" s="787"/>
      <c r="L47" s="1592"/>
      <c r="M47" s="1568"/>
      <c r="N47" s="1568"/>
      <c r="O47" s="1568"/>
    </row>
    <row r="48" s="571" customFormat="1" ht="13.5" customHeight="1" spans="1:15">
      <c r="A48" s="717"/>
      <c r="B48" s="717"/>
      <c r="C48" s="712" t="s">
        <v>1220</v>
      </c>
      <c r="D48" s="716"/>
      <c r="E48" s="714" t="e">
        <f>IF(E41&lt;G41,G41/E41-1,E41/G41-1)</f>
        <v>#DIV/0!</v>
      </c>
      <c r="F48" s="715" t="e">
        <f>IF(OR(E48&gt;=0.3,E48&lt;=-0.3),"超过30%","")</f>
        <v>#DIV/0!</v>
      </c>
      <c r="G48" s="714" t="e">
        <f>IF(G41&lt;I41,I41/G41-1,G41/I41-1)</f>
        <v>#DIV/0!</v>
      </c>
      <c r="H48" s="715" t="e">
        <f>IF(OR(G48&gt;=0.3,G48&lt;=-0.3),"超过30%","")</f>
        <v>#DIV/0!</v>
      </c>
      <c r="I48" s="714" t="e">
        <f>IF(I41&lt;E41,E41/I41-1,I41/E41-1)</f>
        <v>#DIV/0!</v>
      </c>
      <c r="J48" s="715" t="e">
        <f>IF(OR(I48&gt;=0.3,I48&lt;=-0.3),"超过30%","")</f>
        <v>#DIV/0!</v>
      </c>
      <c r="K48" s="790"/>
      <c r="L48" s="1933"/>
      <c r="M48" s="1934"/>
      <c r="N48" s="1934"/>
      <c r="O48" s="1934"/>
    </row>
    <row r="49" s="571" customFormat="1" spans="1:15">
      <c r="A49" s="717"/>
      <c r="B49" s="718"/>
      <c r="C49" s="719"/>
      <c r="D49" s="717"/>
      <c r="E49" s="717"/>
      <c r="F49" s="717"/>
      <c r="G49" s="717"/>
      <c r="H49" s="717"/>
      <c r="I49" s="717"/>
      <c r="J49" s="717"/>
      <c r="K49" s="790"/>
      <c r="L49" s="1933"/>
      <c r="M49" s="1934"/>
      <c r="N49" s="1934"/>
      <c r="O49" s="1934"/>
    </row>
    <row r="50" spans="1:15">
      <c r="A50" s="710"/>
      <c r="B50" s="718"/>
      <c r="C50" s="719"/>
      <c r="D50" s="710"/>
      <c r="E50" s="710"/>
      <c r="F50" s="710"/>
      <c r="G50" s="710"/>
      <c r="H50" s="710"/>
      <c r="I50" s="710"/>
      <c r="J50" s="710"/>
      <c r="K50" s="787"/>
      <c r="L50" s="1592"/>
      <c r="M50" s="1568"/>
      <c r="N50" s="1568"/>
      <c r="O50" s="1568"/>
    </row>
    <row r="51" ht="21.75" spans="1:17">
      <c r="A51" s="720" t="s">
        <v>1221</v>
      </c>
      <c r="B51" s="721"/>
      <c r="C51" s="722"/>
      <c r="D51" s="722"/>
      <c r="E51" s="722"/>
      <c r="F51" s="723"/>
      <c r="G51" s="723"/>
      <c r="H51" s="722"/>
      <c r="I51" s="722"/>
      <c r="J51" s="722"/>
      <c r="K51" s="1853"/>
      <c r="L51" s="794"/>
      <c r="M51" s="795"/>
      <c r="N51" s="795"/>
      <c r="O51" s="795"/>
      <c r="P51" s="1935"/>
      <c r="Q51" s="1937"/>
    </row>
    <row r="52" s="572" customFormat="1" spans="1:16">
      <c r="A52" s="724" t="s">
        <v>1172</v>
      </c>
      <c r="B52" s="725"/>
      <c r="C52" s="726" t="str">
        <f>YEAR(C7)&amp;"-"&amp;MONTH(C7)</f>
        <v>2024-9</v>
      </c>
      <c r="D52" s="727">
        <f>EDATE(C52,-1)</f>
        <v>45505</v>
      </c>
      <c r="E52" s="727">
        <f t="shared" ref="E52:O52" si="16">EDATE(D52,-1)</f>
        <v>45474</v>
      </c>
      <c r="F52" s="727">
        <f t="shared" si="16"/>
        <v>45444</v>
      </c>
      <c r="G52" s="727">
        <f t="shared" si="16"/>
        <v>45413</v>
      </c>
      <c r="H52" s="727">
        <f t="shared" si="16"/>
        <v>45383</v>
      </c>
      <c r="I52" s="727">
        <f t="shared" si="16"/>
        <v>45352</v>
      </c>
      <c r="J52" s="727">
        <f t="shared" si="16"/>
        <v>45323</v>
      </c>
      <c r="K52" s="727">
        <f t="shared" si="16"/>
        <v>45292</v>
      </c>
      <c r="L52" s="727">
        <f t="shared" si="16"/>
        <v>45261</v>
      </c>
      <c r="M52" s="727">
        <f t="shared" si="16"/>
        <v>45231</v>
      </c>
      <c r="N52" s="727">
        <f t="shared" si="16"/>
        <v>45200</v>
      </c>
      <c r="O52" s="727">
        <f t="shared" si="16"/>
        <v>45170</v>
      </c>
      <c r="P52" s="1936"/>
    </row>
    <row r="53" s="568" customFormat="1" spans="1:16">
      <c r="A53" s="728"/>
      <c r="B53" s="729"/>
      <c r="C53" s="730">
        <v>100</v>
      </c>
      <c r="D53" s="731"/>
      <c r="E53" s="731"/>
      <c r="F53" s="731"/>
      <c r="G53" s="731"/>
      <c r="H53" s="731"/>
      <c r="I53" s="731"/>
      <c r="J53" s="731"/>
      <c r="K53" s="731"/>
      <c r="L53" s="731"/>
      <c r="M53" s="799"/>
      <c r="N53" s="731"/>
      <c r="O53" s="806"/>
      <c r="P53" s="1937"/>
    </row>
    <row r="54" s="568" customFormat="1" ht="14.75" spans="1:17">
      <c r="A54" s="732" t="s">
        <v>1222</v>
      </c>
      <c r="B54" s="733"/>
      <c r="C54" s="734"/>
      <c r="D54" s="735"/>
      <c r="E54" s="735"/>
      <c r="F54" s="735"/>
      <c r="G54" s="735"/>
      <c r="H54" s="735"/>
      <c r="I54" s="735"/>
      <c r="J54" s="735"/>
      <c r="K54" s="735"/>
      <c r="L54" s="735"/>
      <c r="M54" s="801"/>
      <c r="N54" s="1938"/>
      <c r="O54" s="1939"/>
      <c r="P54" s="1937"/>
      <c r="Q54" s="1937"/>
    </row>
    <row r="55" s="568" customFormat="1" spans="1:17">
      <c r="A55" s="736" t="s">
        <v>1175</v>
      </c>
      <c r="B55" s="729"/>
      <c r="C55" s="737" t="s">
        <v>1223</v>
      </c>
      <c r="D55" s="739"/>
      <c r="E55" s="739"/>
      <c r="F55" s="739"/>
      <c r="G55" s="739"/>
      <c r="H55" s="739"/>
      <c r="I55" s="739"/>
      <c r="J55" s="739"/>
      <c r="K55" s="739"/>
      <c r="L55" s="802"/>
      <c r="M55" s="803"/>
      <c r="N55" s="1940"/>
      <c r="O55" s="1940"/>
      <c r="P55" s="1941"/>
      <c r="Q55" s="1937"/>
    </row>
    <row r="56" s="568" customFormat="1" ht="14.75" spans="1:17">
      <c r="A56" s="736"/>
      <c r="B56" s="729"/>
      <c r="C56" s="1608">
        <v>100</v>
      </c>
      <c r="D56" s="731"/>
      <c r="E56" s="731"/>
      <c r="F56" s="731"/>
      <c r="G56" s="731"/>
      <c r="H56" s="731"/>
      <c r="I56" s="731"/>
      <c r="J56" s="731"/>
      <c r="K56" s="731"/>
      <c r="L56" s="731"/>
      <c r="M56" s="806"/>
      <c r="N56" s="1940"/>
      <c r="O56" s="1940"/>
      <c r="P56" s="1937"/>
      <c r="Q56" s="1937"/>
    </row>
    <row r="57" spans="1:17">
      <c r="A57" s="741" t="s">
        <v>1224</v>
      </c>
      <c r="B57" s="742" t="s">
        <v>1179</v>
      </c>
      <c r="C57" s="743">
        <f>C9</f>
        <v>0</v>
      </c>
      <c r="D57" s="745"/>
      <c r="E57" s="745"/>
      <c r="F57" s="745"/>
      <c r="G57" s="745"/>
      <c r="H57" s="745"/>
      <c r="I57" s="745"/>
      <c r="J57" s="745"/>
      <c r="K57" s="807"/>
      <c r="L57" s="808"/>
      <c r="M57" s="809"/>
      <c r="N57" s="1942"/>
      <c r="O57" s="1942"/>
      <c r="P57" s="1943"/>
      <c r="Q57" s="1937"/>
    </row>
    <row r="58" ht="14.75" spans="1:17">
      <c r="A58" s="864"/>
      <c r="B58" s="865"/>
      <c r="C58" s="866">
        <v>100</v>
      </c>
      <c r="D58" s="866"/>
      <c r="E58" s="866"/>
      <c r="F58" s="866"/>
      <c r="G58" s="866"/>
      <c r="H58" s="866"/>
      <c r="I58" s="866"/>
      <c r="J58" s="866"/>
      <c r="K58" s="866"/>
      <c r="L58" s="866"/>
      <c r="M58" s="903"/>
      <c r="N58" s="1944"/>
      <c r="O58" s="1944"/>
      <c r="P58" s="1943"/>
      <c r="Q58" s="1937"/>
    </row>
    <row r="59" ht="28.75" spans="1:17">
      <c r="A59" s="864"/>
      <c r="B59" s="867" t="s">
        <v>1184</v>
      </c>
      <c r="C59" s="868"/>
      <c r="D59" s="868"/>
      <c r="E59" s="868"/>
      <c r="F59" s="868"/>
      <c r="G59" s="868"/>
      <c r="H59" s="868"/>
      <c r="I59" s="868"/>
      <c r="J59" s="868"/>
      <c r="K59" s="905"/>
      <c r="L59" s="906"/>
      <c r="M59" s="907"/>
      <c r="N59" s="1942"/>
      <c r="O59" s="1942"/>
      <c r="P59" s="1943"/>
      <c r="Q59" s="1937"/>
    </row>
    <row r="60" ht="14.75" spans="1:17">
      <c r="A60" s="864"/>
      <c r="B60" s="869"/>
      <c r="C60" s="866"/>
      <c r="D60" s="866"/>
      <c r="E60" s="866"/>
      <c r="F60" s="866"/>
      <c r="G60" s="866"/>
      <c r="H60" s="866"/>
      <c r="I60" s="866"/>
      <c r="J60" s="866"/>
      <c r="K60" s="866"/>
      <c r="L60" s="866"/>
      <c r="M60" s="903"/>
      <c r="N60" s="1944"/>
      <c r="O60" s="1944"/>
      <c r="P60" s="1943"/>
      <c r="Q60" s="1937"/>
    </row>
    <row r="61" ht="14.75" spans="1:17">
      <c r="A61" s="864"/>
      <c r="B61" s="870" t="s">
        <v>1185</v>
      </c>
      <c r="C61" s="871" t="str">
        <f>C62&amp;"（含）"&amp;"-"&amp;D62</f>
        <v>0（含）-2</v>
      </c>
      <c r="D61" s="871" t="str">
        <f t="shared" ref="D61:L61" si="17">D62&amp;"（含）"&amp;"-"&amp;E62</f>
        <v>2（含）-</v>
      </c>
      <c r="E61" s="871" t="str">
        <f t="shared" si="17"/>
        <v>（含）-</v>
      </c>
      <c r="F61" s="871" t="str">
        <f t="shared" si="17"/>
        <v>（含）-</v>
      </c>
      <c r="G61" s="871" t="str">
        <f t="shared" si="17"/>
        <v>（含）-</v>
      </c>
      <c r="H61" s="871" t="str">
        <f t="shared" si="17"/>
        <v>（含）-</v>
      </c>
      <c r="I61" s="871" t="str">
        <f t="shared" si="17"/>
        <v>（含）-</v>
      </c>
      <c r="J61" s="871" t="str">
        <f t="shared" si="17"/>
        <v>（含）-</v>
      </c>
      <c r="K61" s="871" t="str">
        <f t="shared" si="17"/>
        <v>（含）-</v>
      </c>
      <c r="L61" s="871" t="str">
        <f t="shared" si="17"/>
        <v>（含）-</v>
      </c>
      <c r="M61" s="657" t="str">
        <f>M62&amp;"（含）"&amp;"-"&amp;P62</f>
        <v>（含）-</v>
      </c>
      <c r="N61" s="1944"/>
      <c r="O61" s="1944"/>
      <c r="P61" s="1943"/>
      <c r="Q61" s="1937"/>
    </row>
    <row r="62" spans="1:17">
      <c r="A62" s="864"/>
      <c r="B62" s="872"/>
      <c r="C62" s="873">
        <v>0</v>
      </c>
      <c r="D62" s="873">
        <v>2</v>
      </c>
      <c r="E62" s="873"/>
      <c r="F62" s="873"/>
      <c r="G62" s="873"/>
      <c r="H62" s="873"/>
      <c r="I62" s="873"/>
      <c r="J62" s="873"/>
      <c r="K62" s="908"/>
      <c r="L62" s="909"/>
      <c r="M62" s="910"/>
      <c r="N62" s="1942"/>
      <c r="O62" s="1942"/>
      <c r="P62" s="1943"/>
      <c r="Q62" s="1937"/>
    </row>
    <row r="63" ht="14.75" spans="1:17">
      <c r="A63" s="864"/>
      <c r="B63" s="865"/>
      <c r="C63" s="874">
        <v>100</v>
      </c>
      <c r="D63" s="874">
        <f t="shared" ref="D63:M63" si="18">C63-$K11</f>
        <v>100</v>
      </c>
      <c r="E63" s="874">
        <f t="shared" si="18"/>
        <v>100</v>
      </c>
      <c r="F63" s="874">
        <f t="shared" si="18"/>
        <v>100</v>
      </c>
      <c r="G63" s="874">
        <f t="shared" si="18"/>
        <v>100</v>
      </c>
      <c r="H63" s="874">
        <f t="shared" si="18"/>
        <v>100</v>
      </c>
      <c r="I63" s="874">
        <f t="shared" si="18"/>
        <v>100</v>
      </c>
      <c r="J63" s="874">
        <f t="shared" si="18"/>
        <v>100</v>
      </c>
      <c r="K63" s="874">
        <f t="shared" si="18"/>
        <v>100</v>
      </c>
      <c r="L63" s="874">
        <f t="shared" si="18"/>
        <v>100</v>
      </c>
      <c r="M63" s="911">
        <f t="shared" si="18"/>
        <v>100</v>
      </c>
      <c r="N63" s="1944"/>
      <c r="O63" s="1944"/>
      <c r="P63" s="1943"/>
      <c r="Q63" s="1937"/>
    </row>
    <row r="64" s="570" customFormat="1" ht="14.75" spans="1:17">
      <c r="A64" s="875"/>
      <c r="B64" s="867">
        <f>B12</f>
        <v>111</v>
      </c>
      <c r="C64" s="876"/>
      <c r="D64" s="876"/>
      <c r="E64" s="876"/>
      <c r="F64" s="876"/>
      <c r="G64" s="876"/>
      <c r="H64" s="877"/>
      <c r="I64" s="877"/>
      <c r="J64" s="877"/>
      <c r="K64" s="877"/>
      <c r="L64" s="912"/>
      <c r="M64" s="913"/>
      <c r="N64" s="1945"/>
      <c r="O64" s="1945"/>
      <c r="P64" s="1946"/>
      <c r="Q64" s="1948"/>
    </row>
    <row r="65" s="570" customFormat="1" ht="14.75" spans="1:17">
      <c r="A65" s="875"/>
      <c r="B65" s="869"/>
      <c r="C65" s="878"/>
      <c r="D65" s="866"/>
      <c r="E65" s="866"/>
      <c r="F65" s="866"/>
      <c r="G65" s="866"/>
      <c r="H65" s="866"/>
      <c r="I65" s="866"/>
      <c r="J65" s="866"/>
      <c r="K65" s="866"/>
      <c r="L65" s="866"/>
      <c r="M65" s="903"/>
      <c r="N65" s="1944"/>
      <c r="O65" s="1944"/>
      <c r="P65" s="1946"/>
      <c r="Q65" s="1948"/>
    </row>
    <row r="66" s="570" customFormat="1" ht="14.75" spans="1:17">
      <c r="A66" s="875"/>
      <c r="B66" s="867">
        <f>B13</f>
        <v>111</v>
      </c>
      <c r="C66" s="876"/>
      <c r="D66" s="876"/>
      <c r="E66" s="876"/>
      <c r="F66" s="876"/>
      <c r="G66" s="876"/>
      <c r="H66" s="877"/>
      <c r="I66" s="877"/>
      <c r="J66" s="877"/>
      <c r="K66" s="877"/>
      <c r="L66" s="912"/>
      <c r="M66" s="913"/>
      <c r="N66" s="1945"/>
      <c r="O66" s="1945"/>
      <c r="P66" s="1949"/>
      <c r="Q66" s="1953"/>
    </row>
    <row r="67" s="570" customFormat="1" ht="14.75" spans="1:17">
      <c r="A67" s="875"/>
      <c r="B67" s="869"/>
      <c r="C67" s="878"/>
      <c r="D67" s="866"/>
      <c r="E67" s="866"/>
      <c r="F67" s="866"/>
      <c r="G67" s="878"/>
      <c r="H67" s="879"/>
      <c r="I67" s="879"/>
      <c r="J67" s="879"/>
      <c r="K67" s="879"/>
      <c r="L67" s="879"/>
      <c r="M67" s="917"/>
      <c r="N67" s="1945"/>
      <c r="O67" s="1945"/>
      <c r="P67" s="1946"/>
      <c r="Q67" s="1948"/>
    </row>
    <row r="68" s="570" customFormat="1" ht="14.75" spans="1:17">
      <c r="A68" s="875"/>
      <c r="B68" s="870">
        <f>B14</f>
        <v>111</v>
      </c>
      <c r="C68" s="739"/>
      <c r="D68" s="739"/>
      <c r="E68" s="739"/>
      <c r="F68" s="739"/>
      <c r="G68" s="739"/>
      <c r="H68" s="880"/>
      <c r="I68" s="880"/>
      <c r="J68" s="880"/>
      <c r="K68" s="880"/>
      <c r="L68" s="918"/>
      <c r="M68" s="919"/>
      <c r="N68" s="1945"/>
      <c r="O68" s="1945"/>
      <c r="P68" s="1950"/>
      <c r="Q68" s="1948"/>
    </row>
    <row r="69" s="570" customFormat="1" ht="14.75" spans="1:17">
      <c r="A69" s="881"/>
      <c r="B69" s="882"/>
      <c r="C69" s="883"/>
      <c r="D69" s="883"/>
      <c r="E69" s="883"/>
      <c r="F69" s="883"/>
      <c r="G69" s="883"/>
      <c r="H69" s="884"/>
      <c r="I69" s="884"/>
      <c r="J69" s="884"/>
      <c r="K69" s="884"/>
      <c r="L69" s="884"/>
      <c r="M69" s="921"/>
      <c r="N69" s="1945"/>
      <c r="O69" s="1945"/>
      <c r="P69" s="1946"/>
      <c r="Q69" s="1948"/>
    </row>
    <row r="70" spans="1:17">
      <c r="A70" s="741" t="s">
        <v>1186</v>
      </c>
      <c r="B70" s="742" t="s">
        <v>1492</v>
      </c>
      <c r="C70" s="885" t="s">
        <v>1225</v>
      </c>
      <c r="D70" s="885" t="s">
        <v>1226</v>
      </c>
      <c r="E70" s="885" t="s">
        <v>1227</v>
      </c>
      <c r="F70" s="885" t="s">
        <v>1228</v>
      </c>
      <c r="G70" s="885" t="s">
        <v>1229</v>
      </c>
      <c r="H70" s="743"/>
      <c r="I70" s="743"/>
      <c r="J70" s="743"/>
      <c r="K70" s="922"/>
      <c r="L70" s="923"/>
      <c r="M70" s="924"/>
      <c r="N70" s="1942"/>
      <c r="O70" s="1942"/>
      <c r="P70" s="1951"/>
      <c r="Q70" s="1937"/>
    </row>
    <row r="71" ht="14.75" spans="1:17">
      <c r="A71" s="864"/>
      <c r="B71" s="869"/>
      <c r="C71" s="874">
        <v>100</v>
      </c>
      <c r="D71" s="874">
        <f>C71-$K15</f>
        <v>100</v>
      </c>
      <c r="E71" s="874">
        <f>D71-$K15</f>
        <v>100</v>
      </c>
      <c r="F71" s="874">
        <f>E71-$K15</f>
        <v>100</v>
      </c>
      <c r="G71" s="874">
        <f>F71-$K15</f>
        <v>100</v>
      </c>
      <c r="H71" s="874"/>
      <c r="I71" s="874"/>
      <c r="J71" s="874"/>
      <c r="K71" s="874"/>
      <c r="L71" s="874"/>
      <c r="M71" s="911"/>
      <c r="N71" s="1944"/>
      <c r="O71" s="1944"/>
      <c r="P71" s="1943"/>
      <c r="Q71" s="1937"/>
    </row>
    <row r="72" ht="14.75" spans="1:17">
      <c r="A72" s="864"/>
      <c r="B72" s="867" t="s">
        <v>1191</v>
      </c>
      <c r="C72" s="886" t="s">
        <v>1225</v>
      </c>
      <c r="D72" s="886" t="s">
        <v>1226</v>
      </c>
      <c r="E72" s="886" t="s">
        <v>1227</v>
      </c>
      <c r="F72" s="886" t="s">
        <v>1228</v>
      </c>
      <c r="G72" s="886" t="s">
        <v>1229</v>
      </c>
      <c r="H72" s="887"/>
      <c r="I72" s="887"/>
      <c r="J72" s="887"/>
      <c r="K72" s="926"/>
      <c r="L72" s="927"/>
      <c r="M72" s="928"/>
      <c r="N72" s="1942"/>
      <c r="O72" s="1942"/>
      <c r="P72" s="1943"/>
      <c r="Q72" s="1937"/>
    </row>
    <row r="73" ht="14.75" spans="1:17">
      <c r="A73" s="864"/>
      <c r="B73" s="869"/>
      <c r="C73" s="874">
        <v>100</v>
      </c>
      <c r="D73" s="874">
        <f>C73-$K17</f>
        <v>100</v>
      </c>
      <c r="E73" s="874">
        <f>D73-$K17</f>
        <v>100</v>
      </c>
      <c r="F73" s="874">
        <f>E73-$K17</f>
        <v>100</v>
      </c>
      <c r="G73" s="874">
        <f>F73-$K17</f>
        <v>100</v>
      </c>
      <c r="H73" s="874"/>
      <c r="I73" s="874"/>
      <c r="J73" s="874"/>
      <c r="K73" s="874"/>
      <c r="L73" s="874"/>
      <c r="M73" s="911"/>
      <c r="N73" s="1944"/>
      <c r="O73" s="1944"/>
      <c r="P73" s="1943"/>
      <c r="Q73" s="1937"/>
    </row>
    <row r="74" ht="14.75" spans="1:17">
      <c r="A74" s="864"/>
      <c r="B74" s="867" t="s">
        <v>1192</v>
      </c>
      <c r="C74" s="886" t="s">
        <v>1225</v>
      </c>
      <c r="D74" s="886" t="s">
        <v>1226</v>
      </c>
      <c r="E74" s="886" t="s">
        <v>1227</v>
      </c>
      <c r="F74" s="886" t="s">
        <v>1228</v>
      </c>
      <c r="G74" s="886" t="s">
        <v>1229</v>
      </c>
      <c r="H74" s="887"/>
      <c r="I74" s="887"/>
      <c r="J74" s="887"/>
      <c r="K74" s="926"/>
      <c r="L74" s="927"/>
      <c r="M74" s="928"/>
      <c r="N74" s="1942"/>
      <c r="O74" s="1942"/>
      <c r="P74" s="1943"/>
      <c r="Q74" s="1937"/>
    </row>
    <row r="75" ht="14.75" spans="1:17">
      <c r="A75" s="864"/>
      <c r="B75" s="869"/>
      <c r="C75" s="874">
        <v>100</v>
      </c>
      <c r="D75" s="874">
        <f>C75-$K19</f>
        <v>100</v>
      </c>
      <c r="E75" s="874">
        <f>D75-$K19</f>
        <v>100</v>
      </c>
      <c r="F75" s="874">
        <f>E75-$K19</f>
        <v>100</v>
      </c>
      <c r="G75" s="874">
        <f>F75-$K19</f>
        <v>100</v>
      </c>
      <c r="H75" s="874"/>
      <c r="I75" s="874"/>
      <c r="J75" s="874"/>
      <c r="K75" s="874"/>
      <c r="L75" s="874"/>
      <c r="M75" s="911"/>
      <c r="N75" s="1944"/>
      <c r="O75" s="1944"/>
      <c r="P75" s="1943"/>
      <c r="Q75" s="1937"/>
    </row>
    <row r="76" ht="14.75" spans="1:17">
      <c r="A76" s="864"/>
      <c r="B76" s="870" t="s">
        <v>1193</v>
      </c>
      <c r="C76" s="888" t="s">
        <v>1230</v>
      </c>
      <c r="D76" s="888" t="s">
        <v>1231</v>
      </c>
      <c r="E76" s="888" t="s">
        <v>1232</v>
      </c>
      <c r="F76" s="888" t="s">
        <v>1233</v>
      </c>
      <c r="G76" s="888" t="s">
        <v>1234</v>
      </c>
      <c r="H76" s="887"/>
      <c r="I76" s="887"/>
      <c r="J76" s="887"/>
      <c r="K76" s="887"/>
      <c r="L76" s="887"/>
      <c r="M76" s="929"/>
      <c r="N76" s="1944"/>
      <c r="O76" s="1944"/>
      <c r="P76" s="1943"/>
      <c r="Q76" s="1937"/>
    </row>
    <row r="77" ht="14.75" spans="1:17">
      <c r="A77" s="864"/>
      <c r="B77" s="870"/>
      <c r="C77" s="874">
        <v>100</v>
      </c>
      <c r="D77" s="874">
        <f>C77-$K21</f>
        <v>100</v>
      </c>
      <c r="E77" s="874">
        <f>D77-$K21</f>
        <v>100</v>
      </c>
      <c r="F77" s="874">
        <f>E77-$K21</f>
        <v>100</v>
      </c>
      <c r="G77" s="874">
        <f>F77-$K21</f>
        <v>100</v>
      </c>
      <c r="H77" s="888"/>
      <c r="I77" s="888"/>
      <c r="J77" s="888"/>
      <c r="K77" s="888"/>
      <c r="L77" s="888"/>
      <c r="M77" s="658"/>
      <c r="N77" s="1944"/>
      <c r="O77" s="1944"/>
      <c r="P77" s="1943"/>
      <c r="Q77" s="1937"/>
    </row>
    <row r="78" ht="14.75" spans="1:17">
      <c r="A78" s="864"/>
      <c r="B78" s="867" t="s">
        <v>1194</v>
      </c>
      <c r="C78" s="886" t="s">
        <v>1225</v>
      </c>
      <c r="D78" s="886" t="s">
        <v>1226</v>
      </c>
      <c r="E78" s="886" t="s">
        <v>1227</v>
      </c>
      <c r="F78" s="886" t="s">
        <v>1228</v>
      </c>
      <c r="G78" s="886" t="s">
        <v>1229</v>
      </c>
      <c r="H78" s="887"/>
      <c r="I78" s="887"/>
      <c r="J78" s="887"/>
      <c r="K78" s="926"/>
      <c r="L78" s="927"/>
      <c r="M78" s="928"/>
      <c r="N78" s="1942"/>
      <c r="O78" s="1942"/>
      <c r="P78" s="1943"/>
      <c r="Q78" s="1937"/>
    </row>
    <row r="79" ht="14.75" spans="1:17">
      <c r="A79" s="864"/>
      <c r="B79" s="869"/>
      <c r="C79" s="874">
        <v>100</v>
      </c>
      <c r="D79" s="874">
        <f>C79-$K23</f>
        <v>100</v>
      </c>
      <c r="E79" s="874">
        <f>D79-$K23</f>
        <v>100</v>
      </c>
      <c r="F79" s="874">
        <f>E79-$K23</f>
        <v>100</v>
      </c>
      <c r="G79" s="874">
        <f>F79-$K23</f>
        <v>100</v>
      </c>
      <c r="H79" s="874"/>
      <c r="I79" s="874"/>
      <c r="J79" s="874"/>
      <c r="K79" s="874"/>
      <c r="L79" s="874"/>
      <c r="M79" s="911"/>
      <c r="N79" s="1944"/>
      <c r="O79" s="1944"/>
      <c r="P79" s="1943"/>
      <c r="Q79" s="1937"/>
    </row>
    <row r="80" s="568" customFormat="1" ht="14.75" spans="1:17">
      <c r="A80" s="889"/>
      <c r="B80" s="867">
        <f>B25</f>
        <v>111</v>
      </c>
      <c r="C80" s="876"/>
      <c r="D80" s="876"/>
      <c r="E80" s="876"/>
      <c r="F80" s="876"/>
      <c r="G80" s="876"/>
      <c r="H80" s="876"/>
      <c r="I80" s="876"/>
      <c r="J80" s="876"/>
      <c r="K80" s="876"/>
      <c r="L80" s="930"/>
      <c r="M80" s="931"/>
      <c r="N80" s="1940"/>
      <c r="O80" s="1940"/>
      <c r="P80" s="1943"/>
      <c r="Q80" s="1937"/>
    </row>
    <row r="81" s="568" customFormat="1" ht="14.75" spans="1:17">
      <c r="A81" s="889"/>
      <c r="B81" s="869"/>
      <c r="C81" s="878"/>
      <c r="D81" s="866"/>
      <c r="E81" s="866"/>
      <c r="F81" s="866"/>
      <c r="G81" s="866"/>
      <c r="H81" s="866"/>
      <c r="I81" s="866"/>
      <c r="J81" s="866"/>
      <c r="K81" s="866"/>
      <c r="L81" s="866"/>
      <c r="M81" s="903"/>
      <c r="N81" s="1944"/>
      <c r="O81" s="1944"/>
      <c r="P81" s="1943"/>
      <c r="Q81" s="1937"/>
    </row>
    <row r="82" s="568" customFormat="1" ht="14.75" spans="1:17">
      <c r="A82" s="889"/>
      <c r="B82" s="867">
        <f>B26</f>
        <v>111</v>
      </c>
      <c r="C82" s="876"/>
      <c r="D82" s="876"/>
      <c r="E82" s="876"/>
      <c r="F82" s="876"/>
      <c r="G82" s="876"/>
      <c r="H82" s="876"/>
      <c r="I82" s="876"/>
      <c r="J82" s="876"/>
      <c r="K82" s="876"/>
      <c r="L82" s="930"/>
      <c r="M82" s="931"/>
      <c r="N82" s="1940"/>
      <c r="O82" s="1940"/>
      <c r="P82" s="1943"/>
      <c r="Q82" s="1937"/>
    </row>
    <row r="83" s="568" customFormat="1" ht="14.75" spans="1:17">
      <c r="A83" s="889"/>
      <c r="B83" s="869"/>
      <c r="C83" s="878"/>
      <c r="D83" s="866"/>
      <c r="E83" s="866"/>
      <c r="F83" s="866"/>
      <c r="G83" s="866"/>
      <c r="H83" s="866"/>
      <c r="I83" s="866"/>
      <c r="J83" s="866"/>
      <c r="K83" s="866"/>
      <c r="L83" s="866"/>
      <c r="M83" s="903"/>
      <c r="N83" s="1944"/>
      <c r="O83" s="1944"/>
      <c r="P83" s="1943"/>
      <c r="Q83" s="1937"/>
    </row>
    <row r="84" s="570" customFormat="1" ht="14.75" spans="1:17">
      <c r="A84" s="875"/>
      <c r="B84" s="867">
        <f>B27</f>
        <v>111</v>
      </c>
      <c r="C84" s="876"/>
      <c r="D84" s="876"/>
      <c r="E84" s="876"/>
      <c r="F84" s="876"/>
      <c r="G84" s="876"/>
      <c r="H84" s="876"/>
      <c r="I84" s="876"/>
      <c r="J84" s="876"/>
      <c r="K84" s="876"/>
      <c r="L84" s="930"/>
      <c r="M84" s="931"/>
      <c r="N84" s="1945"/>
      <c r="O84" s="1945"/>
      <c r="P84" s="1946"/>
      <c r="Q84" s="1948"/>
    </row>
    <row r="85" s="570" customFormat="1" ht="14.75" spans="1:17">
      <c r="A85" s="875"/>
      <c r="B85" s="869"/>
      <c r="C85" s="878"/>
      <c r="D85" s="866"/>
      <c r="E85" s="866"/>
      <c r="F85" s="866"/>
      <c r="G85" s="866"/>
      <c r="H85" s="866"/>
      <c r="I85" s="866"/>
      <c r="J85" s="866"/>
      <c r="K85" s="866"/>
      <c r="L85" s="866"/>
      <c r="M85" s="903"/>
      <c r="N85" s="1945"/>
      <c r="O85" s="1945"/>
      <c r="P85" s="1946"/>
      <c r="Q85" s="1948"/>
    </row>
    <row r="86" ht="14.75" spans="1:17">
      <c r="A86" s="864"/>
      <c r="B86" s="870">
        <f>B28</f>
        <v>111</v>
      </c>
      <c r="C86" s="739"/>
      <c r="D86" s="739"/>
      <c r="E86" s="739"/>
      <c r="F86" s="739"/>
      <c r="G86" s="892"/>
      <c r="H86" s="892"/>
      <c r="I86" s="892"/>
      <c r="J86" s="892"/>
      <c r="K86" s="932"/>
      <c r="L86" s="933"/>
      <c r="M86" s="934"/>
      <c r="N86" s="1942"/>
      <c r="O86" s="1942"/>
      <c r="P86" s="1943"/>
      <c r="Q86" s="1937"/>
    </row>
    <row r="87" ht="14.75" spans="1:17">
      <c r="A87" s="893"/>
      <c r="B87" s="882"/>
      <c r="C87" s="883"/>
      <c r="D87" s="883"/>
      <c r="E87" s="883"/>
      <c r="F87" s="883"/>
      <c r="G87" s="894"/>
      <c r="H87" s="894"/>
      <c r="I87" s="894"/>
      <c r="J87" s="894"/>
      <c r="K87" s="894"/>
      <c r="L87" s="894"/>
      <c r="M87" s="935"/>
      <c r="N87" s="1944"/>
      <c r="O87" s="1944"/>
      <c r="P87" s="1943"/>
      <c r="Q87" s="1937"/>
    </row>
    <row r="88" spans="1:17">
      <c r="A88" s="741" t="s">
        <v>1198</v>
      </c>
      <c r="B88" s="742" t="s">
        <v>1199</v>
      </c>
      <c r="C88" s="745"/>
      <c r="D88" s="745"/>
      <c r="E88" s="745"/>
      <c r="F88" s="745"/>
      <c r="G88" s="745"/>
      <c r="H88" s="745"/>
      <c r="I88" s="745"/>
      <c r="J88" s="745"/>
      <c r="K88" s="807"/>
      <c r="L88" s="808"/>
      <c r="M88" s="809"/>
      <c r="N88" s="1942"/>
      <c r="O88" s="1942"/>
      <c r="P88" s="1943"/>
      <c r="Q88" s="1937"/>
    </row>
    <row r="89" ht="14.75" spans="1:17">
      <c r="A89" s="864"/>
      <c r="B89" s="869"/>
      <c r="C89" s="874">
        <v>100</v>
      </c>
      <c r="D89" s="874">
        <f t="shared" ref="D89:M89" si="19">C89-$K29</f>
        <v>100</v>
      </c>
      <c r="E89" s="874">
        <f t="shared" si="19"/>
        <v>100</v>
      </c>
      <c r="F89" s="874">
        <f t="shared" si="19"/>
        <v>100</v>
      </c>
      <c r="G89" s="874">
        <f t="shared" si="19"/>
        <v>100</v>
      </c>
      <c r="H89" s="874">
        <f t="shared" si="19"/>
        <v>100</v>
      </c>
      <c r="I89" s="874">
        <f t="shared" si="19"/>
        <v>100</v>
      </c>
      <c r="J89" s="874">
        <f t="shared" si="19"/>
        <v>100</v>
      </c>
      <c r="K89" s="874">
        <f t="shared" si="19"/>
        <v>100</v>
      </c>
      <c r="L89" s="874">
        <f t="shared" si="19"/>
        <v>100</v>
      </c>
      <c r="M89" s="911">
        <f t="shared" si="19"/>
        <v>100</v>
      </c>
      <c r="N89" s="1944"/>
      <c r="O89" s="1944"/>
      <c r="P89" s="1943"/>
      <c r="Q89" s="1937"/>
    </row>
    <row r="90" ht="14.75" spans="1:17">
      <c r="A90" s="864"/>
      <c r="B90" s="867" t="s">
        <v>1203</v>
      </c>
      <c r="C90" s="886" t="str">
        <f>C91&amp;"(含)"&amp;"-"&amp;D91</f>
        <v>(含)-</v>
      </c>
      <c r="D90" s="886" t="str">
        <f t="shared" ref="D90:L90" si="20">D91&amp;"(含)"&amp;"-"&amp;E91</f>
        <v>(含)-</v>
      </c>
      <c r="E90" s="886" t="str">
        <f t="shared" si="20"/>
        <v>(含)-</v>
      </c>
      <c r="F90" s="886" t="str">
        <f t="shared" si="20"/>
        <v>(含)-</v>
      </c>
      <c r="G90" s="886" t="str">
        <f t="shared" si="20"/>
        <v>(含)-</v>
      </c>
      <c r="H90" s="886" t="str">
        <f t="shared" si="20"/>
        <v>(含)-</v>
      </c>
      <c r="I90" s="886" t="str">
        <f t="shared" si="20"/>
        <v>(含)-</v>
      </c>
      <c r="J90" s="886" t="str">
        <f t="shared" si="20"/>
        <v>(含)-</v>
      </c>
      <c r="K90" s="886" t="str">
        <f t="shared" si="20"/>
        <v>(含)-</v>
      </c>
      <c r="L90" s="886" t="str">
        <f t="shared" si="20"/>
        <v>(含)-</v>
      </c>
      <c r="M90" s="936" t="str">
        <f>M91&amp;"(含)"&amp;"-"&amp;P91</f>
        <v>(含)-</v>
      </c>
      <c r="N90" s="1940"/>
      <c r="O90" s="1940"/>
      <c r="P90" s="1943"/>
      <c r="Q90" s="1937"/>
    </row>
    <row r="91" s="570" customFormat="1" spans="1:17">
      <c r="A91" s="895"/>
      <c r="B91" s="896"/>
      <c r="C91" s="897"/>
      <c r="D91" s="897"/>
      <c r="E91" s="897"/>
      <c r="F91" s="897"/>
      <c r="G91" s="897"/>
      <c r="H91" s="897"/>
      <c r="I91" s="897"/>
      <c r="J91" s="937"/>
      <c r="K91" s="937"/>
      <c r="L91" s="938"/>
      <c r="M91" s="939"/>
      <c r="N91" s="1945"/>
      <c r="O91" s="1945"/>
      <c r="P91" s="1946"/>
      <c r="Q91" s="1948"/>
    </row>
    <row r="92" s="570" customFormat="1" ht="14.75" spans="1:17">
      <c r="A92" s="875"/>
      <c r="B92" s="869"/>
      <c r="C92" s="878"/>
      <c r="D92" s="866"/>
      <c r="E92" s="866"/>
      <c r="F92" s="866"/>
      <c r="G92" s="866"/>
      <c r="H92" s="866"/>
      <c r="I92" s="866"/>
      <c r="J92" s="866"/>
      <c r="K92" s="866"/>
      <c r="L92" s="866"/>
      <c r="M92" s="903"/>
      <c r="N92" s="1944"/>
      <c r="O92" s="1944"/>
      <c r="P92" s="1946"/>
      <c r="Q92" s="1948"/>
    </row>
    <row r="93" ht="14.75" spans="1:17">
      <c r="A93" s="898"/>
      <c r="B93" s="867" t="s">
        <v>1204</v>
      </c>
      <c r="C93" s="876"/>
      <c r="D93" s="876"/>
      <c r="E93" s="868"/>
      <c r="F93" s="868"/>
      <c r="G93" s="868"/>
      <c r="H93" s="868"/>
      <c r="I93" s="868"/>
      <c r="J93" s="868"/>
      <c r="K93" s="905"/>
      <c r="L93" s="906"/>
      <c r="M93" s="907"/>
      <c r="N93" s="1942"/>
      <c r="O93" s="1942"/>
      <c r="P93" s="1943"/>
      <c r="Q93" s="1937"/>
    </row>
    <row r="94" ht="14.75" spans="1:17">
      <c r="A94" s="864"/>
      <c r="B94" s="869"/>
      <c r="C94" s="874">
        <v>100</v>
      </c>
      <c r="D94" s="874">
        <f t="shared" ref="D94:M94" si="21">C94-$K31</f>
        <v>100</v>
      </c>
      <c r="E94" s="874">
        <f t="shared" si="21"/>
        <v>100</v>
      </c>
      <c r="F94" s="874">
        <f t="shared" si="21"/>
        <v>100</v>
      </c>
      <c r="G94" s="874">
        <f t="shared" si="21"/>
        <v>100</v>
      </c>
      <c r="H94" s="874">
        <f t="shared" si="21"/>
        <v>100</v>
      </c>
      <c r="I94" s="874">
        <f t="shared" si="21"/>
        <v>100</v>
      </c>
      <c r="J94" s="874">
        <f t="shared" si="21"/>
        <v>100</v>
      </c>
      <c r="K94" s="874">
        <f t="shared" si="21"/>
        <v>100</v>
      </c>
      <c r="L94" s="874">
        <f t="shared" si="21"/>
        <v>100</v>
      </c>
      <c r="M94" s="911">
        <f t="shared" si="21"/>
        <v>100</v>
      </c>
      <c r="N94" s="1944"/>
      <c r="O94" s="1944"/>
      <c r="P94" s="1943"/>
      <c r="Q94" s="1937"/>
    </row>
    <row r="95" ht="14.75" spans="1:17">
      <c r="A95" s="898"/>
      <c r="B95" s="867" t="s">
        <v>1205</v>
      </c>
      <c r="C95" s="876"/>
      <c r="D95" s="876"/>
      <c r="E95" s="876"/>
      <c r="F95" s="868"/>
      <c r="G95" s="868"/>
      <c r="H95" s="868"/>
      <c r="I95" s="868"/>
      <c r="J95" s="868"/>
      <c r="K95" s="905"/>
      <c r="L95" s="906"/>
      <c r="M95" s="907"/>
      <c r="N95" s="1942"/>
      <c r="O95" s="1942"/>
      <c r="P95" s="1943"/>
      <c r="Q95" s="1937"/>
    </row>
    <row r="96" ht="14.75" spans="1:17">
      <c r="A96" s="864"/>
      <c r="B96" s="869"/>
      <c r="C96" s="874">
        <v>100</v>
      </c>
      <c r="D96" s="874">
        <f t="shared" ref="D96:M96" si="22">C96-$K32</f>
        <v>100</v>
      </c>
      <c r="E96" s="874">
        <f t="shared" si="22"/>
        <v>100</v>
      </c>
      <c r="F96" s="874">
        <f t="shared" si="22"/>
        <v>100</v>
      </c>
      <c r="G96" s="874">
        <f t="shared" si="22"/>
        <v>100</v>
      </c>
      <c r="H96" s="874">
        <f t="shared" si="22"/>
        <v>100</v>
      </c>
      <c r="I96" s="874">
        <f t="shared" si="22"/>
        <v>100</v>
      </c>
      <c r="J96" s="874">
        <f t="shared" si="22"/>
        <v>100</v>
      </c>
      <c r="K96" s="874">
        <f t="shared" si="22"/>
        <v>100</v>
      </c>
      <c r="L96" s="874">
        <f t="shared" si="22"/>
        <v>100</v>
      </c>
      <c r="M96" s="911">
        <f t="shared" si="22"/>
        <v>100</v>
      </c>
      <c r="N96" s="1944"/>
      <c r="O96" s="1944"/>
      <c r="P96" s="1943"/>
      <c r="Q96" s="1937"/>
    </row>
    <row r="97" ht="14.75" spans="1:17">
      <c r="A97" s="898"/>
      <c r="B97" s="867" t="s">
        <v>636</v>
      </c>
      <c r="C97" s="886" t="str">
        <f>C98&amp;"(含)"&amp;"-"&amp;D98</f>
        <v>0.5(含)-0.6</v>
      </c>
      <c r="D97" s="886" t="str">
        <f>D98&amp;"(含)"&amp;"-"&amp;E98</f>
        <v>0.6(含)-0.7</v>
      </c>
      <c r="E97" s="886" t="str">
        <f>E98&amp;"(含)"&amp;"-"&amp;F98</f>
        <v>0.7(含)-0.8</v>
      </c>
      <c r="F97" s="886" t="str">
        <f>F98&amp;"(含)"&amp;"-"&amp;G98</f>
        <v>0.8(含)-0.9</v>
      </c>
      <c r="G97" s="886" t="str">
        <f>G98&amp;"(含)"&amp;"-"&amp;ROUND(H98,0)&amp;"(含)"</f>
        <v>0.9(含)-1(含)</v>
      </c>
      <c r="H97" s="886"/>
      <c r="I97" s="868"/>
      <c r="J97" s="868"/>
      <c r="K97" s="905"/>
      <c r="L97" s="906"/>
      <c r="M97" s="907"/>
      <c r="N97" s="1942"/>
      <c r="O97" s="1942"/>
      <c r="P97" s="1943"/>
      <c r="Q97" s="1937"/>
    </row>
    <row r="98" spans="1:17">
      <c r="A98" s="898"/>
      <c r="B98" s="870"/>
      <c r="C98" s="899">
        <v>0.5</v>
      </c>
      <c r="D98" s="899">
        <v>0.6</v>
      </c>
      <c r="E98" s="899">
        <v>0.7</v>
      </c>
      <c r="F98" s="899">
        <v>0.8</v>
      </c>
      <c r="G98" s="899">
        <v>0.9</v>
      </c>
      <c r="H98" s="899">
        <v>1.0001</v>
      </c>
      <c r="I98" s="940"/>
      <c r="J98" s="940"/>
      <c r="K98" s="941"/>
      <c r="L98" s="942"/>
      <c r="M98" s="943"/>
      <c r="N98" s="1942"/>
      <c r="O98" s="1942"/>
      <c r="P98" s="1943"/>
      <c r="Q98" s="1937"/>
    </row>
    <row r="99" ht="14.75" spans="1:17">
      <c r="A99" s="864"/>
      <c r="B99" s="869"/>
      <c r="C99" s="890">
        <v>100</v>
      </c>
      <c r="D99" s="874">
        <f>C99+$K33</f>
        <v>100</v>
      </c>
      <c r="E99" s="874">
        <f t="shared" ref="E99:M99" si="23">D99+$K33</f>
        <v>100</v>
      </c>
      <c r="F99" s="874">
        <f t="shared" si="23"/>
        <v>100</v>
      </c>
      <c r="G99" s="874">
        <f t="shared" si="23"/>
        <v>100</v>
      </c>
      <c r="H99" s="874">
        <f t="shared" si="23"/>
        <v>100</v>
      </c>
      <c r="I99" s="874">
        <f t="shared" si="23"/>
        <v>100</v>
      </c>
      <c r="J99" s="874">
        <f t="shared" si="23"/>
        <v>100</v>
      </c>
      <c r="K99" s="874">
        <f t="shared" si="23"/>
        <v>100</v>
      </c>
      <c r="L99" s="874">
        <f t="shared" si="23"/>
        <v>100</v>
      </c>
      <c r="M99" s="874">
        <f t="shared" si="23"/>
        <v>100</v>
      </c>
      <c r="N99" s="1944"/>
      <c r="O99" s="1944"/>
      <c r="P99" s="1943"/>
      <c r="Q99" s="1937"/>
    </row>
    <row r="100" s="570" customFormat="1" ht="14.75" spans="1:17">
      <c r="A100" s="895"/>
      <c r="B100" s="867" t="s">
        <v>1207</v>
      </c>
      <c r="C100" s="876"/>
      <c r="D100" s="876"/>
      <c r="E100" s="876"/>
      <c r="F100" s="876"/>
      <c r="G100" s="876"/>
      <c r="H100" s="868"/>
      <c r="I100" s="868"/>
      <c r="J100" s="868"/>
      <c r="K100" s="905"/>
      <c r="L100" s="906"/>
      <c r="M100" s="907"/>
      <c r="N100" s="1945"/>
      <c r="O100" s="1945"/>
      <c r="P100" s="1946"/>
      <c r="Q100" s="1948"/>
    </row>
    <row r="101" s="570" customFormat="1" ht="14.75" spans="1:17">
      <c r="A101" s="875"/>
      <c r="B101" s="869"/>
      <c r="C101" s="874">
        <v>100</v>
      </c>
      <c r="D101" s="874">
        <f>C101-$K34</f>
        <v>100</v>
      </c>
      <c r="E101" s="874">
        <f t="shared" ref="E101:M101" si="24">D101-$K34</f>
        <v>100</v>
      </c>
      <c r="F101" s="874">
        <f t="shared" si="24"/>
        <v>100</v>
      </c>
      <c r="G101" s="874">
        <f t="shared" si="24"/>
        <v>100</v>
      </c>
      <c r="H101" s="874">
        <f t="shared" si="24"/>
        <v>100</v>
      </c>
      <c r="I101" s="874">
        <f t="shared" si="24"/>
        <v>100</v>
      </c>
      <c r="J101" s="874">
        <f t="shared" si="24"/>
        <v>100</v>
      </c>
      <c r="K101" s="874">
        <f t="shared" si="24"/>
        <v>100</v>
      </c>
      <c r="L101" s="874">
        <f t="shared" si="24"/>
        <v>100</v>
      </c>
      <c r="M101" s="874">
        <f t="shared" si="24"/>
        <v>100</v>
      </c>
      <c r="N101" s="1945"/>
      <c r="O101" s="1945"/>
      <c r="P101" s="1946"/>
      <c r="Q101" s="1948"/>
    </row>
    <row r="102" ht="14.75" spans="1:17">
      <c r="A102" s="898"/>
      <c r="B102" s="867" t="s">
        <v>1208</v>
      </c>
      <c r="C102" s="876"/>
      <c r="D102" s="876"/>
      <c r="E102" s="876"/>
      <c r="F102" s="876"/>
      <c r="G102" s="876"/>
      <c r="H102" s="868"/>
      <c r="I102" s="868"/>
      <c r="J102" s="868"/>
      <c r="K102" s="905"/>
      <c r="L102" s="906"/>
      <c r="M102" s="907"/>
      <c r="N102" s="1942"/>
      <c r="O102" s="1942"/>
      <c r="P102" s="1943"/>
      <c r="Q102" s="1937"/>
    </row>
    <row r="103" ht="14.75" spans="1:17">
      <c r="A103" s="864"/>
      <c r="B103" s="869"/>
      <c r="C103" s="874">
        <v>100</v>
      </c>
      <c r="D103" s="874">
        <f t="shared" ref="D103:M103" si="25">C103-$K35</f>
        <v>100</v>
      </c>
      <c r="E103" s="874">
        <f t="shared" si="25"/>
        <v>100</v>
      </c>
      <c r="F103" s="874">
        <f t="shared" si="25"/>
        <v>100</v>
      </c>
      <c r="G103" s="874">
        <f t="shared" si="25"/>
        <v>100</v>
      </c>
      <c r="H103" s="874">
        <f t="shared" si="25"/>
        <v>100</v>
      </c>
      <c r="I103" s="874">
        <f t="shared" si="25"/>
        <v>100</v>
      </c>
      <c r="J103" s="874">
        <f t="shared" si="25"/>
        <v>100</v>
      </c>
      <c r="K103" s="874">
        <f t="shared" si="25"/>
        <v>100</v>
      </c>
      <c r="L103" s="874">
        <f t="shared" si="25"/>
        <v>100</v>
      </c>
      <c r="M103" s="911">
        <f t="shared" si="25"/>
        <v>100</v>
      </c>
      <c r="N103" s="1944"/>
      <c r="O103" s="1944"/>
      <c r="P103" s="1943"/>
      <c r="Q103" s="1937"/>
    </row>
    <row r="104" ht="14.75" spans="1:17">
      <c r="A104" s="898"/>
      <c r="B104" s="867" t="s">
        <v>1211</v>
      </c>
      <c r="C104" s="876"/>
      <c r="D104" s="876"/>
      <c r="E104" s="876"/>
      <c r="F104" s="876"/>
      <c r="G104" s="876"/>
      <c r="H104" s="868"/>
      <c r="I104" s="868"/>
      <c r="J104" s="868"/>
      <c r="K104" s="905"/>
      <c r="L104" s="906"/>
      <c r="M104" s="907"/>
      <c r="N104" s="1942"/>
      <c r="O104" s="1942"/>
      <c r="P104" s="1943"/>
      <c r="Q104" s="1937"/>
    </row>
    <row r="105" ht="14.75" spans="1:17">
      <c r="A105" s="864"/>
      <c r="B105" s="869"/>
      <c r="C105" s="874">
        <v>100</v>
      </c>
      <c r="D105" s="874">
        <f>C105-$K36</f>
        <v>100</v>
      </c>
      <c r="E105" s="874">
        <f>D105-$K36</f>
        <v>100</v>
      </c>
      <c r="F105" s="874">
        <f>E105-$K36</f>
        <v>100</v>
      </c>
      <c r="G105" s="874">
        <f>F105-$K36</f>
        <v>100</v>
      </c>
      <c r="H105" s="874"/>
      <c r="I105" s="874"/>
      <c r="J105" s="874"/>
      <c r="K105" s="874"/>
      <c r="L105" s="874"/>
      <c r="M105" s="911"/>
      <c r="N105" s="1944"/>
      <c r="O105" s="1944"/>
      <c r="P105" s="1943"/>
      <c r="Q105" s="1937"/>
    </row>
    <row r="106" ht="28.75" spans="1:17">
      <c r="A106" s="898"/>
      <c r="B106" s="900" t="s">
        <v>1494</v>
      </c>
      <c r="C106" s="886" t="s">
        <v>1225</v>
      </c>
      <c r="D106" s="886" t="s">
        <v>1226</v>
      </c>
      <c r="E106" s="886" t="s">
        <v>1227</v>
      </c>
      <c r="F106" s="886" t="s">
        <v>1228</v>
      </c>
      <c r="G106" s="886" t="s">
        <v>1229</v>
      </c>
      <c r="H106" s="887"/>
      <c r="I106" s="887"/>
      <c r="J106" s="887"/>
      <c r="K106" s="926"/>
      <c r="L106" s="927"/>
      <c r="M106" s="928"/>
      <c r="N106" s="1944"/>
      <c r="O106" s="1944"/>
      <c r="P106" s="1952"/>
      <c r="Q106" s="1954"/>
    </row>
    <row r="107" ht="14.75" spans="1:17">
      <c r="A107" s="864"/>
      <c r="B107" s="869"/>
      <c r="C107" s="890">
        <v>100</v>
      </c>
      <c r="D107" s="874">
        <f t="shared" ref="D107:M107" si="26">C107-$K37</f>
        <v>100</v>
      </c>
      <c r="E107" s="874">
        <f t="shared" si="26"/>
        <v>100</v>
      </c>
      <c r="F107" s="874">
        <f t="shared" si="26"/>
        <v>100</v>
      </c>
      <c r="G107" s="874">
        <f t="shared" si="26"/>
        <v>100</v>
      </c>
      <c r="H107" s="874">
        <f t="shared" si="26"/>
        <v>100</v>
      </c>
      <c r="I107" s="874">
        <f t="shared" si="26"/>
        <v>100</v>
      </c>
      <c r="J107" s="874">
        <f t="shared" si="26"/>
        <v>100</v>
      </c>
      <c r="K107" s="874">
        <f t="shared" si="26"/>
        <v>100</v>
      </c>
      <c r="L107" s="874">
        <f t="shared" si="26"/>
        <v>100</v>
      </c>
      <c r="M107" s="874">
        <f t="shared" si="26"/>
        <v>100</v>
      </c>
      <c r="N107" s="1944"/>
      <c r="O107" s="1944"/>
      <c r="P107" s="1943"/>
      <c r="Q107" s="1937"/>
    </row>
    <row r="108" s="570" customFormat="1" ht="14.75" spans="1:17">
      <c r="A108" s="895"/>
      <c r="B108" s="867">
        <f>B38</f>
        <v>111</v>
      </c>
      <c r="C108" s="876"/>
      <c r="D108" s="876"/>
      <c r="E108" s="876"/>
      <c r="F108" s="876"/>
      <c r="G108" s="876"/>
      <c r="H108" s="877"/>
      <c r="I108" s="877"/>
      <c r="J108" s="877"/>
      <c r="K108" s="877"/>
      <c r="L108" s="912"/>
      <c r="M108" s="913"/>
      <c r="N108" s="1945"/>
      <c r="O108" s="1945"/>
      <c r="P108" s="1946"/>
      <c r="Q108" s="1948"/>
    </row>
    <row r="109" s="570" customFormat="1" ht="14.75" spans="1:17">
      <c r="A109" s="875"/>
      <c r="B109" s="865"/>
      <c r="C109" s="878"/>
      <c r="D109" s="866"/>
      <c r="E109" s="866"/>
      <c r="F109" s="866"/>
      <c r="G109" s="878"/>
      <c r="H109" s="879"/>
      <c r="I109" s="879"/>
      <c r="J109" s="879"/>
      <c r="K109" s="879"/>
      <c r="L109" s="879"/>
      <c r="M109" s="917"/>
      <c r="N109" s="1945"/>
      <c r="O109" s="1945"/>
      <c r="P109" s="1946"/>
      <c r="Q109" s="1948"/>
    </row>
    <row r="110" ht="14.75" spans="1:17">
      <c r="A110" s="898"/>
      <c r="B110" s="867">
        <f>B39</f>
        <v>111</v>
      </c>
      <c r="C110" s="876"/>
      <c r="D110" s="876"/>
      <c r="E110" s="876"/>
      <c r="F110" s="876"/>
      <c r="G110" s="876"/>
      <c r="H110" s="877"/>
      <c r="I110" s="877"/>
      <c r="J110" s="877"/>
      <c r="K110" s="877"/>
      <c r="L110" s="912"/>
      <c r="M110" s="913"/>
      <c r="N110" s="1942"/>
      <c r="O110" s="1942"/>
      <c r="P110" s="1943"/>
      <c r="Q110" s="1937"/>
    </row>
    <row r="111" ht="14.75" spans="1:17">
      <c r="A111" s="864"/>
      <c r="B111" s="869"/>
      <c r="C111" s="878"/>
      <c r="D111" s="866"/>
      <c r="E111" s="866"/>
      <c r="F111" s="866"/>
      <c r="G111" s="878"/>
      <c r="H111" s="879"/>
      <c r="I111" s="879"/>
      <c r="J111" s="879"/>
      <c r="K111" s="879"/>
      <c r="L111" s="879"/>
      <c r="M111" s="917"/>
      <c r="N111" s="1944"/>
      <c r="O111" s="1944"/>
      <c r="P111" s="1943"/>
      <c r="Q111" s="1937"/>
    </row>
    <row r="112" ht="14.75" spans="1:17">
      <c r="A112" s="898"/>
      <c r="B112" s="870">
        <f>B40</f>
        <v>111</v>
      </c>
      <c r="C112" s="739"/>
      <c r="D112" s="739"/>
      <c r="E112" s="739"/>
      <c r="F112" s="739"/>
      <c r="G112" s="892"/>
      <c r="H112" s="892"/>
      <c r="I112" s="892"/>
      <c r="J112" s="892"/>
      <c r="K112" s="739"/>
      <c r="L112" s="802"/>
      <c r="M112" s="934"/>
      <c r="N112" s="1942"/>
      <c r="O112" s="1942"/>
      <c r="P112" s="1943"/>
      <c r="Q112" s="1937"/>
    </row>
    <row r="113" ht="14.75" spans="1:17">
      <c r="A113" s="893"/>
      <c r="B113" s="882"/>
      <c r="C113" s="883"/>
      <c r="D113" s="883"/>
      <c r="E113" s="883"/>
      <c r="F113" s="883"/>
      <c r="G113" s="894"/>
      <c r="H113" s="894"/>
      <c r="I113" s="894"/>
      <c r="J113" s="894"/>
      <c r="K113" s="894"/>
      <c r="L113" s="894"/>
      <c r="M113" s="935"/>
      <c r="N113" s="1944"/>
      <c r="O113" s="1944"/>
      <c r="P113" s="1943"/>
      <c r="Q113" s="193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F20" sqref="F20"/>
    </sheetView>
  </sheetViews>
  <sheetFormatPr defaultColWidth="9" defaultRowHeight="14"/>
  <cols>
    <col min="1" max="1" width="10.5" style="573" customWidth="1"/>
    <col min="2" max="2" width="15.7545454545455" style="573" customWidth="1"/>
    <col min="3" max="3" width="14.3727272727273" style="573" customWidth="1"/>
    <col min="4" max="4" width="12.2545454545455" style="573" customWidth="1"/>
    <col min="5" max="5" width="14.3727272727273" style="573" customWidth="1"/>
    <col min="6" max="6" width="12.2545454545455" style="573" customWidth="1"/>
    <col min="7" max="7" width="14.5" style="573" customWidth="1"/>
    <col min="8" max="8" width="12.2545454545455" style="573" customWidth="1"/>
    <col min="9" max="9" width="15.5" style="573" customWidth="1"/>
    <col min="10" max="10" width="12.2545454545455" style="573" customWidth="1"/>
    <col min="11" max="11" width="12.2545454545455" style="574" customWidth="1"/>
    <col min="12" max="12" width="12.2545454545455" style="575" customWidth="1"/>
    <col min="13" max="15" width="12.2545454545455" style="573" customWidth="1"/>
    <col min="16" max="16" width="4.75454545454545" style="576" customWidth="1"/>
    <col min="17" max="17" width="19.5" style="573" customWidth="1"/>
    <col min="18" max="22" width="6.12727272727273" style="573" customWidth="1"/>
    <col min="23" max="23" width="5.75454545454545" style="573" customWidth="1"/>
    <col min="24" max="24" width="4.25454545454545" style="573" customWidth="1"/>
    <col min="25" max="25" width="3.5" style="573" customWidth="1"/>
    <col min="26" max="26" width="19.7545454545455" style="573" customWidth="1"/>
    <col min="27" max="28" width="9.37272727272727" style="573" customWidth="1"/>
    <col min="29" max="16384" width="9" style="573"/>
  </cols>
  <sheetData>
    <row r="1" s="566" customFormat="1" ht="28.5" customHeight="1" spans="1:29">
      <c r="A1" s="577" t="s">
        <v>1495</v>
      </c>
      <c r="B1" s="1855" t="s">
        <v>1496</v>
      </c>
      <c r="C1" s="579" t="s">
        <v>1154</v>
      </c>
      <c r="D1" s="580"/>
      <c r="E1" s="581"/>
      <c r="F1" s="582"/>
      <c r="G1" s="1879" t="s">
        <v>1157</v>
      </c>
      <c r="H1" s="1880"/>
      <c r="I1" s="1880"/>
      <c r="J1" s="1880"/>
      <c r="K1" s="1904"/>
      <c r="L1" s="1905"/>
      <c r="M1" s="1906"/>
      <c r="N1" s="1906"/>
      <c r="O1" s="1906"/>
      <c r="P1" s="1907"/>
      <c r="Q1" s="579"/>
      <c r="R1" s="579"/>
      <c r="S1" s="579"/>
      <c r="T1" s="579"/>
      <c r="U1" s="579"/>
      <c r="V1" s="579"/>
      <c r="W1" s="579"/>
      <c r="X1" s="579"/>
      <c r="Y1" s="579"/>
      <c r="Z1" s="579"/>
      <c r="AA1" s="579"/>
      <c r="AB1" s="579"/>
      <c r="AC1" s="846"/>
    </row>
    <row r="2" s="567" customFormat="1" ht="28.5" customHeight="1" spans="1:29">
      <c r="A2" s="585" t="s">
        <v>995</v>
      </c>
      <c r="B2" s="586" t="b">
        <f ca="1">IF(E1="项目模式",IF(C2="——",IF(B37="元/平方米",ROUND(C39*D3/10000,0),ROUND(F3*C39/10000,0)),IF(B37="元/平方米",ROUND(C39*D3/10000,0),ROUND(F3*C39/10000,0))-D2),IF(E1="单套模式",IF(C2="——",IF(B37="元/平方米",ROUND(C39*D3/10000,0),ROUND(F3*C39/10000,0)),IF(B37="元/平方米",ROUND(C39*D3/10000,0),ROUND(F3*C39/10000,0))-D2)))</f>
        <v>0</v>
      </c>
      <c r="C2" s="587"/>
      <c r="D2" s="1821" t="e">
        <f ca="1">IF(E1="项目模式",SUMIF(INDIRECT("'"&amp;F2&amp;"'"&amp;"!A:A"),"承租人权益价值",INDIRECT("'"&amp;F2&amp;"'"&amp;"!c:c")),SUMIF(INDIRECT("'"&amp;F2&amp;"'"&amp;"!A:A"),"承租人权益价值（单套）",INDIRECT("'"&amp;F2&amp;"'"&amp;"!c:c")))</f>
        <v>#REF!</v>
      </c>
      <c r="E2" s="589" t="s">
        <v>996</v>
      </c>
      <c r="F2" s="590"/>
      <c r="G2" s="591"/>
      <c r="H2" s="591"/>
      <c r="I2" s="591"/>
      <c r="J2" s="591"/>
      <c r="K2" s="752"/>
      <c r="L2" s="749"/>
      <c r="M2" s="750"/>
      <c r="N2" s="750"/>
      <c r="O2" s="750"/>
      <c r="P2" s="1908"/>
      <c r="Q2" s="751"/>
      <c r="R2" s="751"/>
      <c r="S2" s="751"/>
      <c r="T2" s="751"/>
      <c r="U2" s="751"/>
      <c r="V2" s="751"/>
      <c r="W2" s="751"/>
      <c r="X2" s="751"/>
      <c r="Y2" s="751"/>
      <c r="Z2" s="751"/>
      <c r="AA2" s="751"/>
      <c r="AB2" s="751"/>
      <c r="AC2" s="847"/>
    </row>
    <row r="3" s="567" customFormat="1" ht="28.5" customHeight="1" spans="1:29">
      <c r="A3" s="396" t="s">
        <v>997</v>
      </c>
      <c r="B3" s="592" t="e">
        <f ca="1">IF(AND(C2="——",B37="元/平方米"),C39,ROUND(B2*10000/D3,0))</f>
        <v>#DIV/0!</v>
      </c>
      <c r="C3" s="593" t="s">
        <v>1158</v>
      </c>
      <c r="D3" s="594">
        <f>SUMIF('数据-汇总表'!$C19:$C33,D1,'数据-汇总表'!$E19:$E33)</f>
        <v>0</v>
      </c>
      <c r="E3" s="593" t="s">
        <v>1497</v>
      </c>
      <c r="F3" s="594">
        <f>SUMIF('数据-取费表'!A5:A15,D1,'数据-取费表'!AH5:AH15)</f>
        <v>0</v>
      </c>
      <c r="G3" s="591"/>
      <c r="H3" s="591"/>
      <c r="I3" s="591"/>
      <c r="J3" s="591"/>
      <c r="K3" s="752"/>
      <c r="L3" s="749"/>
      <c r="M3" s="750" t="e">
        <f ca="1">IF(C2="——",IF(B37="元/平方米",ROUND(C39*D3/10000,0),ROUND(F3*C39/10000,0)),IF(B37="元/平方米",ROUND(C39*D3/10000,0),ROUND(F3*C39/10000,0))-D2)</f>
        <v>#DIV/0!</v>
      </c>
      <c r="N3" s="750"/>
      <c r="O3" s="750"/>
      <c r="P3" s="1908"/>
      <c r="Q3" s="751"/>
      <c r="R3" s="751"/>
      <c r="S3" s="751"/>
      <c r="T3" s="751"/>
      <c r="U3" s="751"/>
      <c r="V3" s="751"/>
      <c r="W3" s="751"/>
      <c r="X3" s="751"/>
      <c r="Y3" s="751"/>
      <c r="Z3" s="751"/>
      <c r="AA3" s="751"/>
      <c r="AB3" s="1600"/>
      <c r="AC3" s="1601"/>
    </row>
    <row r="4" spans="1:29">
      <c r="A4" s="597" t="s">
        <v>1159</v>
      </c>
      <c r="B4" s="598"/>
      <c r="C4" s="599" t="s">
        <v>1160</v>
      </c>
      <c r="D4" s="600"/>
      <c r="E4" s="601" t="s">
        <v>1161</v>
      </c>
      <c r="F4" s="602"/>
      <c r="G4" s="599" t="s">
        <v>1162</v>
      </c>
      <c r="H4" s="600"/>
      <c r="I4" s="599" t="s">
        <v>1163</v>
      </c>
      <c r="J4" s="600"/>
      <c r="K4" s="753" t="s">
        <v>1164</v>
      </c>
      <c r="L4" s="754"/>
      <c r="M4" s="755"/>
      <c r="N4" s="755"/>
      <c r="O4" s="755"/>
      <c r="P4" s="1575" t="s">
        <v>1165</v>
      </c>
      <c r="Q4" s="1594"/>
      <c r="R4" s="1595" t="s">
        <v>1161</v>
      </c>
      <c r="S4" s="1596"/>
      <c r="T4" s="1595" t="s">
        <v>1162</v>
      </c>
      <c r="U4" s="1596"/>
      <c r="V4" s="820" t="s">
        <v>1163</v>
      </c>
      <c r="W4" s="820"/>
      <c r="X4" s="821"/>
      <c r="Y4" s="1595" t="s">
        <v>1165</v>
      </c>
      <c r="Z4" s="1596"/>
      <c r="AA4" s="1602" t="s">
        <v>1161</v>
      </c>
      <c r="AB4" s="821" t="s">
        <v>1162</v>
      </c>
      <c r="AC4" s="1602" t="s">
        <v>1163</v>
      </c>
    </row>
    <row r="5" spans="1:29">
      <c r="A5" s="603"/>
      <c r="B5" s="604"/>
      <c r="C5" s="605" t="s">
        <v>1166</v>
      </c>
      <c r="D5" s="606"/>
      <c r="E5" s="609" t="s">
        <v>1453</v>
      </c>
      <c r="F5" s="608"/>
      <c r="G5" s="605" t="s">
        <v>1454</v>
      </c>
      <c r="H5" s="606"/>
      <c r="I5" s="605" t="s">
        <v>1455</v>
      </c>
      <c r="J5" s="606"/>
      <c r="K5" s="753"/>
      <c r="L5" s="754"/>
      <c r="M5" s="755"/>
      <c r="N5" s="755"/>
      <c r="O5" s="755"/>
      <c r="P5" s="1576"/>
      <c r="Q5" s="817"/>
      <c r="R5" s="818"/>
      <c r="S5" s="819"/>
      <c r="T5" s="818"/>
      <c r="U5" s="819"/>
      <c r="V5" s="820"/>
      <c r="W5" s="820"/>
      <c r="X5" s="821"/>
      <c r="Y5" s="818"/>
      <c r="Z5" s="819"/>
      <c r="AA5" s="821"/>
      <c r="AB5" s="821"/>
      <c r="AC5" s="821"/>
    </row>
    <row r="6" ht="14.75" spans="1:29">
      <c r="A6" s="610"/>
      <c r="B6" s="611"/>
      <c r="C6" s="612" t="s">
        <v>1170</v>
      </c>
      <c r="D6" s="613"/>
      <c r="E6" s="614" t="s">
        <v>1170</v>
      </c>
      <c r="F6" s="615"/>
      <c r="G6" s="612" t="s">
        <v>1170</v>
      </c>
      <c r="H6" s="613"/>
      <c r="I6" s="612" t="s">
        <v>1170</v>
      </c>
      <c r="J6" s="613"/>
      <c r="K6" s="753" t="s">
        <v>1171</v>
      </c>
      <c r="L6" s="754"/>
      <c r="M6" s="755"/>
      <c r="N6" s="755"/>
      <c r="O6" s="755"/>
      <c r="P6" s="1577"/>
      <c r="Q6" s="822"/>
      <c r="R6" s="818"/>
      <c r="S6" s="819"/>
      <c r="T6" s="823"/>
      <c r="U6" s="824"/>
      <c r="V6" s="820"/>
      <c r="W6" s="820"/>
      <c r="X6" s="821"/>
      <c r="Y6" s="823"/>
      <c r="Z6" s="824"/>
      <c r="AA6" s="850"/>
      <c r="AB6" s="850"/>
      <c r="AC6" s="850"/>
    </row>
    <row r="7" s="568" customFormat="1" ht="14.75" spans="1:29">
      <c r="A7" s="616" t="s">
        <v>1172</v>
      </c>
      <c r="B7" s="617"/>
      <c r="C7" s="618">
        <f>'数据-取费表'!B2</f>
        <v>45538</v>
      </c>
      <c r="D7" s="619">
        <v>100</v>
      </c>
      <c r="E7" s="620"/>
      <c r="F7" s="621">
        <f>SUMIF(48:48,YEAR(E7)&amp;"-"&amp;MONTH(E7),49:49)</f>
        <v>0</v>
      </c>
      <c r="G7" s="620"/>
      <c r="H7" s="619">
        <f>SUMIF(48:48,YEAR(G7)&amp;"-"&amp;MONTH(G7),49:49)</f>
        <v>0</v>
      </c>
      <c r="I7" s="620"/>
      <c r="J7" s="619">
        <f>SUMIF(48:48,YEAR(I7)&amp;"-"&amp;MONTH(I7),49:49)</f>
        <v>0</v>
      </c>
      <c r="K7" s="759"/>
      <c r="L7" s="760"/>
      <c r="M7" s="761"/>
      <c r="N7" s="761"/>
      <c r="O7" s="761"/>
      <c r="P7" s="852" t="s">
        <v>1173</v>
      </c>
      <c r="Q7" s="825"/>
      <c r="R7" s="826" t="s">
        <v>1174</v>
      </c>
      <c r="S7" s="827">
        <f t="shared" ref="S7:S14" si="0">F7</f>
        <v>0</v>
      </c>
      <c r="T7" s="826" t="s">
        <v>1174</v>
      </c>
      <c r="U7" s="827">
        <f t="shared" ref="U7:U14" si="1">H7</f>
        <v>0</v>
      </c>
      <c r="V7" s="826" t="s">
        <v>1174</v>
      </c>
      <c r="W7" s="827">
        <f t="shared" ref="W7:W14" si="2">J7</f>
        <v>0</v>
      </c>
      <c r="X7" s="828"/>
      <c r="Y7" s="852" t="s">
        <v>1173</v>
      </c>
      <c r="Z7" s="829"/>
      <c r="AA7" s="853" t="e">
        <f>D7/F7</f>
        <v>#DIV/0!</v>
      </c>
      <c r="AB7" s="853" t="e">
        <f>D7/H7</f>
        <v>#DIV/0!</v>
      </c>
      <c r="AC7" s="853" t="e">
        <f>D7/J7</f>
        <v>#DIV/0!</v>
      </c>
    </row>
    <row r="8" s="568" customFormat="1" ht="14.75" spans="1:29">
      <c r="A8" s="616" t="s">
        <v>1175</v>
      </c>
      <c r="B8" s="617"/>
      <c r="C8" s="622"/>
      <c r="D8" s="619">
        <v>100</v>
      </c>
      <c r="E8" s="622"/>
      <c r="F8" s="621">
        <f>SUMIF(51:51,E8,52:52)-SUMIF(51:51,C8,52:52)+100</f>
        <v>100</v>
      </c>
      <c r="G8" s="622"/>
      <c r="H8" s="619">
        <f>SUMIF(51:51,G8,52:52)-SUMIF(51:51,C8,52:52)+100</f>
        <v>100</v>
      </c>
      <c r="I8" s="622"/>
      <c r="J8" s="619">
        <f>SUMIF(51:51,I8,52:52)-SUMIF(51:51,C8,52:52)+100</f>
        <v>100</v>
      </c>
      <c r="K8" s="759"/>
      <c r="L8" s="760"/>
      <c r="M8" s="761"/>
      <c r="N8" s="761"/>
      <c r="O8" s="761"/>
      <c r="P8" s="852" t="s">
        <v>1177</v>
      </c>
      <c r="Q8" s="829"/>
      <c r="R8" s="826" t="s">
        <v>1174</v>
      </c>
      <c r="S8" s="827">
        <f t="shared" si="0"/>
        <v>100</v>
      </c>
      <c r="T8" s="826" t="s">
        <v>1174</v>
      </c>
      <c r="U8" s="827">
        <f t="shared" si="1"/>
        <v>100</v>
      </c>
      <c r="V8" s="826" t="s">
        <v>1174</v>
      </c>
      <c r="W8" s="827">
        <f t="shared" si="2"/>
        <v>100</v>
      </c>
      <c r="X8" s="828"/>
      <c r="Y8" s="852" t="s">
        <v>1177</v>
      </c>
      <c r="Z8" s="829"/>
      <c r="AA8" s="853">
        <f t="shared" ref="AA8:AA36" si="3">D8/F8</f>
        <v>1</v>
      </c>
      <c r="AB8" s="853">
        <f t="shared" ref="AB8:AB36" si="4">D8/H8</f>
        <v>1</v>
      </c>
      <c r="AC8" s="853">
        <f t="shared" ref="AC8:AC36" si="5">D8/J8</f>
        <v>1</v>
      </c>
    </row>
    <row r="9" s="568" customFormat="1" spans="1:29">
      <c r="A9" s="1881" t="s">
        <v>1178</v>
      </c>
      <c r="B9" s="1882" t="s">
        <v>1179</v>
      </c>
      <c r="C9" s="1856"/>
      <c r="D9" s="626">
        <v>100</v>
      </c>
      <c r="E9" s="627"/>
      <c r="F9" s="626">
        <f>SUMIF(53:53,E9,54:54)-SUMIF(53:53,C9,54:54)+100</f>
        <v>100</v>
      </c>
      <c r="G9" s="628"/>
      <c r="H9" s="626">
        <f>SUMIF(53:53,G9,54:54)-SUMIF(53:53,C9,54:54)+100</f>
        <v>100</v>
      </c>
      <c r="I9" s="628"/>
      <c r="J9" s="626">
        <f>SUMIF(53:53,I9,54:54)-SUMIF(53:53,C9,54:54)+100</f>
        <v>100</v>
      </c>
      <c r="K9" s="759"/>
      <c r="L9" s="760"/>
      <c r="M9" s="761"/>
      <c r="N9" s="761"/>
      <c r="O9" s="761"/>
      <c r="P9" s="831" t="s">
        <v>1182</v>
      </c>
      <c r="Q9" s="830" t="str">
        <f t="shared" ref="Q9:Q14" si="6">B9</f>
        <v>用途</v>
      </c>
      <c r="R9" s="826" t="s">
        <v>1174</v>
      </c>
      <c r="S9" s="827">
        <f t="shared" si="0"/>
        <v>100</v>
      </c>
      <c r="T9" s="826" t="s">
        <v>1174</v>
      </c>
      <c r="U9" s="827">
        <f t="shared" si="1"/>
        <v>100</v>
      </c>
      <c r="V9" s="826" t="s">
        <v>1174</v>
      </c>
      <c r="W9" s="827">
        <f t="shared" si="2"/>
        <v>100</v>
      </c>
      <c r="X9" s="828"/>
      <c r="Y9" s="830" t="s">
        <v>1183</v>
      </c>
      <c r="Z9" s="855" t="str">
        <f t="shared" ref="Z9:Z14" si="7">Q9</f>
        <v>用途</v>
      </c>
      <c r="AA9" s="853">
        <f t="shared" si="3"/>
        <v>1</v>
      </c>
      <c r="AB9" s="853">
        <f t="shared" si="4"/>
        <v>1</v>
      </c>
      <c r="AC9" s="853">
        <f t="shared" si="5"/>
        <v>1</v>
      </c>
    </row>
    <row r="10" s="569" customFormat="1" ht="28" spans="1:29">
      <c r="A10" s="1883"/>
      <c r="B10" s="1884" t="s">
        <v>1184</v>
      </c>
      <c r="C10" s="631"/>
      <c r="D10" s="632">
        <v>100</v>
      </c>
      <c r="E10" s="631"/>
      <c r="F10" s="632">
        <f>SUMIF(55:55,E10,56:56)-SUMIF(55:55,C10,56:56)+100</f>
        <v>100</v>
      </c>
      <c r="G10" s="633"/>
      <c r="H10" s="632">
        <f>SUMIF(55:55,G10,56:56)-SUMIF(55:55,C10,56:56)+100</f>
        <v>100</v>
      </c>
      <c r="I10" s="631"/>
      <c r="J10" s="632">
        <f>SUMIF(55:55,I10,56:56)-SUMIF(55:55,C10,56:56)+100</f>
        <v>100</v>
      </c>
      <c r="K10" s="759"/>
      <c r="L10" s="764"/>
      <c r="M10" s="765"/>
      <c r="N10" s="765"/>
      <c r="O10" s="765"/>
      <c r="P10" s="831"/>
      <c r="Q10" s="830" t="str">
        <f t="shared" si="6"/>
        <v>土地使用年限（年）</v>
      </c>
      <c r="R10" s="826" t="s">
        <v>1174</v>
      </c>
      <c r="S10" s="827">
        <f t="shared" si="0"/>
        <v>100</v>
      </c>
      <c r="T10" s="826" t="s">
        <v>1174</v>
      </c>
      <c r="U10" s="827">
        <f t="shared" si="1"/>
        <v>100</v>
      </c>
      <c r="V10" s="826" t="s">
        <v>1174</v>
      </c>
      <c r="W10" s="827">
        <f t="shared" si="2"/>
        <v>100</v>
      </c>
      <c r="X10" s="828"/>
      <c r="Y10" s="830"/>
      <c r="Z10" s="855" t="str">
        <f t="shared" si="7"/>
        <v>土地使用年限（年）</v>
      </c>
      <c r="AA10" s="853">
        <f t="shared" si="3"/>
        <v>1</v>
      </c>
      <c r="AB10" s="853">
        <f t="shared" si="4"/>
        <v>1</v>
      </c>
      <c r="AC10" s="853">
        <f t="shared" si="5"/>
        <v>1</v>
      </c>
    </row>
    <row r="11" ht="15.5" spans="1:29">
      <c r="A11" s="1885"/>
      <c r="B11" s="1886">
        <v>111</v>
      </c>
      <c r="C11" s="639"/>
      <c r="D11" s="632">
        <v>100</v>
      </c>
      <c r="E11" s="639"/>
      <c r="F11" s="632">
        <f>SUMIF(57:57,E11,58:58)-SUMIF(57:57,C11,58:58)+100</f>
        <v>100</v>
      </c>
      <c r="G11" s="639"/>
      <c r="H11" s="632">
        <f>SUMIF(57:57,G11,58:58)-SUMIF(57:57,C11,58:58)+100</f>
        <v>100</v>
      </c>
      <c r="I11" s="639"/>
      <c r="J11" s="632">
        <f>SUMIF(57:57,I11,58:58)-SUMIF(57:57,C11,58:58)+100</f>
        <v>100</v>
      </c>
      <c r="K11" s="768"/>
      <c r="L11" s="767"/>
      <c r="M11" s="755"/>
      <c r="N11" s="755"/>
      <c r="O11" s="755"/>
      <c r="P11" s="831"/>
      <c r="Q11" s="830">
        <f t="shared" si="6"/>
        <v>111</v>
      </c>
      <c r="R11" s="826" t="s">
        <v>1174</v>
      </c>
      <c r="S11" s="827">
        <f t="shared" si="0"/>
        <v>100</v>
      </c>
      <c r="T11" s="826" t="s">
        <v>1174</v>
      </c>
      <c r="U11" s="827">
        <f t="shared" si="1"/>
        <v>100</v>
      </c>
      <c r="V11" s="826" t="s">
        <v>1174</v>
      </c>
      <c r="W11" s="827">
        <f t="shared" si="2"/>
        <v>100</v>
      </c>
      <c r="X11" s="828"/>
      <c r="Y11" s="830"/>
      <c r="Z11" s="855">
        <f t="shared" si="7"/>
        <v>111</v>
      </c>
      <c r="AA11" s="853">
        <f t="shared" si="3"/>
        <v>1</v>
      </c>
      <c r="AB11" s="853">
        <f t="shared" si="4"/>
        <v>1</v>
      </c>
      <c r="AC11" s="853">
        <f t="shared" si="5"/>
        <v>1</v>
      </c>
    </row>
    <row r="12" s="568" customFormat="1" ht="15.5" spans="1:29">
      <c r="A12" s="1887"/>
      <c r="B12" s="1886">
        <v>111</v>
      </c>
      <c r="C12" s="639"/>
      <c r="D12" s="640">
        <v>100</v>
      </c>
      <c r="E12" s="639"/>
      <c r="F12" s="632">
        <f>SUMIF(59:59,E12,60:60)-SUMIF(59:59,C12,60:60)+100</f>
        <v>100</v>
      </c>
      <c r="G12" s="639"/>
      <c r="H12" s="632">
        <f>SUMIF(59:59,G12,60:60)-SUMIF(59:59,C12,60:60)+100</f>
        <v>100</v>
      </c>
      <c r="I12" s="639"/>
      <c r="J12" s="632">
        <f>SUMIF(59:59,I12,60:60)-SUMIF(59:59,C12,60:60)+100</f>
        <v>100</v>
      </c>
      <c r="K12" s="768"/>
      <c r="L12" s="760"/>
      <c r="M12" s="761"/>
      <c r="N12" s="761"/>
      <c r="O12" s="761"/>
      <c r="P12" s="831"/>
      <c r="Q12" s="830">
        <f t="shared" si="6"/>
        <v>111</v>
      </c>
      <c r="R12" s="826" t="s">
        <v>1174</v>
      </c>
      <c r="S12" s="827">
        <f t="shared" si="0"/>
        <v>100</v>
      </c>
      <c r="T12" s="826" t="s">
        <v>1174</v>
      </c>
      <c r="U12" s="827">
        <f t="shared" si="1"/>
        <v>100</v>
      </c>
      <c r="V12" s="826" t="s">
        <v>1174</v>
      </c>
      <c r="W12" s="827">
        <f t="shared" si="2"/>
        <v>100</v>
      </c>
      <c r="X12" s="828"/>
      <c r="Y12" s="830"/>
      <c r="Z12" s="855">
        <f t="shared" si="7"/>
        <v>111</v>
      </c>
      <c r="AA12" s="853">
        <f t="shared" si="3"/>
        <v>1</v>
      </c>
      <c r="AB12" s="853">
        <f t="shared" si="4"/>
        <v>1</v>
      </c>
      <c r="AC12" s="853">
        <f t="shared" si="5"/>
        <v>1</v>
      </c>
    </row>
    <row r="13" ht="16.25" spans="1:29">
      <c r="A13" s="1888"/>
      <c r="B13" s="1886">
        <v>111</v>
      </c>
      <c r="C13" s="642"/>
      <c r="D13" s="643">
        <v>100</v>
      </c>
      <c r="E13" s="639"/>
      <c r="F13" s="632">
        <f>SUMIF(61:61,E13,62:62)-SUMIF(61:61,C13,62:62)+100</f>
        <v>100</v>
      </c>
      <c r="G13" s="639"/>
      <c r="H13" s="643">
        <f>SUMIF(61:61,G13,62:62)-SUMIF(61:61,C13,62:62)+100</f>
        <v>100</v>
      </c>
      <c r="I13" s="639"/>
      <c r="J13" s="643">
        <f>SUMIF(61:61,I13,62:62)-SUMIF(61:61,C13,62:62)+100</f>
        <v>100</v>
      </c>
      <c r="K13" s="768"/>
      <c r="L13" s="769"/>
      <c r="M13" s="755"/>
      <c r="N13" s="755"/>
      <c r="O13" s="755"/>
      <c r="P13" s="831"/>
      <c r="Q13" s="830">
        <f t="shared" si="6"/>
        <v>111</v>
      </c>
      <c r="R13" s="826" t="s">
        <v>1174</v>
      </c>
      <c r="S13" s="827">
        <f t="shared" si="0"/>
        <v>100</v>
      </c>
      <c r="T13" s="826" t="s">
        <v>1174</v>
      </c>
      <c r="U13" s="827">
        <f t="shared" si="1"/>
        <v>100</v>
      </c>
      <c r="V13" s="826" t="s">
        <v>1174</v>
      </c>
      <c r="W13" s="827">
        <f t="shared" si="2"/>
        <v>100</v>
      </c>
      <c r="X13" s="828"/>
      <c r="Y13" s="830"/>
      <c r="Z13" s="855">
        <f t="shared" si="7"/>
        <v>111</v>
      </c>
      <c r="AA13" s="853">
        <f t="shared" si="3"/>
        <v>1</v>
      </c>
      <c r="AB13" s="853">
        <f t="shared" si="4"/>
        <v>1</v>
      </c>
      <c r="AC13" s="853">
        <f t="shared" si="5"/>
        <v>1</v>
      </c>
    </row>
    <row r="14" ht="98" spans="1:29">
      <c r="A14" s="597" t="s">
        <v>1186</v>
      </c>
      <c r="B14" s="650" t="s">
        <v>1191</v>
      </c>
      <c r="C14" s="1509" t="str">
        <f>IF(B1="工业",估价对象房地状况!G4,估价对象房地状况!C6)</f>
        <v>估价对象周边道路状况、公共交通通达情况、停车便捷程度，综合评价交通便捷度较好</v>
      </c>
      <c r="D14" s="652">
        <v>100</v>
      </c>
      <c r="E14" s="654"/>
      <c r="F14" s="1859">
        <f>SUMIF(63:63,E15,64:64)-SUMIF(63:63,C15,64:64)+100</f>
        <v>100</v>
      </c>
      <c r="G14" s="653"/>
      <c r="H14" s="652">
        <f>SUMIF(63:63,G15,64:64)-SUMIF(63:63,C15,64:64)+100</f>
        <v>100</v>
      </c>
      <c r="I14" s="654"/>
      <c r="J14" s="652">
        <f>SUMIF(63:63,I15,64:64)-SUMIF(63:63,C15,64:64)+100</f>
        <v>100</v>
      </c>
      <c r="K14" s="770"/>
      <c r="L14" s="769"/>
      <c r="M14" s="755"/>
      <c r="N14" s="755"/>
      <c r="O14" s="755"/>
      <c r="P14" s="856" t="s">
        <v>1189</v>
      </c>
      <c r="Q14" s="831" t="str">
        <f t="shared" si="6"/>
        <v>交通便捷度</v>
      </c>
      <c r="R14" s="832" t="s">
        <v>1174</v>
      </c>
      <c r="S14" s="833">
        <f t="shared" si="0"/>
        <v>100</v>
      </c>
      <c r="T14" s="832" t="s">
        <v>1174</v>
      </c>
      <c r="U14" s="833">
        <f t="shared" si="1"/>
        <v>100</v>
      </c>
      <c r="V14" s="832" t="s">
        <v>1174</v>
      </c>
      <c r="W14" s="833">
        <f t="shared" si="2"/>
        <v>100</v>
      </c>
      <c r="X14" s="821"/>
      <c r="Y14" s="856" t="s">
        <v>1189</v>
      </c>
      <c r="Z14" s="820" t="str">
        <f t="shared" si="7"/>
        <v>交通便捷度</v>
      </c>
      <c r="AA14" s="838">
        <f t="shared" si="3"/>
        <v>1</v>
      </c>
      <c r="AB14" s="838">
        <f t="shared" si="4"/>
        <v>1</v>
      </c>
      <c r="AC14" s="838">
        <f t="shared" si="5"/>
        <v>1</v>
      </c>
    </row>
    <row r="15" ht="15.5" spans="1:29">
      <c r="A15" s="603"/>
      <c r="B15" s="849"/>
      <c r="C15" s="669"/>
      <c r="D15" s="657"/>
      <c r="E15" s="669"/>
      <c r="F15" s="1860"/>
      <c r="G15" s="669"/>
      <c r="H15" s="658"/>
      <c r="I15" s="669"/>
      <c r="J15" s="657"/>
      <c r="K15" s="773"/>
      <c r="L15" s="769"/>
      <c r="M15" s="755"/>
      <c r="N15" s="755"/>
      <c r="O15" s="755"/>
      <c r="P15" s="858"/>
      <c r="Q15" s="831"/>
      <c r="R15" s="832"/>
      <c r="S15" s="833"/>
      <c r="T15" s="832"/>
      <c r="U15" s="833"/>
      <c r="V15" s="832"/>
      <c r="W15" s="833"/>
      <c r="X15" s="821"/>
      <c r="Y15" s="858"/>
      <c r="Z15" s="820"/>
      <c r="AA15" s="838">
        <v>1</v>
      </c>
      <c r="AB15" s="838">
        <v>1</v>
      </c>
      <c r="AC15" s="838">
        <v>1</v>
      </c>
    </row>
    <row r="16" ht="42" spans="1:29">
      <c r="A16" s="603"/>
      <c r="B16" s="659" t="s">
        <v>1192</v>
      </c>
      <c r="C16" s="1510" t="str">
        <f>IF(B1="工业",估价对象房地状况!G5,估价对象房地状况!C7)</f>
        <v>估价对象所在区域公共配套设施齐备情况</v>
      </c>
      <c r="D16" s="663">
        <v>100</v>
      </c>
      <c r="E16" s="666"/>
      <c r="F16" s="1861">
        <f>SUMIF(65:65,E17,66:66)-SUMIF(65:65,C17,66:66)+100</f>
        <v>100</v>
      </c>
      <c r="G16" s="665"/>
      <c r="H16" s="663">
        <f>SUMIF(65:65,G17,66:66)-SUMIF(65:65,C17,66:66)+100</f>
        <v>100</v>
      </c>
      <c r="I16" s="666"/>
      <c r="J16" s="663">
        <f>SUMIF(65:65,I17,66:66)-SUMIF(65:65,C17,66:66)+100</f>
        <v>100</v>
      </c>
      <c r="K16" s="770"/>
      <c r="L16" s="769"/>
      <c r="M16" s="755"/>
      <c r="N16" s="755"/>
      <c r="O16" s="755"/>
      <c r="P16" s="858"/>
      <c r="Q16" s="831" t="str">
        <f>B16</f>
        <v>公共配套设施</v>
      </c>
      <c r="R16" s="832" t="s">
        <v>1174</v>
      </c>
      <c r="S16" s="833">
        <f>F16</f>
        <v>100</v>
      </c>
      <c r="T16" s="832" t="s">
        <v>1174</v>
      </c>
      <c r="U16" s="833">
        <f>H16</f>
        <v>100</v>
      </c>
      <c r="V16" s="832" t="s">
        <v>1174</v>
      </c>
      <c r="W16" s="833">
        <f>J16</f>
        <v>100</v>
      </c>
      <c r="X16" s="821"/>
      <c r="Y16" s="858"/>
      <c r="Z16" s="820" t="str">
        <f>Q16</f>
        <v>公共配套设施</v>
      </c>
      <c r="AA16" s="838">
        <f t="shared" si="3"/>
        <v>1</v>
      </c>
      <c r="AB16" s="838">
        <f t="shared" si="4"/>
        <v>1</v>
      </c>
      <c r="AC16" s="838">
        <f t="shared" si="5"/>
        <v>1</v>
      </c>
    </row>
    <row r="17" ht="15.5" spans="1:29">
      <c r="A17" s="603"/>
      <c r="B17" s="664"/>
      <c r="C17" s="1831"/>
      <c r="D17" s="657"/>
      <c r="E17" s="669"/>
      <c r="F17" s="1860"/>
      <c r="G17" s="669"/>
      <c r="H17" s="657"/>
      <c r="I17" s="669"/>
      <c r="J17" s="657"/>
      <c r="K17" s="773"/>
      <c r="L17" s="769"/>
      <c r="M17" s="755"/>
      <c r="N17" s="755"/>
      <c r="O17" s="755"/>
      <c r="P17" s="858"/>
      <c r="Q17" s="831"/>
      <c r="R17" s="832"/>
      <c r="S17" s="833"/>
      <c r="T17" s="832"/>
      <c r="U17" s="833"/>
      <c r="V17" s="832"/>
      <c r="W17" s="833"/>
      <c r="X17" s="821"/>
      <c r="Y17" s="858"/>
      <c r="Z17" s="820"/>
      <c r="AA17" s="838">
        <v>1</v>
      </c>
      <c r="AB17" s="838">
        <v>1</v>
      </c>
      <c r="AC17" s="838">
        <v>1</v>
      </c>
    </row>
    <row r="18" ht="42" spans="1:29">
      <c r="A18" s="603"/>
      <c r="B18" s="667" t="s">
        <v>1193</v>
      </c>
      <c r="C18" s="1510" t="str">
        <f>IF(B1="工业",估价对象房地状况!G6,估价对象房地状况!C8)</f>
        <v>估价对象所在区域基础设施水平</v>
      </c>
      <c r="D18" s="658">
        <v>100</v>
      </c>
      <c r="E18" s="662"/>
      <c r="F18" s="1861">
        <f>SUMIF(67:67,E19,68:68)-SUMIF(67:67,C19,68:68)+100</f>
        <v>100</v>
      </c>
      <c r="G18" s="661"/>
      <c r="H18" s="663">
        <f>SUMIF(67:67,G19,68:68)-SUMIF(67:67,C19,68:68)+100</f>
        <v>100</v>
      </c>
      <c r="I18" s="662"/>
      <c r="J18" s="663">
        <f>SUMIF(67:67,I19,68:68)-SUMIF(67:67,C19,68:68)+100</f>
        <v>100</v>
      </c>
      <c r="K18" s="770"/>
      <c r="L18" s="769"/>
      <c r="M18" s="755"/>
      <c r="N18" s="755"/>
      <c r="O18" s="755"/>
      <c r="P18" s="858"/>
      <c r="Q18" s="831" t="str">
        <f>B18</f>
        <v>基础设施水平</v>
      </c>
      <c r="R18" s="832" t="s">
        <v>1174</v>
      </c>
      <c r="S18" s="833">
        <f>F18</f>
        <v>100</v>
      </c>
      <c r="T18" s="832" t="s">
        <v>1174</v>
      </c>
      <c r="U18" s="833">
        <f>H18</f>
        <v>100</v>
      </c>
      <c r="V18" s="832" t="s">
        <v>1174</v>
      </c>
      <c r="W18" s="833">
        <f>J18</f>
        <v>100</v>
      </c>
      <c r="X18" s="821"/>
      <c r="Y18" s="858"/>
      <c r="Z18" s="820" t="str">
        <f>Q18</f>
        <v>基础设施水平</v>
      </c>
      <c r="AA18" s="838">
        <f t="shared" ref="AA18" si="8">D18/F18</f>
        <v>1</v>
      </c>
      <c r="AB18" s="838">
        <f t="shared" ref="AB18" si="9">D18/H18</f>
        <v>1</v>
      </c>
      <c r="AC18" s="838">
        <f t="shared" ref="AC18" si="10">D18/J18</f>
        <v>1</v>
      </c>
    </row>
    <row r="19" ht="15.5" spans="1:29">
      <c r="A19" s="603"/>
      <c r="B19" s="667"/>
      <c r="C19" s="1831"/>
      <c r="D19" s="658"/>
      <c r="E19" s="1831"/>
      <c r="F19" s="1862"/>
      <c r="G19" s="1831"/>
      <c r="H19" s="657"/>
      <c r="I19" s="669"/>
      <c r="J19" s="657"/>
      <c r="K19" s="775"/>
      <c r="L19" s="769"/>
      <c r="M19" s="755"/>
      <c r="N19" s="755"/>
      <c r="O19" s="755"/>
      <c r="P19" s="858"/>
      <c r="Q19" s="831"/>
      <c r="R19" s="832"/>
      <c r="S19" s="833"/>
      <c r="T19" s="832"/>
      <c r="U19" s="833"/>
      <c r="V19" s="832"/>
      <c r="W19" s="833"/>
      <c r="X19" s="821"/>
      <c r="Y19" s="858"/>
      <c r="Z19" s="820"/>
      <c r="AA19" s="838">
        <v>1</v>
      </c>
      <c r="AB19" s="838">
        <v>1</v>
      </c>
      <c r="AC19" s="838">
        <v>1</v>
      </c>
    </row>
    <row r="20" ht="56" spans="1:29">
      <c r="A20" s="603"/>
      <c r="B20" s="659" t="s">
        <v>1457</v>
      </c>
      <c r="C20" s="1510" t="str">
        <f>IF(B1="工业",估价对象房地状况!G7,估价对象房地状况!C9)</f>
        <v>区域自然环境：；人文环境；综合评价环境状况一般</v>
      </c>
      <c r="D20" s="663">
        <v>100</v>
      </c>
      <c r="E20" s="666"/>
      <c r="F20" s="1861">
        <f>SUMIF(69:69,E21,70:70)-SUMIF(69:69,C21,70:70)+100</f>
        <v>100</v>
      </c>
      <c r="G20" s="665"/>
      <c r="H20" s="658">
        <f>SUMIF(69:69,G21,70:70)-SUMIF(69:69,C21,70:70)+100</f>
        <v>100</v>
      </c>
      <c r="I20" s="662"/>
      <c r="J20" s="658">
        <f>SUMIF(69:69,I21,70:70)-SUMIF(69:69,C21,70:70)+100</f>
        <v>100</v>
      </c>
      <c r="K20" s="770"/>
      <c r="L20" s="769"/>
      <c r="M20" s="755"/>
      <c r="N20" s="755"/>
      <c r="O20" s="755"/>
      <c r="P20" s="858"/>
      <c r="Q20" s="831" t="str">
        <f>B20</f>
        <v>自然及人文环境</v>
      </c>
      <c r="R20" s="832" t="s">
        <v>1174</v>
      </c>
      <c r="S20" s="833">
        <f>F20</f>
        <v>100</v>
      </c>
      <c r="T20" s="832" t="s">
        <v>1174</v>
      </c>
      <c r="U20" s="833">
        <f>H20</f>
        <v>100</v>
      </c>
      <c r="V20" s="832" t="s">
        <v>1174</v>
      </c>
      <c r="W20" s="833">
        <f>J20</f>
        <v>100</v>
      </c>
      <c r="X20" s="821"/>
      <c r="Y20" s="858"/>
      <c r="Z20" s="820" t="str">
        <f>Q20</f>
        <v>自然及人文环境</v>
      </c>
      <c r="AA20" s="838">
        <f t="shared" si="3"/>
        <v>1</v>
      </c>
      <c r="AB20" s="838">
        <f t="shared" si="4"/>
        <v>1</v>
      </c>
      <c r="AC20" s="838">
        <f t="shared" si="5"/>
        <v>1</v>
      </c>
    </row>
    <row r="21" ht="15.5" spans="1:29">
      <c r="A21" s="603"/>
      <c r="B21" s="664"/>
      <c r="C21" s="669"/>
      <c r="D21" s="657"/>
      <c r="E21" s="669"/>
      <c r="F21" s="1860"/>
      <c r="G21" s="669"/>
      <c r="H21" s="657"/>
      <c r="I21" s="669"/>
      <c r="J21" s="657"/>
      <c r="K21" s="773"/>
      <c r="L21" s="769"/>
      <c r="M21" s="755"/>
      <c r="N21" s="755"/>
      <c r="O21" s="755"/>
      <c r="P21" s="858"/>
      <c r="Q21" s="831"/>
      <c r="R21" s="832"/>
      <c r="S21" s="833"/>
      <c r="T21" s="832"/>
      <c r="U21" s="833"/>
      <c r="V21" s="832"/>
      <c r="W21" s="833"/>
      <c r="X21" s="821"/>
      <c r="Y21" s="858"/>
      <c r="Z21" s="820"/>
      <c r="AA21" s="838">
        <v>1</v>
      </c>
      <c r="AB21" s="838">
        <v>1</v>
      </c>
      <c r="AC21" s="838">
        <v>1</v>
      </c>
    </row>
    <row r="22" ht="15.5" spans="1:29">
      <c r="A22" s="603"/>
      <c r="B22" s="659" t="s">
        <v>1196</v>
      </c>
      <c r="C22" s="672"/>
      <c r="D22" s="658">
        <v>100</v>
      </c>
      <c r="E22" s="672"/>
      <c r="F22" s="681">
        <f>SUMIF(71:71,E22,72:72)-SUMIF(71:71,C22,72:72)+100</f>
        <v>100</v>
      </c>
      <c r="G22" s="672"/>
      <c r="H22" s="643">
        <f>SUMIF(71:71,G22,72:72)-SUMIF(71:71,C22,72:72)+100</f>
        <v>100</v>
      </c>
      <c r="I22" s="672"/>
      <c r="J22" s="643">
        <f>SUMIF(71:71,I22,72:72)-SUMIF(71:71,C22,72:72)+100</f>
        <v>100</v>
      </c>
      <c r="K22" s="766"/>
      <c r="L22" s="769"/>
      <c r="M22" s="755"/>
      <c r="N22" s="755"/>
      <c r="O22" s="755"/>
      <c r="P22" s="858"/>
      <c r="Q22" s="831" t="str">
        <f>B22</f>
        <v>楼层</v>
      </c>
      <c r="R22" s="832" t="s">
        <v>1174</v>
      </c>
      <c r="S22" s="833">
        <f>F22</f>
        <v>100</v>
      </c>
      <c r="T22" s="832" t="s">
        <v>1174</v>
      </c>
      <c r="U22" s="833">
        <f>H22</f>
        <v>100</v>
      </c>
      <c r="V22" s="832" t="s">
        <v>1174</v>
      </c>
      <c r="W22" s="833">
        <f>J22</f>
        <v>100</v>
      </c>
      <c r="X22" s="821"/>
      <c r="Y22" s="858"/>
      <c r="Z22" s="820" t="str">
        <f>Q22</f>
        <v>楼层</v>
      </c>
      <c r="AA22" s="838">
        <f t="shared" si="3"/>
        <v>1</v>
      </c>
      <c r="AB22" s="838">
        <f t="shared" si="4"/>
        <v>1</v>
      </c>
      <c r="AC22" s="838">
        <f t="shared" si="5"/>
        <v>1</v>
      </c>
    </row>
    <row r="23" ht="15.5" spans="1:29">
      <c r="A23" s="603"/>
      <c r="B23" s="1889">
        <v>111</v>
      </c>
      <c r="C23" s="639"/>
      <c r="D23" s="643">
        <v>100</v>
      </c>
      <c r="E23" s="639"/>
      <c r="F23" s="681">
        <f>SUMIF(73:73,E23,74:74)-SUMIF(73:73,C23,74:74)+100</f>
        <v>100</v>
      </c>
      <c r="G23" s="639"/>
      <c r="H23" s="643">
        <f>SUMIF(73:73,G23,74:74)-SUMIF(73:73,C23,74:74)+100</f>
        <v>100</v>
      </c>
      <c r="I23" s="639"/>
      <c r="J23" s="643">
        <f>SUMIF(73:73,I23,74:74)-SUMIF(73:73,C23,74:74)+100</f>
        <v>100</v>
      </c>
      <c r="K23" s="768"/>
      <c r="L23" s="769"/>
      <c r="M23" s="755"/>
      <c r="N23" s="755"/>
      <c r="O23" s="755"/>
      <c r="P23" s="858"/>
      <c r="Q23" s="831">
        <f>B23</f>
        <v>111</v>
      </c>
      <c r="R23" s="832" t="s">
        <v>1174</v>
      </c>
      <c r="S23" s="833">
        <f>F23</f>
        <v>100</v>
      </c>
      <c r="T23" s="832" t="s">
        <v>1174</v>
      </c>
      <c r="U23" s="833">
        <f>H23</f>
        <v>100</v>
      </c>
      <c r="V23" s="832" t="s">
        <v>1174</v>
      </c>
      <c r="W23" s="833">
        <f>J23</f>
        <v>100</v>
      </c>
      <c r="X23" s="821"/>
      <c r="Y23" s="858"/>
      <c r="Z23" s="820">
        <f>Q23</f>
        <v>111</v>
      </c>
      <c r="AA23" s="838">
        <f t="shared" si="3"/>
        <v>1</v>
      </c>
      <c r="AB23" s="838">
        <f t="shared" si="4"/>
        <v>1</v>
      </c>
      <c r="AC23" s="838">
        <f t="shared" si="5"/>
        <v>1</v>
      </c>
    </row>
    <row r="24" ht="15.5" spans="1:29">
      <c r="A24" s="603"/>
      <c r="B24" s="1889">
        <v>111</v>
      </c>
      <c r="C24" s="639"/>
      <c r="D24" s="643">
        <v>100</v>
      </c>
      <c r="E24" s="639"/>
      <c r="F24" s="681">
        <f>SUMIF(75:75,E24,76:76)-SUMIF(75:75,C24,76:76)+100</f>
        <v>100</v>
      </c>
      <c r="G24" s="639"/>
      <c r="H24" s="643">
        <f>SUMIF(75:75,G24,76:76)-SUMIF(75:75,C24,76:76)+100</f>
        <v>100</v>
      </c>
      <c r="I24" s="639"/>
      <c r="J24" s="643">
        <f>SUMIF(75:75,I24,76:76)-SUMIF(75:75,C24,76:76)+100</f>
        <v>100</v>
      </c>
      <c r="K24" s="768"/>
      <c r="L24" s="769"/>
      <c r="M24" s="755"/>
      <c r="N24" s="755"/>
      <c r="O24" s="755"/>
      <c r="P24" s="858"/>
      <c r="Q24" s="831">
        <f t="shared" ref="Q24:Q36" si="11">B24</f>
        <v>111</v>
      </c>
      <c r="R24" s="832" t="s">
        <v>1174</v>
      </c>
      <c r="S24" s="833">
        <f>F24</f>
        <v>100</v>
      </c>
      <c r="T24" s="832" t="s">
        <v>1174</v>
      </c>
      <c r="U24" s="833">
        <f>H24</f>
        <v>100</v>
      </c>
      <c r="V24" s="832" t="s">
        <v>1174</v>
      </c>
      <c r="W24" s="833">
        <f>J24</f>
        <v>100</v>
      </c>
      <c r="X24" s="821"/>
      <c r="Y24" s="858"/>
      <c r="Z24" s="820">
        <f>Q24</f>
        <v>111</v>
      </c>
      <c r="AA24" s="838">
        <f t="shared" si="3"/>
        <v>1</v>
      </c>
      <c r="AB24" s="838">
        <f t="shared" si="4"/>
        <v>1</v>
      </c>
      <c r="AC24" s="838">
        <f t="shared" si="5"/>
        <v>1</v>
      </c>
    </row>
    <row r="25" s="568" customFormat="1" ht="16.25" spans="1:29">
      <c r="A25" s="1512"/>
      <c r="B25" s="677">
        <v>111</v>
      </c>
      <c r="C25" s="646"/>
      <c r="D25" s="1890">
        <v>100</v>
      </c>
      <c r="E25" s="648"/>
      <c r="F25" s="1891">
        <f>SUMIF(77:77,E25,78:78)-SUMIF(77:77,C25,78:78)+100</f>
        <v>100</v>
      </c>
      <c r="G25" s="648"/>
      <c r="H25" s="1890">
        <f>SUMIF(77:77,G25,78:78)-SUMIF(77:77,C25,78:78)+100</f>
        <v>100</v>
      </c>
      <c r="I25" s="648"/>
      <c r="J25" s="1890">
        <f>SUMIF(77:77,I25,78:78)-SUMIF(77:77,C25,78:78)+100</f>
        <v>100</v>
      </c>
      <c r="K25" s="768"/>
      <c r="L25" s="760"/>
      <c r="M25" s="761"/>
      <c r="N25" s="761"/>
      <c r="O25" s="761"/>
      <c r="P25" s="858"/>
      <c r="Q25" s="830">
        <f t="shared" si="11"/>
        <v>111</v>
      </c>
      <c r="R25" s="826" t="s">
        <v>1174</v>
      </c>
      <c r="S25" s="827">
        <f>F25</f>
        <v>100</v>
      </c>
      <c r="T25" s="826" t="s">
        <v>1174</v>
      </c>
      <c r="U25" s="827">
        <f>H25</f>
        <v>100</v>
      </c>
      <c r="V25" s="826" t="s">
        <v>1174</v>
      </c>
      <c r="W25" s="827">
        <f>J25</f>
        <v>100</v>
      </c>
      <c r="X25" s="828"/>
      <c r="Y25" s="858"/>
      <c r="Z25" s="855">
        <f>Q25</f>
        <v>111</v>
      </c>
      <c r="AA25" s="838">
        <f t="shared" si="3"/>
        <v>1</v>
      </c>
      <c r="AB25" s="838">
        <f t="shared" si="4"/>
        <v>1</v>
      </c>
      <c r="AC25" s="838">
        <f t="shared" si="5"/>
        <v>1</v>
      </c>
    </row>
    <row r="26" ht="15.5" spans="1:29">
      <c r="A26" s="1892" t="s">
        <v>1198</v>
      </c>
      <c r="B26" s="1893" t="s">
        <v>1498</v>
      </c>
      <c r="C26" s="1894" t="str">
        <f>B1</f>
        <v>车库</v>
      </c>
      <c r="D26" s="657">
        <v>100</v>
      </c>
      <c r="E26" s="669"/>
      <c r="F26" s="1860">
        <f>SUMIF(79:79,E26,80:80)-SUMIF(79:79,C26,80:80)+100</f>
        <v>0</v>
      </c>
      <c r="G26" s="669"/>
      <c r="H26" s="657">
        <f>SUMIF(79:79,G26,80:80)-SUMIF(79:79,C26,80:80)+100</f>
        <v>0</v>
      </c>
      <c r="I26" s="669"/>
      <c r="J26" s="657">
        <f>SUMIF(79:79,I26,80:80)-SUMIF(79:79,C26,80:80)+100</f>
        <v>0</v>
      </c>
      <c r="K26" s="766"/>
      <c r="L26" s="769"/>
      <c r="M26" s="755"/>
      <c r="N26" s="755"/>
      <c r="O26" s="755"/>
      <c r="P26" s="1585" t="s">
        <v>1202</v>
      </c>
      <c r="Q26" s="831" t="str">
        <f t="shared" si="11"/>
        <v>配套类型</v>
      </c>
      <c r="R26" s="832" t="s">
        <v>1174</v>
      </c>
      <c r="S26" s="833">
        <f t="shared" ref="S26:S36" si="12">F26</f>
        <v>0</v>
      </c>
      <c r="T26" s="832" t="s">
        <v>1174</v>
      </c>
      <c r="U26" s="833">
        <f t="shared" ref="U26:U36" si="13">H26</f>
        <v>0</v>
      </c>
      <c r="V26" s="832" t="s">
        <v>1174</v>
      </c>
      <c r="W26" s="833">
        <f t="shared" ref="W26:W36" si="14">J26</f>
        <v>0</v>
      </c>
      <c r="X26" s="821"/>
      <c r="Y26" s="859" t="s">
        <v>1202</v>
      </c>
      <c r="Z26" s="820" t="str">
        <f t="shared" ref="Z26:Z36" si="15">Q26</f>
        <v>配套类型</v>
      </c>
      <c r="AA26" s="838" t="e">
        <f t="shared" si="3"/>
        <v>#DIV/0!</v>
      </c>
      <c r="AB26" s="838" t="e">
        <f t="shared" si="4"/>
        <v>#DIV/0!</v>
      </c>
      <c r="AC26" s="838" t="e">
        <f t="shared" si="5"/>
        <v>#DIV/0!</v>
      </c>
    </row>
    <row r="27" s="570" customFormat="1" ht="15.5" spans="1:29">
      <c r="A27" s="1895"/>
      <c r="B27" s="1516" t="s">
        <v>1499</v>
      </c>
      <c r="C27" s="1896"/>
      <c r="D27" s="632">
        <v>100</v>
      </c>
      <c r="E27" s="1896"/>
      <c r="F27" s="681">
        <f>SUMIF(81:81,E27,82:82)-SUMIF(81:81,C27,82:82)+100</f>
        <v>100</v>
      </c>
      <c r="G27" s="1896"/>
      <c r="H27" s="643">
        <f>SUMIF(81:81,G27,82:82)-SUMIF(81:81,C27,82:82)+100</f>
        <v>100</v>
      </c>
      <c r="I27" s="1896"/>
      <c r="J27" s="643">
        <f>SUMIF(81:81,I27,82:82)-SUMIF(81:81,C27,82:82)+100</f>
        <v>100</v>
      </c>
      <c r="K27" s="768"/>
      <c r="L27" s="767"/>
      <c r="M27" s="777"/>
      <c r="N27" s="777"/>
      <c r="O27" s="777"/>
      <c r="P27" s="859"/>
      <c r="Q27" s="834" t="str">
        <f t="shared" si="11"/>
        <v>项目停车位配比</v>
      </c>
      <c r="R27" s="835" t="s">
        <v>1174</v>
      </c>
      <c r="S27" s="836">
        <f t="shared" si="12"/>
        <v>100</v>
      </c>
      <c r="T27" s="835" t="s">
        <v>1174</v>
      </c>
      <c r="U27" s="836">
        <f t="shared" si="13"/>
        <v>100</v>
      </c>
      <c r="V27" s="835" t="s">
        <v>1174</v>
      </c>
      <c r="W27" s="836">
        <f t="shared" si="14"/>
        <v>100</v>
      </c>
      <c r="X27" s="837"/>
      <c r="Y27" s="859"/>
      <c r="Z27" s="860" t="str">
        <f t="shared" si="15"/>
        <v>项目停车位配比</v>
      </c>
      <c r="AA27" s="838">
        <f t="shared" si="3"/>
        <v>1</v>
      </c>
      <c r="AB27" s="838">
        <f t="shared" si="4"/>
        <v>1</v>
      </c>
      <c r="AC27" s="838">
        <f t="shared" si="5"/>
        <v>1</v>
      </c>
    </row>
    <row r="28" ht="15.5" spans="1:29">
      <c r="A28" s="1897"/>
      <c r="B28" s="1516" t="s">
        <v>1205</v>
      </c>
      <c r="C28" s="686"/>
      <c r="D28" s="643">
        <v>100</v>
      </c>
      <c r="E28" s="686"/>
      <c r="F28" s="681">
        <f>SUMIF(83:83,E28,84:84)-SUMIF(83:83,C28,84:84)+100</f>
        <v>100</v>
      </c>
      <c r="G28" s="686"/>
      <c r="H28" s="643">
        <f>SUMIF(83:83,G28,84:84)-SUMIF(83:83,C28,84:84)+100</f>
        <v>100</v>
      </c>
      <c r="I28" s="686"/>
      <c r="J28" s="643">
        <f>SUMIF(83:83,I28,84:84)-SUMIF(83:83,C28,84:84)+100</f>
        <v>100</v>
      </c>
      <c r="K28" s="766"/>
      <c r="L28" s="769"/>
      <c r="M28" s="755"/>
      <c r="N28" s="755"/>
      <c r="O28" s="755"/>
      <c r="P28" s="859"/>
      <c r="Q28" s="831" t="str">
        <f t="shared" si="11"/>
        <v>公共部分装修</v>
      </c>
      <c r="R28" s="832" t="s">
        <v>1174</v>
      </c>
      <c r="S28" s="833">
        <f t="shared" si="12"/>
        <v>100</v>
      </c>
      <c r="T28" s="832" t="s">
        <v>1174</v>
      </c>
      <c r="U28" s="833">
        <f t="shared" si="13"/>
        <v>100</v>
      </c>
      <c r="V28" s="832" t="s">
        <v>1174</v>
      </c>
      <c r="W28" s="833">
        <f t="shared" si="14"/>
        <v>100</v>
      </c>
      <c r="X28" s="821"/>
      <c r="Y28" s="859"/>
      <c r="Z28" s="820" t="str">
        <f t="shared" si="15"/>
        <v>公共部分装修</v>
      </c>
      <c r="AA28" s="838">
        <f t="shared" si="3"/>
        <v>1</v>
      </c>
      <c r="AB28" s="838">
        <f t="shared" si="4"/>
        <v>1</v>
      </c>
      <c r="AC28" s="838">
        <f t="shared" si="5"/>
        <v>1</v>
      </c>
    </row>
    <row r="29" ht="15.5" spans="1:29">
      <c r="A29" s="1897"/>
      <c r="B29" s="1516" t="s">
        <v>1500</v>
      </c>
      <c r="C29" s="687"/>
      <c r="D29" s="643">
        <v>100</v>
      </c>
      <c r="E29" s="687"/>
      <c r="F29" s="681" t="e">
        <f>LOOKUP(E29,86:86,87:87)-LOOKUP(C29,86:86,87:87)+100</f>
        <v>#N/A</v>
      </c>
      <c r="G29" s="687"/>
      <c r="H29" s="681" t="e">
        <f>LOOKUP(G29,86:86,87:87)-LOOKUP(C29,86:86,87:87)+100</f>
        <v>#N/A</v>
      </c>
      <c r="I29" s="687"/>
      <c r="J29" s="643" t="e">
        <f>LOOKUP(I29,86:86,87:87)-LOOKUP(C29,86:86,87:87)+100</f>
        <v>#N/A</v>
      </c>
      <c r="K29" s="766"/>
      <c r="L29" s="769"/>
      <c r="M29" s="755"/>
      <c r="N29" s="755"/>
      <c r="O29" s="755"/>
      <c r="P29" s="859"/>
      <c r="Q29" s="831" t="str">
        <f t="shared" si="11"/>
        <v>成新率</v>
      </c>
      <c r="R29" s="832" t="s">
        <v>1174</v>
      </c>
      <c r="S29" s="833" t="e">
        <f t="shared" si="12"/>
        <v>#N/A</v>
      </c>
      <c r="T29" s="832" t="s">
        <v>1174</v>
      </c>
      <c r="U29" s="833" t="e">
        <f t="shared" si="13"/>
        <v>#N/A</v>
      </c>
      <c r="V29" s="832" t="s">
        <v>1174</v>
      </c>
      <c r="W29" s="833" t="e">
        <f t="shared" si="14"/>
        <v>#N/A</v>
      </c>
      <c r="X29" s="821"/>
      <c r="Y29" s="859"/>
      <c r="Z29" s="820" t="str">
        <f t="shared" si="15"/>
        <v>成新率</v>
      </c>
      <c r="AA29" s="838" t="e">
        <f t="shared" si="3"/>
        <v>#N/A</v>
      </c>
      <c r="AB29" s="838" t="e">
        <f t="shared" si="4"/>
        <v>#N/A</v>
      </c>
      <c r="AC29" s="838" t="e">
        <f t="shared" si="5"/>
        <v>#N/A</v>
      </c>
    </row>
    <row r="30" ht="15.5" spans="1:29">
      <c r="A30" s="1897"/>
      <c r="B30" s="1516" t="s">
        <v>1501</v>
      </c>
      <c r="C30" s="1870"/>
      <c r="D30" s="643">
        <v>100</v>
      </c>
      <c r="E30" s="1870"/>
      <c r="F30" s="681">
        <f>SUMIF(88:88,E30,89:89)-SUMIF(88:88,C30,89:89)+100</f>
        <v>100</v>
      </c>
      <c r="G30" s="1870"/>
      <c r="H30" s="643">
        <f>SUMIF(88:88,E30,89:89)-SUMIF(88:88,C30,89:89)+100</f>
        <v>100</v>
      </c>
      <c r="I30" s="1870"/>
      <c r="J30" s="643">
        <f>SUMIF(88:88,E30,89:89)-SUMIF(88:88,C30,89:89)+100</f>
        <v>100</v>
      </c>
      <c r="K30" s="766"/>
      <c r="L30" s="769"/>
      <c r="M30" s="755"/>
      <c r="N30" s="755"/>
      <c r="O30" s="755"/>
      <c r="P30" s="859"/>
      <c r="Q30" s="831" t="str">
        <f t="shared" si="11"/>
        <v>物业等级</v>
      </c>
      <c r="R30" s="832" t="s">
        <v>1174</v>
      </c>
      <c r="S30" s="833">
        <f t="shared" si="12"/>
        <v>100</v>
      </c>
      <c r="T30" s="832" t="s">
        <v>1174</v>
      </c>
      <c r="U30" s="833">
        <f t="shared" si="13"/>
        <v>100</v>
      </c>
      <c r="V30" s="832" t="s">
        <v>1174</v>
      </c>
      <c r="W30" s="833">
        <f t="shared" si="14"/>
        <v>100</v>
      </c>
      <c r="X30" s="821"/>
      <c r="Y30" s="859"/>
      <c r="Z30" s="820" t="str">
        <f t="shared" si="15"/>
        <v>物业等级</v>
      </c>
      <c r="AA30" s="838">
        <f t="shared" si="3"/>
        <v>1</v>
      </c>
      <c r="AB30" s="838">
        <f t="shared" si="4"/>
        <v>1</v>
      </c>
      <c r="AC30" s="838">
        <f t="shared" si="5"/>
        <v>1</v>
      </c>
    </row>
    <row r="31" s="568" customFormat="1" ht="15.5" spans="1:29">
      <c r="A31" s="1898"/>
      <c r="B31" s="1516" t="s">
        <v>1502</v>
      </c>
      <c r="C31" s="683"/>
      <c r="D31" s="632">
        <v>100</v>
      </c>
      <c r="E31" s="683"/>
      <c r="F31" s="681" t="e">
        <f>LOOKUP(E31,91:91,92:92)-LOOKUP(C31,91:91,92:92)+100</f>
        <v>#N/A</v>
      </c>
      <c r="G31" s="683"/>
      <c r="H31" s="643" t="e">
        <f>LOOKUP(G31,91:91,92:92)-LOOKUP(C31,91:91,92:92)+100</f>
        <v>#N/A</v>
      </c>
      <c r="I31" s="683"/>
      <c r="J31" s="643" t="e">
        <f>LOOKUP(I31,91:91,92:92)-LOOKUP(C31,91:91,92:92)+100</f>
        <v>#N/A</v>
      </c>
      <c r="K31" s="766"/>
      <c r="L31" s="760"/>
      <c r="M31" s="761"/>
      <c r="N31" s="761"/>
      <c r="O31" s="761"/>
      <c r="P31" s="859"/>
      <c r="Q31" s="830" t="str">
        <f t="shared" si="11"/>
        <v>停车位面积</v>
      </c>
      <c r="R31" s="826" t="s">
        <v>1174</v>
      </c>
      <c r="S31" s="827" t="e">
        <f t="shared" si="12"/>
        <v>#N/A</v>
      </c>
      <c r="T31" s="826" t="s">
        <v>1174</v>
      </c>
      <c r="U31" s="827" t="e">
        <f t="shared" si="13"/>
        <v>#N/A</v>
      </c>
      <c r="V31" s="826" t="s">
        <v>1174</v>
      </c>
      <c r="W31" s="827" t="e">
        <f t="shared" si="14"/>
        <v>#N/A</v>
      </c>
      <c r="X31" s="828"/>
      <c r="Y31" s="859"/>
      <c r="Z31" s="855" t="str">
        <f t="shared" si="15"/>
        <v>停车位面积</v>
      </c>
      <c r="AA31" s="853" t="e">
        <f t="shared" si="3"/>
        <v>#N/A</v>
      </c>
      <c r="AB31" s="853" t="e">
        <f t="shared" si="4"/>
        <v>#N/A</v>
      </c>
      <c r="AC31" s="853" t="e">
        <f t="shared" si="5"/>
        <v>#N/A</v>
      </c>
    </row>
    <row r="32" ht="15.5" spans="1:29">
      <c r="A32" s="1897"/>
      <c r="B32" s="1516" t="s">
        <v>1503</v>
      </c>
      <c r="C32" s="686"/>
      <c r="D32" s="643">
        <v>100</v>
      </c>
      <c r="E32" s="686"/>
      <c r="F32" s="681">
        <f>SUMIF(93:93,E32,94:94)-SUMIF(93:93,C32,94:94)+100</f>
        <v>100</v>
      </c>
      <c r="G32" s="686"/>
      <c r="H32" s="643">
        <f>SUMIF(93:93,G32,94:94)-SUMIF(93:93,C32,94:94)+100</f>
        <v>100</v>
      </c>
      <c r="I32" s="686"/>
      <c r="J32" s="643">
        <f>SUMIF(93:93,I32,94:94)-SUMIF(93:93,C32,94:94)+100</f>
        <v>100</v>
      </c>
      <c r="K32" s="766"/>
      <c r="L32" s="769"/>
      <c r="M32" s="755"/>
      <c r="N32" s="755"/>
      <c r="O32" s="755"/>
      <c r="P32" s="859" t="s">
        <v>1202</v>
      </c>
      <c r="Q32" s="831" t="str">
        <f t="shared" si="11"/>
        <v>车位类型</v>
      </c>
      <c r="R32" s="832" t="s">
        <v>1174</v>
      </c>
      <c r="S32" s="833">
        <f t="shared" si="12"/>
        <v>100</v>
      </c>
      <c r="T32" s="832" t="s">
        <v>1174</v>
      </c>
      <c r="U32" s="833">
        <f t="shared" si="13"/>
        <v>100</v>
      </c>
      <c r="V32" s="832" t="s">
        <v>1174</v>
      </c>
      <c r="W32" s="833">
        <f t="shared" si="14"/>
        <v>100</v>
      </c>
      <c r="X32" s="821"/>
      <c r="Y32" s="859" t="s">
        <v>1202</v>
      </c>
      <c r="Z32" s="820" t="str">
        <f t="shared" si="15"/>
        <v>车位类型</v>
      </c>
      <c r="AA32" s="838">
        <f t="shared" si="3"/>
        <v>1</v>
      </c>
      <c r="AB32" s="838">
        <f t="shared" si="4"/>
        <v>1</v>
      </c>
      <c r="AC32" s="838">
        <f t="shared" si="5"/>
        <v>1</v>
      </c>
    </row>
    <row r="33" ht="15.5" spans="1:29">
      <c r="A33" s="1897"/>
      <c r="B33" s="1516" t="s">
        <v>1504</v>
      </c>
      <c r="C33" s="686"/>
      <c r="D33" s="643">
        <v>100</v>
      </c>
      <c r="E33" s="686"/>
      <c r="F33" s="681">
        <f>SUMIF(95:95,E33,96:96)-SUMIF(95:95,C33,96:96)+100</f>
        <v>100</v>
      </c>
      <c r="G33" s="686"/>
      <c r="H33" s="643">
        <f>SUMIF(95:95,G33,96:96)-SUMIF(95:95,C33,96:96)+100</f>
        <v>100</v>
      </c>
      <c r="I33" s="686"/>
      <c r="J33" s="643">
        <f>SUMIF(95:95,I33,96:96)-SUMIF(95:95,C33,96:96)+100</f>
        <v>100</v>
      </c>
      <c r="K33" s="766"/>
      <c r="L33" s="769"/>
      <c r="M33" s="755"/>
      <c r="N33" s="755"/>
      <c r="O33" s="755"/>
      <c r="P33" s="859"/>
      <c r="Q33" s="831" t="str">
        <f t="shared" si="11"/>
        <v>是否直接入户</v>
      </c>
      <c r="R33" s="832" t="s">
        <v>1174</v>
      </c>
      <c r="S33" s="833">
        <f t="shared" si="12"/>
        <v>100</v>
      </c>
      <c r="T33" s="832" t="s">
        <v>1174</v>
      </c>
      <c r="U33" s="833">
        <f t="shared" si="13"/>
        <v>100</v>
      </c>
      <c r="V33" s="832" t="s">
        <v>1174</v>
      </c>
      <c r="W33" s="833">
        <f t="shared" si="14"/>
        <v>100</v>
      </c>
      <c r="X33" s="821"/>
      <c r="Y33" s="859"/>
      <c r="Z33" s="820" t="str">
        <f t="shared" si="15"/>
        <v>是否直接入户</v>
      </c>
      <c r="AA33" s="838">
        <f t="shared" si="3"/>
        <v>1</v>
      </c>
      <c r="AB33" s="838">
        <f t="shared" si="4"/>
        <v>1</v>
      </c>
      <c r="AC33" s="838">
        <f t="shared" si="5"/>
        <v>1</v>
      </c>
    </row>
    <row r="34" ht="15.5" spans="1:29">
      <c r="A34" s="1897"/>
      <c r="B34" s="1889">
        <v>111</v>
      </c>
      <c r="C34" s="639"/>
      <c r="D34" s="643">
        <v>100</v>
      </c>
      <c r="E34" s="639"/>
      <c r="F34" s="681">
        <f>SUMIF(97:97,E34,98:98)-SUMIF(97:97,C34,98:98)+100</f>
        <v>100</v>
      </c>
      <c r="G34" s="639"/>
      <c r="H34" s="643">
        <f>SUMIF(97:97,G34,98:98)-SUMIF(97:97,C34,98:98)+100</f>
        <v>100</v>
      </c>
      <c r="I34" s="639"/>
      <c r="J34" s="643">
        <f>SUMIF(97:97,I34,98:98)-SUMIF(97:97,C34,98:98)+100</f>
        <v>100</v>
      </c>
      <c r="K34" s="768"/>
      <c r="L34" s="769"/>
      <c r="M34" s="755"/>
      <c r="N34" s="755"/>
      <c r="O34" s="755"/>
      <c r="P34" s="859"/>
      <c r="Q34" s="831">
        <f t="shared" si="11"/>
        <v>111</v>
      </c>
      <c r="R34" s="832" t="s">
        <v>1174</v>
      </c>
      <c r="S34" s="833">
        <f t="shared" si="12"/>
        <v>100</v>
      </c>
      <c r="T34" s="832" t="s">
        <v>1174</v>
      </c>
      <c r="U34" s="833">
        <f t="shared" si="13"/>
        <v>100</v>
      </c>
      <c r="V34" s="832" t="s">
        <v>1174</v>
      </c>
      <c r="W34" s="833">
        <f t="shared" si="14"/>
        <v>100</v>
      </c>
      <c r="X34" s="821"/>
      <c r="Y34" s="859"/>
      <c r="Z34" s="820">
        <f t="shared" si="15"/>
        <v>111</v>
      </c>
      <c r="AA34" s="838">
        <f t="shared" si="3"/>
        <v>1</v>
      </c>
      <c r="AB34" s="838">
        <f t="shared" si="4"/>
        <v>1</v>
      </c>
      <c r="AC34" s="838">
        <f t="shared" si="5"/>
        <v>1</v>
      </c>
    </row>
    <row r="35" s="570" customFormat="1" ht="15.5" spans="1:29">
      <c r="A35" s="1895"/>
      <c r="B35" s="1889">
        <v>111</v>
      </c>
      <c r="C35" s="639"/>
      <c r="D35" s="643">
        <v>100</v>
      </c>
      <c r="E35" s="639"/>
      <c r="F35" s="681">
        <f>SUMIF(99:99,E35,100:100)-SUMIF(99:99,C35,100:100)+100</f>
        <v>100</v>
      </c>
      <c r="G35" s="639"/>
      <c r="H35" s="643">
        <f>SUMIF(99:99,G35,100:100)-SUMIF(99:99,C35,100:100)+100</f>
        <v>100</v>
      </c>
      <c r="I35" s="639"/>
      <c r="J35" s="643">
        <f>SUMIF(99:99,I35,100:100)-SUMIF(99:99,C35,100:100)+100</f>
        <v>100</v>
      </c>
      <c r="K35" s="768"/>
      <c r="L35" s="767"/>
      <c r="M35" s="777"/>
      <c r="N35" s="777"/>
      <c r="O35" s="777"/>
      <c r="P35" s="859"/>
      <c r="Q35" s="834">
        <f t="shared" si="11"/>
        <v>111</v>
      </c>
      <c r="R35" s="835" t="s">
        <v>1174</v>
      </c>
      <c r="S35" s="836">
        <f t="shared" si="12"/>
        <v>100</v>
      </c>
      <c r="T35" s="835" t="s">
        <v>1174</v>
      </c>
      <c r="U35" s="836">
        <f t="shared" si="13"/>
        <v>100</v>
      </c>
      <c r="V35" s="835" t="s">
        <v>1174</v>
      </c>
      <c r="W35" s="836">
        <f t="shared" si="14"/>
        <v>100</v>
      </c>
      <c r="X35" s="837"/>
      <c r="Y35" s="859"/>
      <c r="Z35" s="860">
        <f t="shared" si="15"/>
        <v>111</v>
      </c>
      <c r="AA35" s="838">
        <f t="shared" si="3"/>
        <v>1</v>
      </c>
      <c r="AB35" s="838">
        <f t="shared" si="4"/>
        <v>1</v>
      </c>
      <c r="AC35" s="838">
        <f t="shared" si="5"/>
        <v>1</v>
      </c>
    </row>
    <row r="36" ht="16.25" spans="1:29">
      <c r="A36" s="1899"/>
      <c r="B36" s="677">
        <v>111</v>
      </c>
      <c r="C36" s="642"/>
      <c r="D36" s="643">
        <v>100</v>
      </c>
      <c r="E36" s="639"/>
      <c r="F36" s="681">
        <f>SUMIF(101:101,E36,102:102)-SUMIF(101:101,C36,102:102)+100</f>
        <v>100</v>
      </c>
      <c r="G36" s="639"/>
      <c r="H36" s="643">
        <f>SUMIF(101:101,G36,102:102)-SUMIF(101:101,C36,102:102)+100</f>
        <v>100</v>
      </c>
      <c r="I36" s="639"/>
      <c r="J36" s="643">
        <f>SUMIF(101:101,I36,102:102)-SUMIF(101:101,C36,102:102)+100</f>
        <v>100</v>
      </c>
      <c r="K36" s="768"/>
      <c r="L36" s="769"/>
      <c r="M36" s="755"/>
      <c r="N36" s="755"/>
      <c r="O36" s="755"/>
      <c r="P36" s="859"/>
      <c r="Q36" s="831">
        <f t="shared" si="11"/>
        <v>111</v>
      </c>
      <c r="R36" s="832" t="s">
        <v>1174</v>
      </c>
      <c r="S36" s="833">
        <f t="shared" si="12"/>
        <v>100</v>
      </c>
      <c r="T36" s="832" t="s">
        <v>1174</v>
      </c>
      <c r="U36" s="833">
        <f t="shared" si="13"/>
        <v>100</v>
      </c>
      <c r="V36" s="832" t="s">
        <v>1174</v>
      </c>
      <c r="W36" s="833">
        <f t="shared" si="14"/>
        <v>100</v>
      </c>
      <c r="X36" s="821"/>
      <c r="Y36" s="859"/>
      <c r="Z36" s="820">
        <f t="shared" si="15"/>
        <v>111</v>
      </c>
      <c r="AA36" s="838">
        <f t="shared" si="3"/>
        <v>1</v>
      </c>
      <c r="AB36" s="838">
        <f t="shared" si="4"/>
        <v>1</v>
      </c>
      <c r="AC36" s="838">
        <f t="shared" si="5"/>
        <v>1</v>
      </c>
    </row>
    <row r="37" spans="1:29">
      <c r="A37" s="693" t="s">
        <v>1505</v>
      </c>
      <c r="B37" s="1900" t="s">
        <v>1506</v>
      </c>
      <c r="C37" s="695" t="s">
        <v>124</v>
      </c>
      <c r="D37" s="696"/>
      <c r="E37" s="697"/>
      <c r="F37" s="698"/>
      <c r="G37" s="699"/>
      <c r="H37" s="700"/>
      <c r="I37" s="697"/>
      <c r="J37" s="700"/>
      <c r="K37" s="1909"/>
      <c r="L37" s="782"/>
      <c r="M37" s="710"/>
      <c r="N37" s="755"/>
      <c r="O37" s="710"/>
      <c r="P37" s="831" t="str">
        <f>A37</f>
        <v>成交单价</v>
      </c>
      <c r="Q37" s="831"/>
      <c r="R37" s="838">
        <f>E37</f>
        <v>0</v>
      </c>
      <c r="S37" s="838"/>
      <c r="T37" s="838">
        <f>G37</f>
        <v>0</v>
      </c>
      <c r="U37" s="838"/>
      <c r="V37" s="838">
        <f>I37</f>
        <v>0</v>
      </c>
      <c r="W37" s="838"/>
      <c r="X37" s="721"/>
      <c r="Y37" s="862"/>
      <c r="Z37" s="721"/>
      <c r="AA37" s="721"/>
      <c r="AB37" s="721"/>
      <c r="AC37" s="721"/>
    </row>
    <row r="38" ht="14.75" spans="1:29">
      <c r="A38" s="701" t="s">
        <v>1215</v>
      </c>
      <c r="B38" s="702" t="str">
        <f>B37</f>
        <v>元/平方米</v>
      </c>
      <c r="C38" s="703" t="e">
        <f>R39</f>
        <v>#DIV/0!</v>
      </c>
      <c r="D38" s="704" t="s">
        <v>1216</v>
      </c>
      <c r="E38" s="705" t="e">
        <f>R38</f>
        <v>#DIV/0!</v>
      </c>
      <c r="F38" s="706"/>
      <c r="G38" s="703" t="e">
        <f>T38</f>
        <v>#DIV/0!</v>
      </c>
      <c r="H38" s="706"/>
      <c r="I38" s="705" t="e">
        <f>V38</f>
        <v>#DIV/0!</v>
      </c>
      <c r="J38" s="706"/>
      <c r="K38" s="783">
        <f>F38+H38+J38</f>
        <v>0</v>
      </c>
      <c r="L38" s="782"/>
      <c r="M38" s="710"/>
      <c r="N38" s="710"/>
      <c r="O38" s="710"/>
      <c r="P38" s="831" t="str">
        <f>A38</f>
        <v>比较价值（元/平方米）</v>
      </c>
      <c r="Q38" s="831"/>
      <c r="R38" s="838" t="e">
        <f>IF(F1="售价",ROUND(PRODUCT(R37,AA7:AA36),0),ROUND(PRODUCT(R37,AA7:AA36),1))</f>
        <v>#DIV/0!</v>
      </c>
      <c r="S38" s="838"/>
      <c r="T38" s="838" t="e">
        <f>IF(F1="售价",ROUND(PRODUCT(T37,AB7:AB36),0),ROUND(PRODUCT(T37,AB7:AB36),1))</f>
        <v>#DIV/0!</v>
      </c>
      <c r="U38" s="838"/>
      <c r="V38" s="838" t="e">
        <f>IF(F1="售价",ROUND(PRODUCT(V37,AC7:AC36),0),ROUND(PRODUCT(V37,AC7:AC36),1))</f>
        <v>#DIV/0!</v>
      </c>
      <c r="W38" s="838"/>
      <c r="X38" s="721"/>
      <c r="Y38" s="721"/>
      <c r="Z38" s="721"/>
      <c r="AA38" s="721"/>
      <c r="AB38" s="721"/>
      <c r="AC38" s="721"/>
    </row>
    <row r="39" ht="14.75" spans="1:29">
      <c r="A39" s="707" t="s">
        <v>1507</v>
      </c>
      <c r="B39" s="708"/>
      <c r="C39" s="709" t="e">
        <f>R39</f>
        <v>#DIV/0!</v>
      </c>
      <c r="D39" s="709"/>
      <c r="E39" s="709"/>
      <c r="F39" s="709"/>
      <c r="G39" s="709"/>
      <c r="H39" s="709"/>
      <c r="I39" s="709"/>
      <c r="J39" s="709"/>
      <c r="K39" s="1910"/>
      <c r="L39" s="782"/>
      <c r="M39" s="710"/>
      <c r="N39" s="710"/>
      <c r="O39" s="710"/>
      <c r="P39" s="689" t="str">
        <f>A39</f>
        <v>估价对象XX用房的比较价值（楼面单价，元/平方米）</v>
      </c>
      <c r="Q39" s="1598"/>
      <c r="R39" s="1871" t="e">
        <f>IF(F1="售价",ROUND(IF(D38="简单平均",AVERAGE(R38:W38),R38*F38+T38*H38+V38*J38),0),ROUND(IF(D38="简单平均",AVERAGE(R38:V38),R38*F38+T38*H38+V38*J38),1))</f>
        <v>#DIV/0!</v>
      </c>
      <c r="S39" s="1871"/>
      <c r="T39" s="1871"/>
      <c r="U39" s="1871"/>
      <c r="V39" s="1871"/>
      <c r="W39" s="1871"/>
      <c r="X39" s="721"/>
      <c r="Y39" s="721"/>
      <c r="Z39" s="721"/>
      <c r="AA39" s="721"/>
      <c r="AB39" s="721"/>
      <c r="AC39" s="721"/>
    </row>
    <row r="40" spans="1:29">
      <c r="A40" s="710"/>
      <c r="B40" s="710"/>
      <c r="C40" s="710"/>
      <c r="D40" s="710"/>
      <c r="E40" s="710"/>
      <c r="F40" s="710"/>
      <c r="G40" s="711"/>
      <c r="H40" s="710"/>
      <c r="I40" s="710"/>
      <c r="J40" s="710"/>
      <c r="K40" s="787"/>
      <c r="L40" s="788"/>
      <c r="M40" s="710"/>
      <c r="N40" s="710"/>
      <c r="O40" s="710"/>
      <c r="P40" s="789"/>
      <c r="Q40" s="710"/>
      <c r="R40" s="710"/>
      <c r="S40" s="710"/>
      <c r="T40" s="710"/>
      <c r="U40" s="710"/>
      <c r="V40" s="710"/>
      <c r="W40" s="710"/>
      <c r="X40" s="710"/>
      <c r="Y40" s="710"/>
      <c r="Z40" s="710"/>
      <c r="AA40" s="710"/>
      <c r="AB40" s="710"/>
      <c r="AC40" s="710"/>
    </row>
    <row r="41" spans="1:29">
      <c r="A41" s="710"/>
      <c r="B41" s="710"/>
      <c r="C41" s="710"/>
      <c r="D41" s="710"/>
      <c r="E41" s="710"/>
      <c r="F41" s="710"/>
      <c r="G41" s="710"/>
      <c r="H41" s="710"/>
      <c r="I41" s="710"/>
      <c r="J41" s="710"/>
      <c r="K41" s="787"/>
      <c r="L41" s="788"/>
      <c r="M41" s="710"/>
      <c r="N41" s="710"/>
      <c r="O41" s="710"/>
      <c r="P41" s="789"/>
      <c r="Q41" s="710"/>
      <c r="R41" s="710"/>
      <c r="S41" s="710"/>
      <c r="T41" s="710"/>
      <c r="U41" s="710"/>
      <c r="V41" s="710"/>
      <c r="W41" s="710"/>
      <c r="X41" s="710"/>
      <c r="Y41" s="710"/>
      <c r="Z41" s="710"/>
      <c r="AA41" s="710"/>
      <c r="AB41" s="710"/>
      <c r="AC41" s="710"/>
    </row>
    <row r="42" ht="13.5" customHeight="1" spans="1:29">
      <c r="A42" s="710"/>
      <c r="B42" s="710"/>
      <c r="C42" s="712" t="s">
        <v>1218</v>
      </c>
      <c r="D42" s="713"/>
      <c r="E42" s="714" t="e">
        <f>IF(E37&lt;E38,E38/E37-1,E37/E38-1)</f>
        <v>#DIV/0!</v>
      </c>
      <c r="F42" s="715" t="e">
        <f>IF(OR(E42&gt;=0.3,E42&lt;=-0.3),"超过30%","")</f>
        <v>#DIV/0!</v>
      </c>
      <c r="G42" s="714" t="e">
        <f>IF(G37&lt;G38,G38/G37-1,G37/G38-1)</f>
        <v>#DIV/0!</v>
      </c>
      <c r="H42" s="715" t="e">
        <f>IF(OR(G42&gt;=0.3,G42&lt;=-0.3),"超过30%","")</f>
        <v>#DIV/0!</v>
      </c>
      <c r="I42" s="714" t="e">
        <f>IF(I37&lt;I38,I38/I37-1,I37/I38-1)</f>
        <v>#DIV/0!</v>
      </c>
      <c r="J42" s="715" t="e">
        <f>IF(OR(I42&gt;=0.3,I42&lt;=-0.3),"超过30%","")</f>
        <v>#DIV/0!</v>
      </c>
      <c r="K42" s="787"/>
      <c r="L42" s="788"/>
      <c r="M42" s="710"/>
      <c r="N42" s="710"/>
      <c r="O42" s="710"/>
      <c r="P42" s="789"/>
      <c r="Q42" s="710"/>
      <c r="R42" s="710"/>
      <c r="S42" s="710"/>
      <c r="T42" s="710"/>
      <c r="U42" s="710"/>
      <c r="V42" s="710"/>
      <c r="W42" s="710"/>
      <c r="X42" s="710"/>
      <c r="Y42" s="710"/>
      <c r="Z42" s="710"/>
      <c r="AA42" s="710"/>
      <c r="AB42" s="710"/>
      <c r="AC42" s="710"/>
    </row>
    <row r="43" ht="13.5" customHeight="1" spans="1:29">
      <c r="A43" s="710"/>
      <c r="B43" s="710"/>
      <c r="C43" s="712" t="s">
        <v>1219</v>
      </c>
      <c r="D43" s="716"/>
      <c r="E43" s="714" t="e">
        <f>IF(E38&lt;G38,G38/E38-1,E38/G38-1)</f>
        <v>#DIV/0!</v>
      </c>
      <c r="F43" s="715" t="e">
        <f>IF(OR(E43&gt;=0.2,E43&lt;=-0.2),"超过20%","")</f>
        <v>#DIV/0!</v>
      </c>
      <c r="G43" s="714" t="e">
        <f>IF(G38&lt;I38,I38/G38-1,G38/I38-1)</f>
        <v>#DIV/0!</v>
      </c>
      <c r="H43" s="715" t="e">
        <f>IF(OR(G43&gt;=0.2,G43&lt;=-0.2),"超过20%","")</f>
        <v>#DIV/0!</v>
      </c>
      <c r="I43" s="714" t="e">
        <f>IF(I38&lt;E38,E38/I38-1,I38/E38-1)</f>
        <v>#DIV/0!</v>
      </c>
      <c r="J43" s="715" t="e">
        <f>IF(OR(I43&gt;=0.2,I43&lt;=-0.2),"超过20%","")</f>
        <v>#DIV/0!</v>
      </c>
      <c r="K43" s="787"/>
      <c r="L43" s="788"/>
      <c r="M43" s="710"/>
      <c r="N43" s="710"/>
      <c r="O43" s="710"/>
      <c r="P43" s="789"/>
      <c r="Q43" s="710"/>
      <c r="R43" s="710"/>
      <c r="S43" s="710"/>
      <c r="T43" s="710"/>
      <c r="U43" s="710"/>
      <c r="V43" s="710"/>
      <c r="W43" s="710"/>
      <c r="X43" s="710"/>
      <c r="Y43" s="710"/>
      <c r="Z43" s="710"/>
      <c r="AA43" s="710"/>
      <c r="AB43" s="710"/>
      <c r="AC43" s="710"/>
    </row>
    <row r="44" s="571" customFormat="1" ht="13.5" customHeight="1" spans="1:29">
      <c r="A44" s="717"/>
      <c r="B44" s="717"/>
      <c r="C44" s="712" t="s">
        <v>1220</v>
      </c>
      <c r="D44" s="716"/>
      <c r="E44" s="714" t="e">
        <f>IF(E37&lt;G37,G37/E37-1,E37/G37-1)</f>
        <v>#DIV/0!</v>
      </c>
      <c r="F44" s="715" t="e">
        <f>IF(OR(E44&gt;=0.3,E44&lt;=-0.3),"超过30%","")</f>
        <v>#DIV/0!</v>
      </c>
      <c r="G44" s="714" t="e">
        <f>IF(G37&lt;I37,I37/G37-1,G37/I37-1)</f>
        <v>#DIV/0!</v>
      </c>
      <c r="H44" s="715" t="e">
        <f>IF(OR(G44&gt;=0.3,G44&lt;=-0.3),"超过30%","")</f>
        <v>#DIV/0!</v>
      </c>
      <c r="I44" s="714" t="e">
        <f>IF(I37&lt;E37,E37/I37-1,I37/E37-1)</f>
        <v>#DIV/0!</v>
      </c>
      <c r="J44" s="715" t="e">
        <f>IF(OR(I44&gt;=0.3,I44&lt;=-0.3),"超过30%","")</f>
        <v>#DIV/0!</v>
      </c>
      <c r="K44" s="790"/>
      <c r="L44" s="791"/>
      <c r="M44" s="717"/>
      <c r="N44" s="717"/>
      <c r="O44" s="717"/>
      <c r="P44" s="792"/>
      <c r="Q44" s="717"/>
      <c r="R44" s="717"/>
      <c r="S44" s="717"/>
      <c r="T44" s="717"/>
      <c r="U44" s="717"/>
      <c r="V44" s="717"/>
      <c r="W44" s="717"/>
      <c r="X44" s="717"/>
      <c r="Y44" s="717"/>
      <c r="Z44" s="717"/>
      <c r="AA44" s="717"/>
      <c r="AB44" s="717"/>
      <c r="AC44" s="717"/>
    </row>
    <row r="45" s="571" customFormat="1" spans="1:29">
      <c r="A45" s="717"/>
      <c r="B45" s="718"/>
      <c r="C45" s="719"/>
      <c r="D45" s="717"/>
      <c r="E45" s="717"/>
      <c r="F45" s="717"/>
      <c r="G45" s="717"/>
      <c r="H45" s="717"/>
      <c r="I45" s="717"/>
      <c r="J45" s="717"/>
      <c r="K45" s="790"/>
      <c r="L45" s="791"/>
      <c r="M45" s="717"/>
      <c r="N45" s="717"/>
      <c r="O45" s="717"/>
      <c r="P45" s="792"/>
      <c r="Q45" s="717"/>
      <c r="R45" s="717"/>
      <c r="S45" s="717"/>
      <c r="T45" s="717"/>
      <c r="U45" s="717"/>
      <c r="V45" s="717"/>
      <c r="W45" s="717"/>
      <c r="X45" s="717"/>
      <c r="Y45" s="717"/>
      <c r="Z45" s="717"/>
      <c r="AA45" s="717"/>
      <c r="AB45" s="717"/>
      <c r="AC45" s="717"/>
    </row>
    <row r="46" spans="1:29">
      <c r="A46" s="710"/>
      <c r="B46" s="718"/>
      <c r="C46" s="719"/>
      <c r="D46" s="710"/>
      <c r="E46" s="710"/>
      <c r="F46" s="710"/>
      <c r="G46" s="710"/>
      <c r="H46" s="710"/>
      <c r="I46" s="710"/>
      <c r="J46" s="710"/>
      <c r="K46" s="787"/>
      <c r="L46" s="788"/>
      <c r="M46" s="710"/>
      <c r="N46" s="710"/>
      <c r="O46" s="710"/>
      <c r="P46" s="789"/>
      <c r="Q46" s="710"/>
      <c r="R46" s="710"/>
      <c r="S46" s="710"/>
      <c r="T46" s="710"/>
      <c r="U46" s="710"/>
      <c r="V46" s="710"/>
      <c r="W46" s="710"/>
      <c r="X46" s="710"/>
      <c r="Y46" s="710"/>
      <c r="Z46" s="710"/>
      <c r="AA46" s="710"/>
      <c r="AB46" s="710"/>
      <c r="AC46" s="710"/>
    </row>
    <row r="47" ht="21.75" spans="1:29">
      <c r="A47" s="1901" t="s">
        <v>1221</v>
      </c>
      <c r="B47" s="1568"/>
      <c r="C47" s="795"/>
      <c r="D47" s="795"/>
      <c r="E47" s="795"/>
      <c r="F47" s="1902"/>
      <c r="G47" s="1902"/>
      <c r="H47" s="795"/>
      <c r="I47" s="795"/>
      <c r="J47" s="795"/>
      <c r="K47" s="1853"/>
      <c r="L47" s="794"/>
      <c r="M47" s="795"/>
      <c r="N47" s="796"/>
      <c r="O47" s="796"/>
      <c r="P47" s="797"/>
      <c r="Q47" s="843"/>
      <c r="R47" s="710"/>
      <c r="S47" s="710"/>
      <c r="T47" s="710"/>
      <c r="U47" s="710"/>
      <c r="V47" s="710"/>
      <c r="W47" s="710"/>
      <c r="X47" s="710"/>
      <c r="Y47" s="710"/>
      <c r="Z47" s="710"/>
      <c r="AA47" s="710"/>
      <c r="AB47" s="710"/>
      <c r="AC47" s="710"/>
    </row>
    <row r="48" s="572" customFormat="1" spans="1:29">
      <c r="A48" s="724" t="s">
        <v>1172</v>
      </c>
      <c r="B48" s="725"/>
      <c r="C48" s="726" t="str">
        <f>YEAR(C7)&amp;"-"&amp;MONTH(C7)</f>
        <v>2024-9</v>
      </c>
      <c r="D48" s="727">
        <f>EDATE(C48,-1)</f>
        <v>45505</v>
      </c>
      <c r="E48" s="727">
        <f t="shared" ref="E48:O48" si="16">EDATE(D48,-1)</f>
        <v>45474</v>
      </c>
      <c r="F48" s="727">
        <f t="shared" si="16"/>
        <v>45444</v>
      </c>
      <c r="G48" s="727">
        <f t="shared" si="16"/>
        <v>45413</v>
      </c>
      <c r="H48" s="727">
        <f t="shared" si="16"/>
        <v>45383</v>
      </c>
      <c r="I48" s="727">
        <f t="shared" si="16"/>
        <v>45352</v>
      </c>
      <c r="J48" s="727">
        <f t="shared" si="16"/>
        <v>45323</v>
      </c>
      <c r="K48" s="727">
        <f t="shared" si="16"/>
        <v>45292</v>
      </c>
      <c r="L48" s="727">
        <f t="shared" si="16"/>
        <v>45261</v>
      </c>
      <c r="M48" s="727">
        <f t="shared" si="16"/>
        <v>45231</v>
      </c>
      <c r="N48" s="727">
        <f t="shared" si="16"/>
        <v>45200</v>
      </c>
      <c r="O48" s="727">
        <f t="shared" si="16"/>
        <v>45170</v>
      </c>
      <c r="P48" s="798"/>
      <c r="Q48" s="844"/>
      <c r="R48" s="844"/>
      <c r="S48" s="844"/>
      <c r="T48" s="844"/>
      <c r="U48" s="844"/>
      <c r="V48" s="844"/>
      <c r="W48" s="844"/>
      <c r="X48" s="844"/>
      <c r="Y48" s="844"/>
      <c r="Z48" s="844"/>
      <c r="AA48" s="844"/>
      <c r="AB48" s="844"/>
      <c r="AC48" s="844"/>
    </row>
    <row r="49" s="568" customFormat="1" spans="1:29">
      <c r="A49" s="728"/>
      <c r="B49" s="729"/>
      <c r="C49" s="1903">
        <v>100</v>
      </c>
      <c r="D49" s="731"/>
      <c r="E49" s="731"/>
      <c r="F49" s="731"/>
      <c r="G49" s="731"/>
      <c r="H49" s="731"/>
      <c r="I49" s="731"/>
      <c r="J49" s="731"/>
      <c r="K49" s="731"/>
      <c r="L49" s="731"/>
      <c r="M49" s="799"/>
      <c r="N49" s="731"/>
      <c r="O49" s="799"/>
      <c r="P49" s="800"/>
      <c r="Q49" s="845"/>
      <c r="R49" s="845"/>
      <c r="S49" s="845"/>
      <c r="T49" s="845"/>
      <c r="U49" s="845"/>
      <c r="V49" s="845"/>
      <c r="W49" s="845"/>
      <c r="X49" s="845"/>
      <c r="Y49" s="845"/>
      <c r="Z49" s="845"/>
      <c r="AA49" s="845"/>
      <c r="AB49" s="845"/>
      <c r="AC49" s="845"/>
    </row>
    <row r="50" s="568" customFormat="1" ht="14.75" spans="1:29">
      <c r="A50" s="732" t="s">
        <v>1222</v>
      </c>
      <c r="B50" s="733"/>
      <c r="C50" s="734"/>
      <c r="D50" s="735"/>
      <c r="E50" s="735"/>
      <c r="F50" s="735"/>
      <c r="G50" s="735"/>
      <c r="H50" s="735"/>
      <c r="I50" s="735"/>
      <c r="J50" s="735"/>
      <c r="K50" s="735"/>
      <c r="L50" s="735"/>
      <c r="M50" s="801"/>
      <c r="N50" s="735"/>
      <c r="O50" s="801"/>
      <c r="P50" s="800"/>
      <c r="Q50" s="843"/>
      <c r="R50" s="845"/>
      <c r="S50" s="845"/>
      <c r="T50" s="845"/>
      <c r="U50" s="845"/>
      <c r="V50" s="845"/>
      <c r="W50" s="845"/>
      <c r="X50" s="845"/>
      <c r="Y50" s="845"/>
      <c r="Z50" s="845"/>
      <c r="AA50" s="845"/>
      <c r="AB50" s="845"/>
      <c r="AC50" s="845"/>
    </row>
    <row r="51" s="568" customFormat="1" spans="1:29">
      <c r="A51" s="736" t="s">
        <v>1175</v>
      </c>
      <c r="B51" s="729"/>
      <c r="C51" s="737" t="s">
        <v>1223</v>
      </c>
      <c r="D51" s="739"/>
      <c r="E51" s="739"/>
      <c r="F51" s="739"/>
      <c r="G51" s="739"/>
      <c r="H51" s="739"/>
      <c r="I51" s="739"/>
      <c r="J51" s="739"/>
      <c r="K51" s="739"/>
      <c r="L51" s="802"/>
      <c r="M51" s="803"/>
      <c r="N51" s="804"/>
      <c r="O51" s="804"/>
      <c r="P51" s="805"/>
      <c r="Q51" s="843"/>
      <c r="R51" s="845"/>
      <c r="S51" s="845"/>
      <c r="T51" s="845"/>
      <c r="U51" s="845"/>
      <c r="V51" s="845"/>
      <c r="W51" s="845"/>
      <c r="X51" s="845"/>
      <c r="Y51" s="845"/>
      <c r="Z51" s="845"/>
      <c r="AA51" s="845"/>
      <c r="AB51" s="845"/>
      <c r="AC51" s="845"/>
    </row>
    <row r="52" s="568" customFormat="1" ht="14.75" spans="1:29">
      <c r="A52" s="736"/>
      <c r="B52" s="729"/>
      <c r="C52" s="1608">
        <v>100</v>
      </c>
      <c r="D52" s="731"/>
      <c r="E52" s="731"/>
      <c r="F52" s="731"/>
      <c r="G52" s="731"/>
      <c r="H52" s="731"/>
      <c r="I52" s="731"/>
      <c r="J52" s="731"/>
      <c r="K52" s="731"/>
      <c r="L52" s="731"/>
      <c r="M52" s="806"/>
      <c r="N52" s="804"/>
      <c r="O52" s="804"/>
      <c r="P52" s="800"/>
      <c r="Q52" s="843"/>
      <c r="R52" s="845"/>
      <c r="S52" s="845"/>
      <c r="T52" s="845"/>
      <c r="U52" s="845"/>
      <c r="V52" s="845"/>
      <c r="W52" s="845"/>
      <c r="X52" s="845"/>
      <c r="Y52" s="845"/>
      <c r="Z52" s="845"/>
      <c r="AA52" s="845"/>
      <c r="AB52" s="845"/>
      <c r="AC52" s="845"/>
    </row>
    <row r="53" spans="1:29">
      <c r="A53" s="741" t="s">
        <v>1224</v>
      </c>
      <c r="B53" s="742" t="s">
        <v>1179</v>
      </c>
      <c r="C53" s="743">
        <f>C9</f>
        <v>0</v>
      </c>
      <c r="D53" s="745"/>
      <c r="E53" s="745"/>
      <c r="F53" s="745"/>
      <c r="G53" s="745"/>
      <c r="H53" s="745"/>
      <c r="I53" s="745"/>
      <c r="J53" s="745"/>
      <c r="K53" s="807"/>
      <c r="L53" s="808"/>
      <c r="M53" s="809"/>
      <c r="N53" s="810"/>
      <c r="O53" s="810"/>
      <c r="P53" s="811"/>
      <c r="Q53" s="843"/>
      <c r="R53" s="710"/>
      <c r="S53" s="710"/>
      <c r="T53" s="710"/>
      <c r="U53" s="710"/>
      <c r="V53" s="710"/>
      <c r="W53" s="710"/>
      <c r="X53" s="710"/>
      <c r="Y53" s="710"/>
      <c r="Z53" s="710"/>
      <c r="AA53" s="710"/>
      <c r="AB53" s="710"/>
      <c r="AC53" s="710"/>
    </row>
    <row r="54" ht="14.75" spans="1:29">
      <c r="A54" s="864"/>
      <c r="B54" s="865"/>
      <c r="C54" s="866">
        <v>100</v>
      </c>
      <c r="D54" s="866"/>
      <c r="E54" s="866"/>
      <c r="F54" s="866"/>
      <c r="G54" s="866"/>
      <c r="H54" s="866"/>
      <c r="I54" s="866"/>
      <c r="J54" s="866"/>
      <c r="K54" s="866"/>
      <c r="L54" s="866"/>
      <c r="M54" s="903"/>
      <c r="N54" s="904"/>
      <c r="O54" s="904"/>
      <c r="P54" s="811"/>
      <c r="Q54" s="843"/>
      <c r="R54" s="710"/>
      <c r="S54" s="710"/>
      <c r="T54" s="710"/>
      <c r="U54" s="710"/>
      <c r="V54" s="710"/>
      <c r="W54" s="710"/>
      <c r="X54" s="710"/>
      <c r="Y54" s="710"/>
      <c r="Z54" s="710"/>
      <c r="AA54" s="710"/>
      <c r="AB54" s="710"/>
      <c r="AC54" s="710"/>
    </row>
    <row r="55" ht="28.75" spans="1:29">
      <c r="A55" s="864"/>
      <c r="B55" s="867" t="s">
        <v>1184</v>
      </c>
      <c r="C55" s="868"/>
      <c r="D55" s="868"/>
      <c r="E55" s="868"/>
      <c r="F55" s="868"/>
      <c r="G55" s="868"/>
      <c r="H55" s="868"/>
      <c r="I55" s="868"/>
      <c r="J55" s="868"/>
      <c r="K55" s="905"/>
      <c r="L55" s="906"/>
      <c r="M55" s="907"/>
      <c r="N55" s="810"/>
      <c r="O55" s="810"/>
      <c r="P55" s="811"/>
      <c r="Q55" s="843"/>
      <c r="R55" s="710"/>
      <c r="S55" s="710"/>
      <c r="T55" s="710"/>
      <c r="U55" s="710"/>
      <c r="V55" s="710"/>
      <c r="W55" s="710"/>
      <c r="X55" s="710"/>
      <c r="Y55" s="710"/>
      <c r="Z55" s="710"/>
      <c r="AA55" s="710"/>
      <c r="AB55" s="710"/>
      <c r="AC55" s="710"/>
    </row>
    <row r="56" ht="14.75" spans="1:29">
      <c r="A56" s="864"/>
      <c r="B56" s="869"/>
      <c r="C56" s="866"/>
      <c r="D56" s="866"/>
      <c r="E56" s="866"/>
      <c r="F56" s="866"/>
      <c r="G56" s="866"/>
      <c r="H56" s="866"/>
      <c r="I56" s="866"/>
      <c r="J56" s="866"/>
      <c r="K56" s="866"/>
      <c r="L56" s="866"/>
      <c r="M56" s="903"/>
      <c r="N56" s="904"/>
      <c r="O56" s="904"/>
      <c r="P56" s="811"/>
      <c r="Q56" s="843"/>
      <c r="R56" s="710"/>
      <c r="S56" s="710"/>
      <c r="T56" s="710"/>
      <c r="U56" s="710"/>
      <c r="V56" s="710"/>
      <c r="W56" s="710"/>
      <c r="X56" s="710"/>
      <c r="Y56" s="710"/>
      <c r="Z56" s="710"/>
      <c r="AA56" s="710"/>
      <c r="AB56" s="710"/>
      <c r="AC56" s="710"/>
    </row>
    <row r="57" ht="14.75" spans="1:29">
      <c r="A57" s="864"/>
      <c r="B57" s="888">
        <f>B11</f>
        <v>111</v>
      </c>
      <c r="C57" s="873"/>
      <c r="D57" s="873"/>
      <c r="E57" s="873"/>
      <c r="F57" s="873"/>
      <c r="G57" s="873"/>
      <c r="H57" s="873"/>
      <c r="I57" s="873"/>
      <c r="J57" s="873"/>
      <c r="K57" s="908"/>
      <c r="L57" s="909"/>
      <c r="M57" s="910"/>
      <c r="N57" s="810"/>
      <c r="O57" s="810"/>
      <c r="P57" s="811"/>
      <c r="Q57" s="843"/>
      <c r="R57" s="710"/>
      <c r="S57" s="710"/>
      <c r="T57" s="710"/>
      <c r="U57" s="710"/>
      <c r="V57" s="710"/>
      <c r="W57" s="710"/>
      <c r="X57" s="710"/>
      <c r="Y57" s="710"/>
      <c r="Z57" s="710"/>
      <c r="AA57" s="710"/>
      <c r="AB57" s="710"/>
      <c r="AC57" s="710"/>
    </row>
    <row r="58" ht="14.75" spans="1:29">
      <c r="A58" s="864"/>
      <c r="B58" s="865"/>
      <c r="C58" s="878"/>
      <c r="D58" s="866"/>
      <c r="E58" s="866"/>
      <c r="F58" s="866"/>
      <c r="G58" s="866"/>
      <c r="H58" s="866"/>
      <c r="I58" s="866"/>
      <c r="J58" s="866"/>
      <c r="K58" s="866"/>
      <c r="L58" s="866"/>
      <c r="M58" s="903"/>
      <c r="N58" s="904"/>
      <c r="O58" s="904"/>
      <c r="P58" s="811"/>
      <c r="Q58" s="843"/>
      <c r="R58" s="710"/>
      <c r="S58" s="710"/>
      <c r="T58" s="710"/>
      <c r="U58" s="710"/>
      <c r="V58" s="710"/>
      <c r="W58" s="710"/>
      <c r="X58" s="710"/>
      <c r="Y58" s="710"/>
      <c r="Z58" s="710"/>
      <c r="AA58" s="710"/>
      <c r="AB58" s="710"/>
      <c r="AC58" s="710"/>
    </row>
    <row r="59" s="570" customFormat="1" ht="14.75" spans="1:29">
      <c r="A59" s="875"/>
      <c r="B59" s="867">
        <f>B12</f>
        <v>111</v>
      </c>
      <c r="C59" s="873"/>
      <c r="D59" s="873"/>
      <c r="E59" s="873"/>
      <c r="F59" s="873"/>
      <c r="G59" s="876"/>
      <c r="H59" s="877"/>
      <c r="I59" s="877"/>
      <c r="J59" s="877"/>
      <c r="K59" s="877"/>
      <c r="L59" s="912"/>
      <c r="M59" s="913"/>
      <c r="N59" s="914"/>
      <c r="O59" s="914"/>
      <c r="P59" s="915"/>
      <c r="Q59" s="947"/>
      <c r="R59" s="948"/>
      <c r="S59" s="948"/>
      <c r="T59" s="948"/>
      <c r="U59" s="948"/>
      <c r="V59" s="948"/>
      <c r="W59" s="948"/>
      <c r="X59" s="948"/>
      <c r="Y59" s="948"/>
      <c r="Z59" s="948"/>
      <c r="AA59" s="948"/>
      <c r="AB59" s="948"/>
      <c r="AC59" s="948"/>
    </row>
    <row r="60" s="570" customFormat="1" ht="14.75" spans="1:29">
      <c r="A60" s="875"/>
      <c r="B60" s="869"/>
      <c r="C60" s="878"/>
      <c r="D60" s="866"/>
      <c r="E60" s="866"/>
      <c r="F60" s="866"/>
      <c r="G60" s="866"/>
      <c r="H60" s="866"/>
      <c r="I60" s="866"/>
      <c r="J60" s="866"/>
      <c r="K60" s="866"/>
      <c r="L60" s="866"/>
      <c r="M60" s="903"/>
      <c r="N60" s="904"/>
      <c r="O60" s="904"/>
      <c r="P60" s="915"/>
      <c r="Q60" s="947"/>
      <c r="R60" s="948"/>
      <c r="S60" s="948"/>
      <c r="T60" s="948"/>
      <c r="U60" s="948"/>
      <c r="V60" s="948"/>
      <c r="W60" s="948"/>
      <c r="X60" s="948"/>
      <c r="Y60" s="948"/>
      <c r="Z60" s="948"/>
      <c r="AA60" s="948"/>
      <c r="AB60" s="948"/>
      <c r="AC60" s="948"/>
    </row>
    <row r="61" s="570" customFormat="1" ht="14.75" spans="1:29">
      <c r="A61" s="875"/>
      <c r="B61" s="867">
        <f>B13</f>
        <v>111</v>
      </c>
      <c r="C61" s="876"/>
      <c r="D61" s="876"/>
      <c r="E61" s="876"/>
      <c r="F61" s="876"/>
      <c r="G61" s="876"/>
      <c r="H61" s="877"/>
      <c r="I61" s="877"/>
      <c r="J61" s="877"/>
      <c r="K61" s="877"/>
      <c r="L61" s="912"/>
      <c r="M61" s="913"/>
      <c r="N61" s="914"/>
      <c r="O61" s="914"/>
      <c r="P61" s="916"/>
      <c r="Q61" s="949"/>
      <c r="R61" s="948"/>
      <c r="S61" s="948"/>
      <c r="T61" s="948"/>
      <c r="U61" s="948"/>
      <c r="V61" s="948"/>
      <c r="W61" s="948"/>
      <c r="X61" s="948"/>
      <c r="Y61" s="948"/>
      <c r="Z61" s="948"/>
      <c r="AA61" s="948"/>
      <c r="AB61" s="948"/>
      <c r="AC61" s="948"/>
    </row>
    <row r="62" s="570" customFormat="1" ht="14.75" spans="1:29">
      <c r="A62" s="875"/>
      <c r="B62" s="869"/>
      <c r="C62" s="878"/>
      <c r="D62" s="878"/>
      <c r="E62" s="878"/>
      <c r="F62" s="878"/>
      <c r="G62" s="878"/>
      <c r="H62" s="879"/>
      <c r="I62" s="879"/>
      <c r="J62" s="879"/>
      <c r="K62" s="879"/>
      <c r="L62" s="879"/>
      <c r="M62" s="917"/>
      <c r="N62" s="914"/>
      <c r="O62" s="914"/>
      <c r="P62" s="915"/>
      <c r="Q62" s="947"/>
      <c r="R62" s="948"/>
      <c r="S62" s="948"/>
      <c r="T62" s="948"/>
      <c r="U62" s="948"/>
      <c r="V62" s="948"/>
      <c r="W62" s="948"/>
      <c r="X62" s="948"/>
      <c r="Y62" s="948"/>
      <c r="Z62" s="948"/>
      <c r="AA62" s="948"/>
      <c r="AB62" s="948"/>
      <c r="AC62" s="948"/>
    </row>
    <row r="63" ht="14.75" spans="1:29">
      <c r="A63" s="741" t="s">
        <v>1186</v>
      </c>
      <c r="B63" s="742" t="s">
        <v>1191</v>
      </c>
      <c r="C63" s="885" t="s">
        <v>1225</v>
      </c>
      <c r="D63" s="885" t="s">
        <v>1226</v>
      </c>
      <c r="E63" s="885" t="s">
        <v>1227</v>
      </c>
      <c r="F63" s="885" t="s">
        <v>1228</v>
      </c>
      <c r="G63" s="885" t="s">
        <v>1229</v>
      </c>
      <c r="H63" s="743"/>
      <c r="I63" s="743"/>
      <c r="J63" s="743"/>
      <c r="K63" s="922"/>
      <c r="L63" s="923"/>
      <c r="M63" s="924"/>
      <c r="N63" s="810"/>
      <c r="O63" s="810"/>
      <c r="P63" s="925"/>
      <c r="Q63" s="843"/>
      <c r="R63" s="710"/>
      <c r="S63" s="710"/>
      <c r="T63" s="710"/>
      <c r="U63" s="710"/>
      <c r="V63" s="710"/>
      <c r="W63" s="710"/>
      <c r="X63" s="710"/>
      <c r="Y63" s="710"/>
      <c r="Z63" s="710"/>
      <c r="AA63" s="710"/>
      <c r="AB63" s="710"/>
      <c r="AC63" s="710"/>
    </row>
    <row r="64" ht="14.75" spans="1:29">
      <c r="A64" s="864"/>
      <c r="B64" s="869"/>
      <c r="C64" s="874">
        <v>100</v>
      </c>
      <c r="D64" s="874">
        <f>C64-$K14</f>
        <v>100</v>
      </c>
      <c r="E64" s="874">
        <f>D64-$K14</f>
        <v>100</v>
      </c>
      <c r="F64" s="874">
        <f>E64-$K14</f>
        <v>100</v>
      </c>
      <c r="G64" s="874">
        <f>F64-$K14</f>
        <v>100</v>
      </c>
      <c r="H64" s="874"/>
      <c r="I64" s="874"/>
      <c r="J64" s="874"/>
      <c r="K64" s="874"/>
      <c r="L64" s="874"/>
      <c r="M64" s="911"/>
      <c r="N64" s="904"/>
      <c r="O64" s="904"/>
      <c r="P64" s="811"/>
      <c r="Q64" s="843"/>
      <c r="R64" s="710"/>
      <c r="S64" s="710"/>
      <c r="T64" s="710"/>
      <c r="U64" s="710"/>
      <c r="V64" s="710"/>
      <c r="W64" s="710"/>
      <c r="X64" s="710"/>
      <c r="Y64" s="710"/>
      <c r="Z64" s="710"/>
      <c r="AA64" s="710"/>
      <c r="AB64" s="710"/>
      <c r="AC64" s="710"/>
    </row>
    <row r="65" ht="14.75" spans="1:29">
      <c r="A65" s="864"/>
      <c r="B65" s="867" t="s">
        <v>1192</v>
      </c>
      <c r="C65" s="886" t="s">
        <v>1225</v>
      </c>
      <c r="D65" s="886" t="s">
        <v>1226</v>
      </c>
      <c r="E65" s="886" t="s">
        <v>1227</v>
      </c>
      <c r="F65" s="886" t="s">
        <v>1228</v>
      </c>
      <c r="G65" s="886" t="s">
        <v>1229</v>
      </c>
      <c r="H65" s="887"/>
      <c r="I65" s="887"/>
      <c r="J65" s="887"/>
      <c r="K65" s="926"/>
      <c r="L65" s="927"/>
      <c r="M65" s="928"/>
      <c r="N65" s="810"/>
      <c r="O65" s="810"/>
      <c r="P65" s="811"/>
      <c r="Q65" s="843"/>
      <c r="R65" s="710"/>
      <c r="S65" s="710"/>
      <c r="T65" s="710"/>
      <c r="U65" s="710"/>
      <c r="V65" s="710"/>
      <c r="W65" s="710"/>
      <c r="X65" s="710"/>
      <c r="Y65" s="710"/>
      <c r="Z65" s="710"/>
      <c r="AA65" s="710"/>
      <c r="AB65" s="710"/>
      <c r="AC65" s="710"/>
    </row>
    <row r="66" ht="14.75" spans="1:29">
      <c r="A66" s="864"/>
      <c r="B66" s="869"/>
      <c r="C66" s="874">
        <v>100</v>
      </c>
      <c r="D66" s="874">
        <f>C66-$K16</f>
        <v>100</v>
      </c>
      <c r="E66" s="874">
        <f>D66-$K16</f>
        <v>100</v>
      </c>
      <c r="F66" s="874">
        <f>E66-$K16</f>
        <v>100</v>
      </c>
      <c r="G66" s="874">
        <f>F66-$K16</f>
        <v>100</v>
      </c>
      <c r="H66" s="874"/>
      <c r="I66" s="874"/>
      <c r="J66" s="874"/>
      <c r="K66" s="874"/>
      <c r="L66" s="874"/>
      <c r="M66" s="911"/>
      <c r="N66" s="904"/>
      <c r="O66" s="904"/>
      <c r="P66" s="811"/>
      <c r="Q66" s="843"/>
      <c r="R66" s="710"/>
      <c r="S66" s="710"/>
      <c r="T66" s="710"/>
      <c r="U66" s="710"/>
      <c r="V66" s="710"/>
      <c r="W66" s="710"/>
      <c r="X66" s="710"/>
      <c r="Y66" s="710"/>
      <c r="Z66" s="710"/>
      <c r="AA66" s="710"/>
      <c r="AB66" s="710"/>
      <c r="AC66" s="710"/>
    </row>
    <row r="67" ht="14.75" spans="1:29">
      <c r="A67" s="864"/>
      <c r="B67" s="870" t="s">
        <v>1193</v>
      </c>
      <c r="C67" s="888" t="s">
        <v>1230</v>
      </c>
      <c r="D67" s="888" t="s">
        <v>1231</v>
      </c>
      <c r="E67" s="888" t="s">
        <v>1232</v>
      </c>
      <c r="F67" s="888" t="s">
        <v>1233</v>
      </c>
      <c r="G67" s="888" t="s">
        <v>1234</v>
      </c>
      <c r="H67" s="887"/>
      <c r="I67" s="887"/>
      <c r="J67" s="887"/>
      <c r="K67" s="887"/>
      <c r="L67" s="887"/>
      <c r="M67" s="929"/>
      <c r="N67" s="904"/>
      <c r="O67" s="904"/>
      <c r="P67" s="811"/>
      <c r="Q67" s="843"/>
      <c r="R67" s="710"/>
      <c r="S67" s="710"/>
      <c r="T67" s="710"/>
      <c r="U67" s="710"/>
      <c r="V67" s="710"/>
      <c r="W67" s="710"/>
      <c r="X67" s="710"/>
      <c r="Y67" s="710"/>
      <c r="Z67" s="710"/>
      <c r="AA67" s="710"/>
      <c r="AB67" s="710"/>
      <c r="AC67" s="710"/>
    </row>
    <row r="68" ht="14.75" spans="1:29">
      <c r="A68" s="864"/>
      <c r="B68" s="870"/>
      <c r="C68" s="874">
        <v>100</v>
      </c>
      <c r="D68" s="874">
        <f>C68-$K18</f>
        <v>100</v>
      </c>
      <c r="E68" s="874">
        <f>D68-$K18</f>
        <v>100</v>
      </c>
      <c r="F68" s="874">
        <f>E68-$K18</f>
        <v>100</v>
      </c>
      <c r="G68" s="874">
        <f>F68-$K18</f>
        <v>100</v>
      </c>
      <c r="H68" s="888"/>
      <c r="I68" s="888"/>
      <c r="J68" s="888"/>
      <c r="K68" s="888"/>
      <c r="L68" s="888"/>
      <c r="M68" s="658"/>
      <c r="N68" s="904"/>
      <c r="O68" s="904"/>
      <c r="P68" s="811"/>
      <c r="Q68" s="843"/>
      <c r="R68" s="710"/>
      <c r="S68" s="710"/>
      <c r="T68" s="710"/>
      <c r="U68" s="710"/>
      <c r="V68" s="710"/>
      <c r="W68" s="710"/>
      <c r="X68" s="710"/>
      <c r="Y68" s="710"/>
      <c r="Z68" s="710"/>
      <c r="AA68" s="710"/>
      <c r="AB68" s="710"/>
      <c r="AC68" s="710"/>
    </row>
    <row r="69" ht="14.75" spans="1:29">
      <c r="A69" s="864"/>
      <c r="B69" s="867" t="s">
        <v>1457</v>
      </c>
      <c r="C69" s="886" t="s">
        <v>1225</v>
      </c>
      <c r="D69" s="886" t="s">
        <v>1226</v>
      </c>
      <c r="E69" s="886" t="s">
        <v>1227</v>
      </c>
      <c r="F69" s="886" t="s">
        <v>1228</v>
      </c>
      <c r="G69" s="886" t="s">
        <v>1229</v>
      </c>
      <c r="H69" s="887"/>
      <c r="I69" s="887"/>
      <c r="J69" s="887"/>
      <c r="K69" s="926"/>
      <c r="L69" s="927"/>
      <c r="M69" s="928"/>
      <c r="N69" s="810"/>
      <c r="O69" s="810"/>
      <c r="P69" s="811"/>
      <c r="Q69" s="843"/>
      <c r="R69" s="710"/>
      <c r="S69" s="710"/>
      <c r="T69" s="710"/>
      <c r="U69" s="710"/>
      <c r="V69" s="710"/>
      <c r="W69" s="710"/>
      <c r="X69" s="710"/>
      <c r="Y69" s="710"/>
      <c r="Z69" s="710"/>
      <c r="AA69" s="710"/>
      <c r="AB69" s="710"/>
      <c r="AC69" s="710"/>
    </row>
    <row r="70" ht="14.75" spans="1:29">
      <c r="A70" s="864"/>
      <c r="B70" s="869"/>
      <c r="C70" s="874">
        <v>100</v>
      </c>
      <c r="D70" s="874">
        <f>C70-$K20</f>
        <v>100</v>
      </c>
      <c r="E70" s="874">
        <f>D70-$K20</f>
        <v>100</v>
      </c>
      <c r="F70" s="874">
        <f>E70-$K20</f>
        <v>100</v>
      </c>
      <c r="G70" s="874">
        <f>F70-$K20</f>
        <v>100</v>
      </c>
      <c r="H70" s="874"/>
      <c r="I70" s="874"/>
      <c r="J70" s="874"/>
      <c r="K70" s="874"/>
      <c r="L70" s="874"/>
      <c r="M70" s="911"/>
      <c r="N70" s="904"/>
      <c r="O70" s="904"/>
      <c r="P70" s="811"/>
      <c r="Q70" s="843"/>
      <c r="R70" s="710"/>
      <c r="S70" s="710"/>
      <c r="T70" s="710"/>
      <c r="U70" s="710"/>
      <c r="V70" s="710"/>
      <c r="W70" s="710"/>
      <c r="X70" s="710"/>
      <c r="Y70" s="710"/>
      <c r="Z70" s="710"/>
      <c r="AA70" s="710"/>
      <c r="AB70" s="710"/>
      <c r="AC70" s="710"/>
    </row>
    <row r="71" ht="14.75" spans="1:29">
      <c r="A71" s="864"/>
      <c r="B71" s="867" t="s">
        <v>1196</v>
      </c>
      <c r="C71" s="876"/>
      <c r="D71" s="876"/>
      <c r="E71" s="876"/>
      <c r="F71" s="876"/>
      <c r="G71" s="876"/>
      <c r="H71" s="868"/>
      <c r="I71" s="868"/>
      <c r="J71" s="868"/>
      <c r="K71" s="905"/>
      <c r="L71" s="906"/>
      <c r="M71" s="907"/>
      <c r="N71" s="810"/>
      <c r="O71" s="810"/>
      <c r="P71" s="811"/>
      <c r="Q71" s="843"/>
      <c r="R71" s="710"/>
      <c r="S71" s="710"/>
      <c r="T71" s="710"/>
      <c r="U71" s="710"/>
      <c r="V71" s="710"/>
      <c r="W71" s="710"/>
      <c r="X71" s="710"/>
      <c r="Y71" s="710"/>
      <c r="Z71" s="710"/>
      <c r="AA71" s="710"/>
      <c r="AB71" s="710"/>
      <c r="AC71" s="710"/>
    </row>
    <row r="72" ht="14.75" spans="1:29">
      <c r="A72" s="864"/>
      <c r="B72" s="869"/>
      <c r="C72" s="874">
        <v>100</v>
      </c>
      <c r="D72" s="874">
        <f>C72-$K22</f>
        <v>100</v>
      </c>
      <c r="E72" s="874">
        <f>D72-$K22</f>
        <v>100</v>
      </c>
      <c r="F72" s="874">
        <f>E72-$K22</f>
        <v>100</v>
      </c>
      <c r="G72" s="874">
        <f>F72-$K22</f>
        <v>100</v>
      </c>
      <c r="H72" s="874"/>
      <c r="I72" s="874"/>
      <c r="J72" s="874"/>
      <c r="K72" s="874"/>
      <c r="L72" s="874"/>
      <c r="M72" s="911"/>
      <c r="N72" s="904"/>
      <c r="O72" s="904"/>
      <c r="P72" s="811"/>
      <c r="Q72" s="843"/>
      <c r="R72" s="710"/>
      <c r="S72" s="710"/>
      <c r="T72" s="710"/>
      <c r="U72" s="710"/>
      <c r="V72" s="710"/>
      <c r="W72" s="710"/>
      <c r="X72" s="710"/>
      <c r="Y72" s="710"/>
      <c r="Z72" s="710"/>
      <c r="AA72" s="710"/>
      <c r="AB72" s="710"/>
      <c r="AC72" s="710"/>
    </row>
    <row r="73" s="568" customFormat="1" ht="14.75" spans="1:29">
      <c r="A73" s="889"/>
      <c r="B73" s="867">
        <f>B23</f>
        <v>111</v>
      </c>
      <c r="C73" s="873"/>
      <c r="D73" s="873"/>
      <c r="E73" s="873"/>
      <c r="F73" s="873"/>
      <c r="G73" s="876"/>
      <c r="H73" s="876"/>
      <c r="I73" s="876"/>
      <c r="J73" s="876"/>
      <c r="K73" s="876"/>
      <c r="L73" s="930"/>
      <c r="M73" s="931"/>
      <c r="N73" s="804"/>
      <c r="O73" s="804"/>
      <c r="P73" s="811"/>
      <c r="Q73" s="843"/>
      <c r="R73" s="845"/>
      <c r="S73" s="845"/>
      <c r="T73" s="845"/>
      <c r="U73" s="845"/>
      <c r="V73" s="845"/>
      <c r="W73" s="845"/>
      <c r="X73" s="845"/>
      <c r="Y73" s="845"/>
      <c r="Z73" s="845"/>
      <c r="AA73" s="845"/>
      <c r="AB73" s="845"/>
      <c r="AC73" s="845"/>
    </row>
    <row r="74" s="568" customFormat="1" ht="14.75" spans="1:29">
      <c r="A74" s="889"/>
      <c r="B74" s="869"/>
      <c r="C74" s="878"/>
      <c r="D74" s="866"/>
      <c r="E74" s="866"/>
      <c r="F74" s="866"/>
      <c r="G74" s="866"/>
      <c r="H74" s="866"/>
      <c r="I74" s="866"/>
      <c r="J74" s="866"/>
      <c r="K74" s="866"/>
      <c r="L74" s="866"/>
      <c r="M74" s="903"/>
      <c r="N74" s="904"/>
      <c r="O74" s="904"/>
      <c r="P74" s="811"/>
      <c r="Q74" s="843"/>
      <c r="R74" s="845"/>
      <c r="S74" s="845"/>
      <c r="T74" s="845"/>
      <c r="U74" s="845"/>
      <c r="V74" s="845"/>
      <c r="W74" s="845"/>
      <c r="X74" s="845"/>
      <c r="Y74" s="845"/>
      <c r="Z74" s="845"/>
      <c r="AA74" s="845"/>
      <c r="AB74" s="845"/>
      <c r="AC74" s="845"/>
    </row>
    <row r="75" s="568" customFormat="1" ht="14.75" spans="1:29">
      <c r="A75" s="889"/>
      <c r="B75" s="867">
        <f>B24</f>
        <v>111</v>
      </c>
      <c r="C75" s="873"/>
      <c r="D75" s="873"/>
      <c r="E75" s="873"/>
      <c r="F75" s="873"/>
      <c r="G75" s="876"/>
      <c r="H75" s="876"/>
      <c r="I75" s="876"/>
      <c r="J75" s="876"/>
      <c r="K75" s="876"/>
      <c r="L75" s="876"/>
      <c r="M75" s="931"/>
      <c r="N75" s="804"/>
      <c r="O75" s="804"/>
      <c r="P75" s="811"/>
      <c r="Q75" s="843"/>
      <c r="R75" s="845"/>
      <c r="S75" s="845"/>
      <c r="T75" s="845"/>
      <c r="U75" s="845"/>
      <c r="V75" s="845"/>
      <c r="W75" s="845"/>
      <c r="X75" s="845"/>
      <c r="Y75" s="845"/>
      <c r="Z75" s="845"/>
      <c r="AA75" s="845"/>
      <c r="AB75" s="845"/>
      <c r="AC75" s="845"/>
    </row>
    <row r="76" s="568" customFormat="1" ht="14.75" spans="1:29">
      <c r="A76" s="889"/>
      <c r="B76" s="869"/>
      <c r="C76" s="878"/>
      <c r="D76" s="866"/>
      <c r="E76" s="866"/>
      <c r="F76" s="866"/>
      <c r="G76" s="866"/>
      <c r="H76" s="866"/>
      <c r="I76" s="866"/>
      <c r="J76" s="866"/>
      <c r="K76" s="866"/>
      <c r="L76" s="866"/>
      <c r="M76" s="903"/>
      <c r="N76" s="904"/>
      <c r="O76" s="904"/>
      <c r="P76" s="811"/>
      <c r="Q76" s="843"/>
      <c r="R76" s="845"/>
      <c r="S76" s="845"/>
      <c r="T76" s="845"/>
      <c r="U76" s="845"/>
      <c r="V76" s="845"/>
      <c r="W76" s="845"/>
      <c r="X76" s="845"/>
      <c r="Y76" s="845"/>
      <c r="Z76" s="845"/>
      <c r="AA76" s="845"/>
      <c r="AB76" s="845"/>
      <c r="AC76" s="845"/>
    </row>
    <row r="77" s="570" customFormat="1" ht="14.75" spans="1:29">
      <c r="A77" s="875"/>
      <c r="B77" s="867">
        <f>B25</f>
        <v>111</v>
      </c>
      <c r="C77" s="876"/>
      <c r="D77" s="876"/>
      <c r="E77" s="876"/>
      <c r="F77" s="876"/>
      <c r="G77" s="876"/>
      <c r="H77" s="877"/>
      <c r="I77" s="877"/>
      <c r="J77" s="877"/>
      <c r="K77" s="877"/>
      <c r="L77" s="912"/>
      <c r="M77" s="913"/>
      <c r="N77" s="914"/>
      <c r="O77" s="914"/>
      <c r="P77" s="915"/>
      <c r="Q77" s="947"/>
      <c r="R77" s="948"/>
      <c r="S77" s="948"/>
      <c r="T77" s="948"/>
      <c r="U77" s="948"/>
      <c r="V77" s="948"/>
      <c r="W77" s="948"/>
      <c r="X77" s="948"/>
      <c r="Y77" s="948"/>
      <c r="Z77" s="948"/>
      <c r="AA77" s="948"/>
      <c r="AB77" s="948"/>
      <c r="AC77" s="948"/>
    </row>
    <row r="78" s="570" customFormat="1" ht="14.75" spans="1:29">
      <c r="A78" s="875"/>
      <c r="B78" s="869"/>
      <c r="C78" s="878"/>
      <c r="D78" s="878"/>
      <c r="E78" s="878"/>
      <c r="F78" s="878"/>
      <c r="G78" s="866"/>
      <c r="H78" s="866"/>
      <c r="I78" s="866"/>
      <c r="J78" s="866"/>
      <c r="K78" s="866"/>
      <c r="L78" s="866"/>
      <c r="M78" s="903"/>
      <c r="N78" s="914"/>
      <c r="O78" s="914"/>
      <c r="P78" s="915"/>
      <c r="Q78" s="947"/>
      <c r="R78" s="948"/>
      <c r="S78" s="948"/>
      <c r="T78" s="948"/>
      <c r="U78" s="948"/>
      <c r="V78" s="948"/>
      <c r="W78" s="948"/>
      <c r="X78" s="948"/>
      <c r="Y78" s="948"/>
      <c r="Z78" s="948"/>
      <c r="AA78" s="948"/>
      <c r="AB78" s="948"/>
      <c r="AC78" s="948"/>
    </row>
    <row r="79" ht="28.75" spans="1:29">
      <c r="A79" s="741" t="s">
        <v>1198</v>
      </c>
      <c r="B79" s="742" t="s">
        <v>1508</v>
      </c>
      <c r="C79" s="743" t="str">
        <f>C26</f>
        <v>车库</v>
      </c>
      <c r="D79" s="745"/>
      <c r="E79" s="745"/>
      <c r="F79" s="745"/>
      <c r="G79" s="745"/>
      <c r="H79" s="745"/>
      <c r="I79" s="745"/>
      <c r="J79" s="745"/>
      <c r="K79" s="807"/>
      <c r="L79" s="808"/>
      <c r="M79" s="809"/>
      <c r="N79" s="810"/>
      <c r="O79" s="810"/>
      <c r="P79" s="811"/>
      <c r="Q79" s="843"/>
      <c r="R79" s="710"/>
      <c r="S79" s="710"/>
      <c r="T79" s="710"/>
      <c r="U79" s="710"/>
      <c r="V79" s="710"/>
      <c r="W79" s="710"/>
      <c r="X79" s="710"/>
      <c r="Y79" s="710"/>
      <c r="Z79" s="710"/>
      <c r="AA79" s="710"/>
      <c r="AB79" s="710"/>
      <c r="AC79" s="710"/>
    </row>
    <row r="80" ht="14.75" spans="1:29">
      <c r="A80" s="864"/>
      <c r="B80" s="869"/>
      <c r="C80" s="874">
        <v>100</v>
      </c>
      <c r="D80" s="874">
        <f t="shared" ref="D80:M80" si="17">C80-$K26</f>
        <v>100</v>
      </c>
      <c r="E80" s="874">
        <f t="shared" si="17"/>
        <v>100</v>
      </c>
      <c r="F80" s="874">
        <f t="shared" si="17"/>
        <v>100</v>
      </c>
      <c r="G80" s="874">
        <f t="shared" si="17"/>
        <v>100</v>
      </c>
      <c r="H80" s="874">
        <f t="shared" si="17"/>
        <v>100</v>
      </c>
      <c r="I80" s="874">
        <f t="shared" si="17"/>
        <v>100</v>
      </c>
      <c r="J80" s="874">
        <f t="shared" si="17"/>
        <v>100</v>
      </c>
      <c r="K80" s="874">
        <f t="shared" si="17"/>
        <v>100</v>
      </c>
      <c r="L80" s="874">
        <f t="shared" si="17"/>
        <v>100</v>
      </c>
      <c r="M80" s="911">
        <f t="shared" si="17"/>
        <v>100</v>
      </c>
      <c r="N80" s="904"/>
      <c r="O80" s="904"/>
      <c r="P80" s="811"/>
      <c r="Q80" s="843"/>
      <c r="R80" s="710"/>
      <c r="S80" s="710"/>
      <c r="T80" s="710"/>
      <c r="U80" s="710"/>
      <c r="V80" s="710"/>
      <c r="W80" s="710"/>
      <c r="X80" s="710"/>
      <c r="Y80" s="710"/>
      <c r="Z80" s="710"/>
      <c r="AA80" s="710"/>
      <c r="AB80" s="710"/>
      <c r="AC80" s="710"/>
    </row>
    <row r="81" ht="14.75" spans="1:29">
      <c r="A81" s="864"/>
      <c r="B81" s="867" t="s">
        <v>1499</v>
      </c>
      <c r="C81" s="1911"/>
      <c r="D81" s="1911"/>
      <c r="E81" s="1911"/>
      <c r="F81" s="1911"/>
      <c r="G81" s="1911"/>
      <c r="H81" s="1911"/>
      <c r="I81" s="1911"/>
      <c r="J81" s="1911"/>
      <c r="K81" s="1912"/>
      <c r="L81" s="1913"/>
      <c r="M81" s="1914"/>
      <c r="N81" s="804"/>
      <c r="O81" s="804"/>
      <c r="P81" s="811"/>
      <c r="Q81" s="843"/>
      <c r="R81" s="710"/>
      <c r="S81" s="710"/>
      <c r="T81" s="710"/>
      <c r="U81" s="710"/>
      <c r="V81" s="710"/>
      <c r="W81" s="710"/>
      <c r="X81" s="710"/>
      <c r="Y81" s="710"/>
      <c r="Z81" s="710"/>
      <c r="AA81" s="710"/>
      <c r="AB81" s="710"/>
      <c r="AC81" s="710"/>
    </row>
    <row r="82" s="570" customFormat="1" ht="14.75" spans="1:29">
      <c r="A82" s="875"/>
      <c r="B82" s="869"/>
      <c r="C82" s="878"/>
      <c r="D82" s="866"/>
      <c r="E82" s="866"/>
      <c r="F82" s="866"/>
      <c r="G82" s="866"/>
      <c r="H82" s="866"/>
      <c r="I82" s="866"/>
      <c r="J82" s="866"/>
      <c r="K82" s="866"/>
      <c r="L82" s="866"/>
      <c r="M82" s="903"/>
      <c r="N82" s="904"/>
      <c r="O82" s="904"/>
      <c r="P82" s="915"/>
      <c r="Q82" s="947"/>
      <c r="R82" s="948"/>
      <c r="S82" s="948"/>
      <c r="T82" s="948"/>
      <c r="U82" s="948"/>
      <c r="V82" s="948"/>
      <c r="W82" s="948"/>
      <c r="X82" s="948"/>
      <c r="Y82" s="948"/>
      <c r="Z82" s="948"/>
      <c r="AA82" s="948"/>
      <c r="AB82" s="948"/>
      <c r="AC82" s="948"/>
    </row>
    <row r="83" ht="14.75" spans="1:29">
      <c r="A83" s="898"/>
      <c r="B83" s="867" t="s">
        <v>1205</v>
      </c>
      <c r="C83" s="876"/>
      <c r="D83" s="876"/>
      <c r="E83" s="868"/>
      <c r="F83" s="868"/>
      <c r="G83" s="868"/>
      <c r="H83" s="868"/>
      <c r="I83" s="868"/>
      <c r="J83" s="868"/>
      <c r="K83" s="905"/>
      <c r="L83" s="906"/>
      <c r="M83" s="907"/>
      <c r="N83" s="810"/>
      <c r="O83" s="810"/>
      <c r="P83" s="811"/>
      <c r="Q83" s="843"/>
      <c r="R83" s="710"/>
      <c r="S83" s="710"/>
      <c r="T83" s="710"/>
      <c r="U83" s="710"/>
      <c r="V83" s="710"/>
      <c r="W83" s="710"/>
      <c r="X83" s="710"/>
      <c r="Y83" s="710"/>
      <c r="Z83" s="710"/>
      <c r="AA83" s="710"/>
      <c r="AB83" s="710"/>
      <c r="AC83" s="710"/>
    </row>
    <row r="84" ht="14.75" spans="1:29">
      <c r="A84" s="864"/>
      <c r="B84" s="869"/>
      <c r="C84" s="874">
        <v>100</v>
      </c>
      <c r="D84" s="874">
        <f t="shared" ref="D84:M84" si="18">C84-$K28</f>
        <v>100</v>
      </c>
      <c r="E84" s="874">
        <f t="shared" si="18"/>
        <v>100</v>
      </c>
      <c r="F84" s="874">
        <f t="shared" si="18"/>
        <v>100</v>
      </c>
      <c r="G84" s="874">
        <f t="shared" si="18"/>
        <v>100</v>
      </c>
      <c r="H84" s="874">
        <f t="shared" si="18"/>
        <v>100</v>
      </c>
      <c r="I84" s="874">
        <f t="shared" si="18"/>
        <v>100</v>
      </c>
      <c r="J84" s="874">
        <f t="shared" si="18"/>
        <v>100</v>
      </c>
      <c r="K84" s="874">
        <f t="shared" si="18"/>
        <v>100</v>
      </c>
      <c r="L84" s="874">
        <f t="shared" si="18"/>
        <v>100</v>
      </c>
      <c r="M84" s="911">
        <f t="shared" si="18"/>
        <v>100</v>
      </c>
      <c r="N84" s="904"/>
      <c r="O84" s="904"/>
      <c r="P84" s="811"/>
      <c r="Q84" s="843"/>
      <c r="R84" s="710"/>
      <c r="S84" s="710"/>
      <c r="T84" s="710"/>
      <c r="U84" s="710"/>
      <c r="V84" s="710"/>
      <c r="W84" s="710"/>
      <c r="X84" s="710"/>
      <c r="Y84" s="710"/>
      <c r="Z84" s="710"/>
      <c r="AA84" s="710"/>
      <c r="AB84" s="710"/>
      <c r="AC84" s="710"/>
    </row>
    <row r="85" ht="14.75" spans="1:29">
      <c r="A85" s="898"/>
      <c r="B85" s="867" t="s">
        <v>1500</v>
      </c>
      <c r="C85" s="886" t="str">
        <f>C86&amp;"(含)"&amp;"-"&amp;D86</f>
        <v>0.5(含)-0.6</v>
      </c>
      <c r="D85" s="886" t="str">
        <f>D86&amp;"(含)"&amp;"-"&amp;E86</f>
        <v>0.6(含)-0.7</v>
      </c>
      <c r="E85" s="886" t="str">
        <f>E86&amp;"(含)"&amp;"-"&amp;F86</f>
        <v>0.7(含)-0.8</v>
      </c>
      <c r="F85" s="886" t="str">
        <f>F86&amp;"(含)"&amp;"-"&amp;G86</f>
        <v>0.8(含)-0.9</v>
      </c>
      <c r="G85" s="886" t="str">
        <f>G86&amp;"(含)"&amp;"-"&amp;ROUND(H86,0)&amp;"(含)"</f>
        <v>0.9(含)-1(含)</v>
      </c>
      <c r="H85" s="886"/>
      <c r="I85" s="868"/>
      <c r="J85" s="868"/>
      <c r="K85" s="905"/>
      <c r="L85" s="906"/>
      <c r="M85" s="907"/>
      <c r="N85" s="810"/>
      <c r="O85" s="810"/>
      <c r="P85" s="811"/>
      <c r="Q85" s="843"/>
      <c r="R85" s="710"/>
      <c r="S85" s="710"/>
      <c r="T85" s="710"/>
      <c r="U85" s="710"/>
      <c r="V85" s="710"/>
      <c r="W85" s="710"/>
      <c r="X85" s="710"/>
      <c r="Y85" s="710"/>
      <c r="Z85" s="710"/>
      <c r="AA85" s="710"/>
      <c r="AB85" s="710"/>
      <c r="AC85" s="710"/>
    </row>
    <row r="86" spans="1:29">
      <c r="A86" s="898"/>
      <c r="B86" s="870"/>
      <c r="C86" s="899">
        <v>0.5</v>
      </c>
      <c r="D86" s="899">
        <v>0.6</v>
      </c>
      <c r="E86" s="899">
        <v>0.7</v>
      </c>
      <c r="F86" s="899">
        <v>0.8</v>
      </c>
      <c r="G86" s="899">
        <v>0.9</v>
      </c>
      <c r="H86" s="899">
        <v>1.0001</v>
      </c>
      <c r="I86" s="940"/>
      <c r="J86" s="940"/>
      <c r="K86" s="941"/>
      <c r="L86" s="942"/>
      <c r="M86" s="943"/>
      <c r="N86" s="810"/>
      <c r="O86" s="810"/>
      <c r="P86" s="811"/>
      <c r="Q86" s="843"/>
      <c r="R86" s="710"/>
      <c r="S86" s="710"/>
      <c r="T86" s="710"/>
      <c r="U86" s="710"/>
      <c r="V86" s="710"/>
      <c r="W86" s="710"/>
      <c r="X86" s="710"/>
      <c r="Y86" s="710"/>
      <c r="Z86" s="710"/>
      <c r="AA86" s="710"/>
      <c r="AB86" s="710"/>
      <c r="AC86" s="710"/>
    </row>
    <row r="87" ht="14.75" spans="1:29">
      <c r="A87" s="864"/>
      <c r="B87" s="869"/>
      <c r="C87" s="890">
        <v>100</v>
      </c>
      <c r="D87" s="874">
        <f>C87+$K$29</f>
        <v>100</v>
      </c>
      <c r="E87" s="874">
        <f t="shared" ref="E87:M87" si="19">D87+$K$29</f>
        <v>100</v>
      </c>
      <c r="F87" s="874">
        <f t="shared" si="19"/>
        <v>100</v>
      </c>
      <c r="G87" s="874">
        <f t="shared" si="19"/>
        <v>100</v>
      </c>
      <c r="H87" s="874">
        <f t="shared" si="19"/>
        <v>100</v>
      </c>
      <c r="I87" s="874">
        <f t="shared" si="19"/>
        <v>100</v>
      </c>
      <c r="J87" s="874">
        <f t="shared" si="19"/>
        <v>100</v>
      </c>
      <c r="K87" s="874">
        <f t="shared" si="19"/>
        <v>100</v>
      </c>
      <c r="L87" s="874">
        <f t="shared" si="19"/>
        <v>100</v>
      </c>
      <c r="M87" s="874">
        <f t="shared" si="19"/>
        <v>100</v>
      </c>
      <c r="N87" s="904"/>
      <c r="O87" s="904"/>
      <c r="P87" s="811"/>
      <c r="Q87" s="843"/>
      <c r="R87" s="710"/>
      <c r="S87" s="710"/>
      <c r="T87" s="710"/>
      <c r="U87" s="710"/>
      <c r="V87" s="710"/>
      <c r="W87" s="710"/>
      <c r="X87" s="710"/>
      <c r="Y87" s="710"/>
      <c r="Z87" s="710"/>
      <c r="AA87" s="710"/>
      <c r="AB87" s="710"/>
      <c r="AC87" s="710"/>
    </row>
    <row r="88" ht="14.75" spans="1:29">
      <c r="A88" s="898"/>
      <c r="B88" s="870" t="s">
        <v>1501</v>
      </c>
      <c r="C88" s="745"/>
      <c r="D88" s="745"/>
      <c r="E88" s="745"/>
      <c r="F88" s="745"/>
      <c r="G88" s="745"/>
      <c r="H88" s="745"/>
      <c r="I88" s="745"/>
      <c r="J88" s="745"/>
      <c r="K88" s="807"/>
      <c r="L88" s="808"/>
      <c r="M88" s="809"/>
      <c r="N88" s="810"/>
      <c r="O88" s="810"/>
      <c r="P88" s="811"/>
      <c r="Q88" s="843"/>
      <c r="R88" s="710"/>
      <c r="S88" s="710"/>
      <c r="T88" s="710"/>
      <c r="U88" s="710"/>
      <c r="V88" s="710"/>
      <c r="W88" s="710"/>
      <c r="X88" s="710"/>
      <c r="Y88" s="710"/>
      <c r="Z88" s="710"/>
      <c r="AA88" s="710"/>
      <c r="AB88" s="710"/>
      <c r="AC88" s="710"/>
    </row>
    <row r="89" ht="14.75" spans="1:29">
      <c r="A89" s="864"/>
      <c r="B89" s="869"/>
      <c r="C89" s="890">
        <v>100</v>
      </c>
      <c r="D89" s="874">
        <f t="shared" ref="D89:M89" si="20">C89+$K30</f>
        <v>100</v>
      </c>
      <c r="E89" s="874">
        <f t="shared" si="20"/>
        <v>100</v>
      </c>
      <c r="F89" s="874">
        <f t="shared" si="20"/>
        <v>100</v>
      </c>
      <c r="G89" s="874">
        <f t="shared" si="20"/>
        <v>100</v>
      </c>
      <c r="H89" s="874">
        <f t="shared" si="20"/>
        <v>100</v>
      </c>
      <c r="I89" s="874">
        <f t="shared" si="20"/>
        <v>100</v>
      </c>
      <c r="J89" s="874">
        <f t="shared" si="20"/>
        <v>100</v>
      </c>
      <c r="K89" s="874">
        <f t="shared" si="20"/>
        <v>100</v>
      </c>
      <c r="L89" s="874">
        <f t="shared" si="20"/>
        <v>100</v>
      </c>
      <c r="M89" s="874">
        <f t="shared" si="20"/>
        <v>100</v>
      </c>
      <c r="N89" s="904"/>
      <c r="O89" s="904"/>
      <c r="P89" s="811"/>
      <c r="Q89" s="843"/>
      <c r="R89" s="710"/>
      <c r="S89" s="710"/>
      <c r="T89" s="710"/>
      <c r="U89" s="710"/>
      <c r="V89" s="710"/>
      <c r="W89" s="710"/>
      <c r="X89" s="710"/>
      <c r="Y89" s="710"/>
      <c r="Z89" s="710"/>
      <c r="AA89" s="710"/>
      <c r="AB89" s="710"/>
      <c r="AC89" s="710"/>
    </row>
    <row r="90" s="570" customFormat="1" ht="14.75" spans="1:29">
      <c r="A90" s="895"/>
      <c r="B90" s="867" t="s">
        <v>1502</v>
      </c>
      <c r="C90" s="886" t="str">
        <f>C91&amp;"(含)"&amp;"-"&amp;D91</f>
        <v>(含)-</v>
      </c>
      <c r="D90" s="886" t="str">
        <f t="shared" ref="D90:L90" si="21">D91&amp;"(含)"&amp;"-"&amp;E91</f>
        <v>(含)-</v>
      </c>
      <c r="E90" s="886" t="str">
        <f t="shared" si="21"/>
        <v>(含)-</v>
      </c>
      <c r="F90" s="886" t="str">
        <f t="shared" si="21"/>
        <v>(含)-</v>
      </c>
      <c r="G90" s="886" t="str">
        <f t="shared" si="21"/>
        <v>(含)-</v>
      </c>
      <c r="H90" s="886" t="str">
        <f t="shared" si="21"/>
        <v>(含)-</v>
      </c>
      <c r="I90" s="886" t="str">
        <f t="shared" si="21"/>
        <v>(含)-</v>
      </c>
      <c r="J90" s="886" t="str">
        <f t="shared" si="21"/>
        <v>(含)-</v>
      </c>
      <c r="K90" s="886" t="str">
        <f t="shared" si="21"/>
        <v>(含)-</v>
      </c>
      <c r="L90" s="886" t="str">
        <f t="shared" si="21"/>
        <v>(含)-</v>
      </c>
      <c r="M90" s="936" t="str">
        <f>M91&amp;"(含)"&amp;"-"&amp;P91</f>
        <v>(含)-</v>
      </c>
      <c r="N90" s="914"/>
      <c r="O90" s="914"/>
      <c r="P90" s="915"/>
      <c r="Q90" s="947"/>
      <c r="R90" s="948"/>
      <c r="S90" s="948"/>
      <c r="T90" s="948"/>
      <c r="U90" s="948"/>
      <c r="V90" s="948"/>
      <c r="W90" s="948"/>
      <c r="X90" s="948"/>
      <c r="Y90" s="948"/>
      <c r="Z90" s="948"/>
      <c r="AA90" s="948"/>
      <c r="AB90" s="948"/>
      <c r="AC90" s="948"/>
    </row>
    <row r="91" s="570" customFormat="1" spans="1:29">
      <c r="A91" s="895"/>
      <c r="B91" s="870"/>
      <c r="C91" s="897"/>
      <c r="D91" s="897"/>
      <c r="E91" s="897"/>
      <c r="F91" s="897"/>
      <c r="G91" s="897"/>
      <c r="H91" s="897"/>
      <c r="I91" s="897"/>
      <c r="J91" s="937"/>
      <c r="K91" s="937"/>
      <c r="L91" s="938"/>
      <c r="M91" s="939"/>
      <c r="N91" s="914"/>
      <c r="O91" s="914"/>
      <c r="P91" s="915"/>
      <c r="Q91" s="947"/>
      <c r="R91" s="948"/>
      <c r="S91" s="948"/>
      <c r="T91" s="948"/>
      <c r="U91" s="948"/>
      <c r="V91" s="948"/>
      <c r="W91" s="948"/>
      <c r="X91" s="948"/>
      <c r="Y91" s="948"/>
      <c r="Z91" s="948"/>
      <c r="AA91" s="948"/>
      <c r="AB91" s="948"/>
      <c r="AC91" s="948"/>
    </row>
    <row r="92" s="570" customFormat="1" ht="14.75" spans="1:29">
      <c r="A92" s="875"/>
      <c r="B92" s="869"/>
      <c r="C92" s="878"/>
      <c r="D92" s="866"/>
      <c r="E92" s="866"/>
      <c r="F92" s="866"/>
      <c r="G92" s="866"/>
      <c r="H92" s="866"/>
      <c r="I92" s="866"/>
      <c r="J92" s="866"/>
      <c r="K92" s="866"/>
      <c r="L92" s="866"/>
      <c r="M92" s="903"/>
      <c r="N92" s="914"/>
      <c r="O92" s="914"/>
      <c r="P92" s="915"/>
      <c r="Q92" s="947"/>
      <c r="R92" s="948"/>
      <c r="S92" s="948"/>
      <c r="T92" s="948"/>
      <c r="U92" s="948"/>
      <c r="V92" s="948"/>
      <c r="W92" s="948"/>
      <c r="X92" s="948"/>
      <c r="Y92" s="948"/>
      <c r="Z92" s="948"/>
      <c r="AA92" s="948"/>
      <c r="AB92" s="948"/>
      <c r="AC92" s="948"/>
    </row>
    <row r="93" ht="14.75" spans="1:29">
      <c r="A93" s="898"/>
      <c r="B93" s="867" t="s">
        <v>1503</v>
      </c>
      <c r="C93" s="876"/>
      <c r="D93" s="876"/>
      <c r="E93" s="868"/>
      <c r="F93" s="868"/>
      <c r="G93" s="868"/>
      <c r="H93" s="868"/>
      <c r="I93" s="868"/>
      <c r="J93" s="868"/>
      <c r="K93" s="905"/>
      <c r="L93" s="906"/>
      <c r="M93" s="907"/>
      <c r="N93" s="810"/>
      <c r="O93" s="810"/>
      <c r="P93" s="811"/>
      <c r="Q93" s="843"/>
      <c r="R93" s="710"/>
      <c r="S93" s="710"/>
      <c r="T93" s="710"/>
      <c r="U93" s="710"/>
      <c r="V93" s="710"/>
      <c r="W93" s="710"/>
      <c r="X93" s="710"/>
      <c r="Y93" s="710"/>
      <c r="Z93" s="710"/>
      <c r="AA93" s="710"/>
      <c r="AB93" s="710"/>
      <c r="AC93" s="710"/>
    </row>
    <row r="94" ht="14.75" spans="1:29">
      <c r="A94" s="864"/>
      <c r="B94" s="869"/>
      <c r="C94" s="874">
        <v>100</v>
      </c>
      <c r="D94" s="874">
        <f t="shared" ref="D94:M94" si="22">C94-$K32</f>
        <v>100</v>
      </c>
      <c r="E94" s="874">
        <f t="shared" si="22"/>
        <v>100</v>
      </c>
      <c r="F94" s="874">
        <f t="shared" si="22"/>
        <v>100</v>
      </c>
      <c r="G94" s="874">
        <f t="shared" si="22"/>
        <v>100</v>
      </c>
      <c r="H94" s="874">
        <f t="shared" si="22"/>
        <v>100</v>
      </c>
      <c r="I94" s="874">
        <f t="shared" si="22"/>
        <v>100</v>
      </c>
      <c r="J94" s="874">
        <f t="shared" si="22"/>
        <v>100</v>
      </c>
      <c r="K94" s="874">
        <f t="shared" si="22"/>
        <v>100</v>
      </c>
      <c r="L94" s="874">
        <f t="shared" si="22"/>
        <v>100</v>
      </c>
      <c r="M94" s="911">
        <f t="shared" si="22"/>
        <v>100</v>
      </c>
      <c r="N94" s="904"/>
      <c r="O94" s="904"/>
      <c r="P94" s="811"/>
      <c r="Q94" s="843"/>
      <c r="R94" s="710"/>
      <c r="S94" s="710"/>
      <c r="T94" s="710"/>
      <c r="U94" s="710"/>
      <c r="V94" s="710"/>
      <c r="W94" s="710"/>
      <c r="X94" s="710"/>
      <c r="Y94" s="710"/>
      <c r="Z94" s="710"/>
      <c r="AA94" s="710"/>
      <c r="AB94" s="710"/>
      <c r="AC94" s="710"/>
    </row>
    <row r="95" ht="14.75" spans="1:29">
      <c r="A95" s="898"/>
      <c r="B95" s="867" t="s">
        <v>1504</v>
      </c>
      <c r="C95" s="745"/>
      <c r="D95" s="745"/>
      <c r="E95" s="745"/>
      <c r="F95" s="745"/>
      <c r="G95" s="745"/>
      <c r="H95" s="745"/>
      <c r="I95" s="745"/>
      <c r="J95" s="745"/>
      <c r="K95" s="807"/>
      <c r="L95" s="808"/>
      <c r="M95" s="809"/>
      <c r="N95" s="810"/>
      <c r="O95" s="810"/>
      <c r="P95" s="811"/>
      <c r="Q95" s="843"/>
      <c r="R95" s="710"/>
      <c r="S95" s="710"/>
      <c r="T95" s="710"/>
      <c r="U95" s="710"/>
      <c r="V95" s="710"/>
      <c r="W95" s="710"/>
      <c r="X95" s="710"/>
      <c r="Y95" s="710"/>
      <c r="Z95" s="710"/>
      <c r="AA95" s="710"/>
      <c r="AB95" s="710"/>
      <c r="AC95" s="710"/>
    </row>
    <row r="96" ht="14.75" spans="1:29">
      <c r="A96" s="864"/>
      <c r="B96" s="869"/>
      <c r="C96" s="874">
        <v>100</v>
      </c>
      <c r="D96" s="874">
        <f>C96-$K33</f>
        <v>100</v>
      </c>
      <c r="E96" s="874">
        <f>D96-$K33</f>
        <v>100</v>
      </c>
      <c r="F96" s="874">
        <f>E96-$K33</f>
        <v>100</v>
      </c>
      <c r="G96" s="874">
        <f>F96-$K33</f>
        <v>100</v>
      </c>
      <c r="H96" s="874"/>
      <c r="I96" s="874"/>
      <c r="J96" s="874"/>
      <c r="K96" s="874"/>
      <c r="L96" s="874"/>
      <c r="M96" s="911"/>
      <c r="N96" s="904"/>
      <c r="O96" s="904"/>
      <c r="P96" s="811"/>
      <c r="Q96" s="843"/>
      <c r="R96" s="710"/>
      <c r="S96" s="710"/>
      <c r="T96" s="710"/>
      <c r="U96" s="710"/>
      <c r="V96" s="710"/>
      <c r="W96" s="710"/>
      <c r="X96" s="710"/>
      <c r="Y96" s="710"/>
      <c r="Z96" s="710"/>
      <c r="AA96" s="710"/>
      <c r="AB96" s="710"/>
      <c r="AC96" s="710"/>
    </row>
    <row r="97" ht="14.75" spans="1:29">
      <c r="A97" s="898"/>
      <c r="B97" s="900">
        <f>B34</f>
        <v>111</v>
      </c>
      <c r="C97" s="873"/>
      <c r="D97" s="873"/>
      <c r="E97" s="873"/>
      <c r="F97" s="873"/>
      <c r="G97" s="876"/>
      <c r="H97" s="877"/>
      <c r="I97" s="877"/>
      <c r="J97" s="877"/>
      <c r="K97" s="877"/>
      <c r="L97" s="912"/>
      <c r="M97" s="913"/>
      <c r="N97" s="904"/>
      <c r="O97" s="904"/>
      <c r="P97" s="946"/>
      <c r="Q97" s="950"/>
      <c r="R97" s="710"/>
      <c r="S97" s="710"/>
      <c r="T97" s="710"/>
      <c r="U97" s="710"/>
      <c r="V97" s="710"/>
      <c r="W97" s="710"/>
      <c r="X97" s="710"/>
      <c r="Y97" s="710"/>
      <c r="Z97" s="710"/>
      <c r="AA97" s="710"/>
      <c r="AB97" s="710"/>
      <c r="AC97" s="710"/>
    </row>
    <row r="98" ht="14.75" spans="1:29">
      <c r="A98" s="864"/>
      <c r="B98" s="869"/>
      <c r="C98" s="878"/>
      <c r="D98" s="866"/>
      <c r="E98" s="866"/>
      <c r="F98" s="866"/>
      <c r="G98" s="878"/>
      <c r="H98" s="879"/>
      <c r="I98" s="879"/>
      <c r="J98" s="879"/>
      <c r="K98" s="879"/>
      <c r="L98" s="879"/>
      <c r="M98" s="917"/>
      <c r="N98" s="904"/>
      <c r="O98" s="904"/>
      <c r="P98" s="811"/>
      <c r="Q98" s="843"/>
      <c r="R98" s="710"/>
      <c r="S98" s="710"/>
      <c r="T98" s="710"/>
      <c r="U98" s="710"/>
      <c r="V98" s="710"/>
      <c r="W98" s="710"/>
      <c r="X98" s="710"/>
      <c r="Y98" s="710"/>
      <c r="Z98" s="710"/>
      <c r="AA98" s="710"/>
      <c r="AB98" s="710"/>
      <c r="AC98" s="710"/>
    </row>
    <row r="99" s="570" customFormat="1" ht="14.75" spans="1:29">
      <c r="A99" s="895"/>
      <c r="B99" s="867">
        <f>B35</f>
        <v>111</v>
      </c>
      <c r="C99" s="873"/>
      <c r="D99" s="873"/>
      <c r="E99" s="873"/>
      <c r="F99" s="873"/>
      <c r="G99" s="876"/>
      <c r="H99" s="877"/>
      <c r="I99" s="877"/>
      <c r="J99" s="877"/>
      <c r="K99" s="877"/>
      <c r="L99" s="912"/>
      <c r="M99" s="913"/>
      <c r="N99" s="914"/>
      <c r="O99" s="914"/>
      <c r="P99" s="915"/>
      <c r="Q99" s="947"/>
      <c r="R99" s="948"/>
      <c r="S99" s="948"/>
      <c r="T99" s="948"/>
      <c r="U99" s="948"/>
      <c r="V99" s="948"/>
      <c r="W99" s="948"/>
      <c r="X99" s="948"/>
      <c r="Y99" s="948"/>
      <c r="Z99" s="948"/>
      <c r="AA99" s="948"/>
      <c r="AB99" s="948"/>
      <c r="AC99" s="948"/>
    </row>
    <row r="100" s="570" customFormat="1" ht="14.75" spans="1:29">
      <c r="A100" s="875"/>
      <c r="B100" s="865"/>
      <c r="C100" s="878"/>
      <c r="D100" s="866"/>
      <c r="E100" s="866"/>
      <c r="F100" s="866"/>
      <c r="G100" s="878"/>
      <c r="H100" s="879"/>
      <c r="I100" s="879"/>
      <c r="J100" s="879"/>
      <c r="K100" s="879"/>
      <c r="L100" s="879"/>
      <c r="M100" s="917"/>
      <c r="N100" s="914"/>
      <c r="O100" s="914"/>
      <c r="P100" s="915"/>
      <c r="Q100" s="947"/>
      <c r="R100" s="948"/>
      <c r="S100" s="948"/>
      <c r="T100" s="948"/>
      <c r="U100" s="948"/>
      <c r="V100" s="948"/>
      <c r="W100" s="948"/>
      <c r="X100" s="948"/>
      <c r="Y100" s="948"/>
      <c r="Z100" s="948"/>
      <c r="AA100" s="948"/>
      <c r="AB100" s="948"/>
      <c r="AC100" s="948"/>
    </row>
    <row r="101" ht="14.75" spans="1:29">
      <c r="A101" s="898"/>
      <c r="B101" s="867">
        <f>B36</f>
        <v>111</v>
      </c>
      <c r="C101" s="876"/>
      <c r="D101" s="876"/>
      <c r="E101" s="876"/>
      <c r="F101" s="876"/>
      <c r="G101" s="876"/>
      <c r="H101" s="877"/>
      <c r="I101" s="877"/>
      <c r="J101" s="877"/>
      <c r="K101" s="877"/>
      <c r="L101" s="912"/>
      <c r="M101" s="913"/>
      <c r="N101" s="810"/>
      <c r="O101" s="810"/>
      <c r="P101" s="811"/>
      <c r="Q101" s="843"/>
      <c r="R101" s="710"/>
      <c r="S101" s="710"/>
      <c r="T101" s="710"/>
      <c r="U101" s="710"/>
      <c r="V101" s="710"/>
      <c r="W101" s="710"/>
      <c r="X101" s="710"/>
      <c r="Y101" s="710"/>
      <c r="Z101" s="710"/>
      <c r="AA101" s="710"/>
      <c r="AB101" s="710"/>
      <c r="AC101" s="710"/>
    </row>
    <row r="102" ht="14.75" spans="1:29">
      <c r="A102" s="864"/>
      <c r="B102" s="869"/>
      <c r="C102" s="878"/>
      <c r="D102" s="878"/>
      <c r="E102" s="878"/>
      <c r="F102" s="878"/>
      <c r="G102" s="878"/>
      <c r="H102" s="879"/>
      <c r="I102" s="879"/>
      <c r="J102" s="879"/>
      <c r="K102" s="879"/>
      <c r="L102" s="879"/>
      <c r="M102" s="917"/>
      <c r="N102" s="904"/>
      <c r="O102" s="904"/>
      <c r="P102" s="811"/>
      <c r="Q102" s="843"/>
      <c r="R102" s="710"/>
      <c r="S102" s="710"/>
      <c r="T102" s="710"/>
      <c r="U102" s="710"/>
      <c r="V102" s="710"/>
      <c r="W102" s="710"/>
      <c r="X102" s="710"/>
      <c r="Y102" s="710"/>
      <c r="Z102" s="710"/>
      <c r="AA102" s="710"/>
      <c r="AB102" s="710"/>
      <c r="AC102" s="710"/>
    </row>
    <row r="103" ht="14.75" spans="14:29">
      <c r="N103" s="710"/>
      <c r="O103" s="710"/>
      <c r="P103" s="789"/>
      <c r="Q103" s="710"/>
      <c r="R103" s="710"/>
      <c r="S103" s="710"/>
      <c r="T103" s="710"/>
      <c r="U103" s="710"/>
      <c r="V103" s="710"/>
      <c r="W103" s="710"/>
      <c r="X103" s="710"/>
      <c r="Y103" s="710"/>
      <c r="Z103" s="710"/>
      <c r="AA103" s="710"/>
      <c r="AB103" s="710"/>
      <c r="AC103" s="71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1352" customWidth="1"/>
    <col min="2" max="16384" width="9" style="1352"/>
  </cols>
  <sheetData>
    <row r="1" ht="23" spans="1:1">
      <c r="A1" s="3676" t="s">
        <v>82</v>
      </c>
    </row>
    <row r="2" spans="1:1">
      <c r="A2" s="3677"/>
    </row>
    <row r="3" ht="18" spans="1:1">
      <c r="A3" s="3678" t="str">
        <f>项目基本情况!B5&amp;"："</f>
        <v>：</v>
      </c>
    </row>
    <row r="4" ht="17.5" spans="1:1">
      <c r="A4" s="3679" t="str">
        <f>"受贵公司委托，我公司对"&amp;项目基本情况!S1&amp;"进行了预评估。"</f>
        <v>受贵公司委托，我公司对房地产抵押价值进行了预评估。</v>
      </c>
    </row>
    <row r="5" ht="17.5" spans="1:1">
      <c r="A5" s="3680" t="s">
        <v>83</v>
      </c>
    </row>
    <row r="6" ht="17.5" spans="1:1">
      <c r="A6" s="3681" t="s">
        <v>84</v>
      </c>
    </row>
    <row r="7" ht="35" spans="1:1">
      <c r="A7" s="36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估价对象为房地产，为所有。根据《国有土地使用证》[]，估价对象（分摊）出让国有建设用地使用权面积为0平方米，建筑面积为3013平方米。</v>
      </c>
    </row>
    <row r="8" ht="52.5" spans="1:1">
      <c r="A8" s="3682" t="s">
        <v>85</v>
      </c>
    </row>
    <row r="9" ht="17.5" spans="1:1">
      <c r="A9" s="3681" t="s">
        <v>86</v>
      </c>
    </row>
    <row r="10" ht="52.5" spans="1:1">
      <c r="A10" s="36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估价对象为房地产,属开发建设的商业项目，该项目尚在开发建设中。根据《国有土地使用证》[]，估价对象（分摊）出让国有建设用地使用权面积为0平方米，规划建筑面积为3013平方米。</v>
      </c>
    </row>
    <row r="11" ht="70" spans="1:1">
      <c r="A11" s="3682" t="s">
        <v>87</v>
      </c>
    </row>
    <row r="12" ht="17.5" spans="1:1">
      <c r="A12" s="3680" t="s">
        <v>88</v>
      </c>
    </row>
    <row r="13" ht="38.25" customHeight="1" spans="1:1">
      <c r="A13" s="3683"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ht="17.5" spans="1:1">
      <c r="A14" s="3684" t="s">
        <v>89</v>
      </c>
    </row>
    <row r="15" ht="17.5" spans="1:1">
      <c r="A15" s="3685" t="str">
        <f>TEXT(项目基本情况!D3,"yyyy年m月d日;;")&amp;IF(项目基本情况!D3=项目基本情况!B3,"（评估专业人员实地查勘之日）","")</f>
        <v>2024年9月3日</v>
      </c>
    </row>
    <row r="16" ht="17.5" spans="1:1">
      <c r="A16" s="3684" t="s">
        <v>90</v>
      </c>
    </row>
    <row r="17" ht="70" spans="1:1">
      <c r="A17" s="3679" t="s">
        <v>91</v>
      </c>
    </row>
    <row r="18" ht="70" spans="1:1">
      <c r="A18" s="36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3日，估价对象规划用途为，土地取得方式为出让，出让国有建设用地使用权剩余土地使用年限为，假定未设立法定优先受偿款下的房地产市场价值。</v>
      </c>
    </row>
    <row r="19" ht="157.5" customHeight="1" spans="1:1">
      <c r="A19" s="36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7.5" spans="1:1">
      <c r="A22" s="3679" t="str">
        <f>IF(项目基本情况!B9="房地产市场价值","——",IF(项目基本情况!E9="——","",定义!C57))</f>
        <v/>
      </c>
    </row>
    <row r="23" ht="17.5" spans="1:1">
      <c r="A23" s="3684" t="s">
        <v>92</v>
      </c>
    </row>
    <row r="24" ht="17.5" spans="1:1">
      <c r="A24" s="3633" t="str">
        <f>"本次评估采用的主估价方法为"&amp;结果表!K4&amp;"和"&amp;结果表!L4&amp;"。"</f>
        <v>本次评估采用的主估价方法为比较法和收益法。</v>
      </c>
    </row>
    <row r="25" ht="17.5" spans="1:1">
      <c r="A25" s="3633"/>
    </row>
    <row r="26" ht="17.5" spans="1:1">
      <c r="A26" s="3686" t="s">
        <v>93</v>
      </c>
    </row>
    <row r="27" spans="1:1">
      <c r="A27" s="2063"/>
    </row>
    <row r="28" spans="1:1">
      <c r="A28" s="2063"/>
    </row>
    <row r="29" spans="1:1">
      <c r="A29" s="2063"/>
    </row>
    <row r="30" spans="1:1">
      <c r="A30" s="2063"/>
    </row>
    <row r="31" spans="1:1">
      <c r="A31" s="2063"/>
    </row>
    <row r="32" spans="1:1">
      <c r="A32" s="2063"/>
    </row>
    <row r="33" spans="1:1">
      <c r="A33" s="2063"/>
    </row>
    <row r="34" spans="1:1">
      <c r="A34" s="2063"/>
    </row>
    <row r="35" spans="1:1">
      <c r="A35" s="2063"/>
    </row>
    <row r="36" spans="1:1">
      <c r="A36" s="2063"/>
    </row>
    <row r="37" spans="1:1">
      <c r="A37" s="2063"/>
    </row>
    <row r="38" spans="1:1">
      <c r="A38" s="2063"/>
    </row>
    <row r="39" spans="1:1">
      <c r="A39" s="2063"/>
    </row>
    <row r="40" spans="1:1">
      <c r="A40" s="2063"/>
    </row>
    <row r="41" spans="1:1">
      <c r="A41" s="2063"/>
    </row>
    <row r="42" spans="1:1">
      <c r="A42" s="2063"/>
    </row>
    <row r="43" spans="1:1">
      <c r="A43" s="2063"/>
    </row>
    <row r="44" spans="1:1">
      <c r="A44" s="2063"/>
    </row>
    <row r="45" spans="1:1">
      <c r="A45" s="2063"/>
    </row>
    <row r="46" spans="1:1">
      <c r="A46" s="2063"/>
    </row>
    <row r="47" spans="1:1">
      <c r="A47" s="2063"/>
    </row>
    <row r="48" spans="1:1">
      <c r="A48" s="206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20" sqref="F20"/>
    </sheetView>
  </sheetViews>
  <sheetFormatPr defaultColWidth="9" defaultRowHeight="14"/>
  <cols>
    <col min="1" max="1" width="10.5" style="573" customWidth="1"/>
    <col min="2" max="2" width="15.7545454545455" style="573" customWidth="1"/>
    <col min="3" max="3" width="14.3727272727273" style="573" customWidth="1"/>
    <col min="4" max="4" width="12.2545454545455" style="573" customWidth="1"/>
    <col min="5" max="5" width="14.3727272727273" style="573" customWidth="1"/>
    <col min="6" max="6" width="12.2545454545455" style="573" customWidth="1"/>
    <col min="7" max="7" width="14.5" style="573" customWidth="1"/>
    <col min="8" max="8" width="12.2545454545455" style="573" customWidth="1"/>
    <col min="9" max="9" width="14.5" style="573" customWidth="1"/>
    <col min="10" max="10" width="12.2545454545455" style="573" customWidth="1"/>
    <col min="11" max="11" width="12.2545454545455" style="574" customWidth="1"/>
    <col min="12" max="12" width="12.2545454545455" style="575" customWidth="1"/>
    <col min="13" max="15" width="12.2545454545455" style="573" customWidth="1"/>
    <col min="16" max="16" width="4.75454545454545" style="573" customWidth="1"/>
    <col min="17" max="17" width="19.5" style="573" customWidth="1"/>
    <col min="18" max="22" width="6.12727272727273" style="573" customWidth="1"/>
    <col min="23" max="23" width="5.75454545454545" style="573" customWidth="1"/>
    <col min="24" max="24" width="4.25454545454545" style="573" customWidth="1"/>
    <col min="25" max="25" width="3.5" style="573" customWidth="1"/>
    <col min="26" max="26" width="19.7545454545455" style="573" customWidth="1"/>
    <col min="27" max="28" width="9.37272727272727" style="573" customWidth="1"/>
    <col min="29" max="16384" width="9" style="573"/>
  </cols>
  <sheetData>
    <row r="1" s="566" customFormat="1" ht="28.5" customHeight="1" spans="1:29">
      <c r="A1" s="577" t="s">
        <v>1495</v>
      </c>
      <c r="B1" s="1855" t="s">
        <v>1509</v>
      </c>
      <c r="C1" s="579" t="s">
        <v>1154</v>
      </c>
      <c r="D1" s="580"/>
      <c r="E1" s="581"/>
      <c r="F1" s="582"/>
      <c r="G1" s="583" t="s">
        <v>1157</v>
      </c>
      <c r="H1" s="584"/>
      <c r="I1" s="584"/>
      <c r="J1" s="584"/>
      <c r="K1" s="746"/>
      <c r="L1" s="747"/>
      <c r="M1" s="748"/>
      <c r="N1" s="748"/>
      <c r="O1" s="748"/>
      <c r="P1" s="579"/>
      <c r="Q1" s="579"/>
      <c r="R1" s="579"/>
      <c r="S1" s="579"/>
      <c r="T1" s="579"/>
      <c r="U1" s="579"/>
      <c r="V1" s="579"/>
      <c r="W1" s="579"/>
      <c r="X1" s="579"/>
      <c r="Y1" s="579"/>
      <c r="Z1" s="579"/>
      <c r="AA1" s="579"/>
      <c r="AB1" s="579"/>
      <c r="AC1" s="846"/>
    </row>
    <row r="2" s="567" customFormat="1" ht="28.5" customHeight="1" spans="1:29">
      <c r="A2" s="585" t="s">
        <v>995</v>
      </c>
      <c r="B2" s="586" t="b">
        <f ca="1">IF(E1="项目模式",IF(C2="——",ROUND(C37*D3/10000,0),ROUND(C37*D3/10000,0)-D2),IF(E1="单套模式",IF(C2="——",ROUND(C37*D3/10000,4),ROUND(C37*D3/10000,4)-D2)))</f>
        <v>0</v>
      </c>
      <c r="C2" s="587"/>
      <c r="D2" s="1821" t="e">
        <f ca="1">IF(E1="项目模式",SUMIF(INDIRECT("'"&amp;F2&amp;"'"&amp;"!A:A"),"承租人权益价值",INDIRECT("'"&amp;F2&amp;"'"&amp;"!c:c")),SUMIF(INDIRECT("'"&amp;F2&amp;"'"&amp;"!A:A"),"承租人权益价值（单套）",INDIRECT("'"&amp;F2&amp;"'"&amp;"!c:c")))</f>
        <v>#REF!</v>
      </c>
      <c r="E2" s="589" t="s">
        <v>996</v>
      </c>
      <c r="F2" s="590"/>
      <c r="G2" s="591"/>
      <c r="H2" s="591"/>
      <c r="I2" s="591"/>
      <c r="J2" s="591"/>
      <c r="K2" s="752"/>
      <c r="L2" s="749"/>
      <c r="M2" s="750"/>
      <c r="N2" s="750"/>
      <c r="O2" s="750"/>
      <c r="P2" s="751"/>
      <c r="Q2" s="751"/>
      <c r="R2" s="751"/>
      <c r="S2" s="751"/>
      <c r="T2" s="751"/>
      <c r="U2" s="751"/>
      <c r="V2" s="751"/>
      <c r="W2" s="751"/>
      <c r="X2" s="751"/>
      <c r="Y2" s="751"/>
      <c r="Z2" s="751"/>
      <c r="AA2" s="751"/>
      <c r="AB2" s="751"/>
      <c r="AC2" s="847"/>
    </row>
    <row r="3" s="567" customFormat="1" ht="28.5" customHeight="1" spans="1:29">
      <c r="A3" s="396" t="s">
        <v>997</v>
      </c>
      <c r="B3" s="592" t="e">
        <f ca="1">IF(C2="——",C37,ROUND(B2*10000/D3,0))</f>
        <v>#DIV/0!</v>
      </c>
      <c r="C3" s="593" t="s">
        <v>1158</v>
      </c>
      <c r="D3" s="594">
        <f>SUMIF('数据-汇总表'!$C19:$C33,D1,'数据-汇总表'!$E19:$E33)</f>
        <v>0</v>
      </c>
      <c r="E3" s="591"/>
      <c r="F3" s="596"/>
      <c r="G3" s="591"/>
      <c r="H3" s="591"/>
      <c r="I3" s="591"/>
      <c r="J3" s="591"/>
      <c r="K3" s="752"/>
      <c r="L3" s="749"/>
      <c r="M3" s="750"/>
      <c r="N3" s="750"/>
      <c r="O3" s="750"/>
      <c r="P3" s="751"/>
      <c r="Q3" s="751"/>
      <c r="R3" s="751"/>
      <c r="S3" s="751"/>
      <c r="T3" s="751"/>
      <c r="U3" s="751"/>
      <c r="V3" s="751"/>
      <c r="W3" s="751"/>
      <c r="X3" s="751"/>
      <c r="Y3" s="751"/>
      <c r="Z3" s="751"/>
      <c r="AA3" s="751"/>
      <c r="AB3" s="1600"/>
      <c r="AC3" s="1601"/>
    </row>
    <row r="4" spans="1:29">
      <c r="A4" s="597" t="s">
        <v>1159</v>
      </c>
      <c r="B4" s="598"/>
      <c r="C4" s="599" t="s">
        <v>1160</v>
      </c>
      <c r="D4" s="600"/>
      <c r="E4" s="601" t="s">
        <v>1161</v>
      </c>
      <c r="F4" s="602"/>
      <c r="G4" s="599" t="s">
        <v>1162</v>
      </c>
      <c r="H4" s="600"/>
      <c r="I4" s="599" t="s">
        <v>1163</v>
      </c>
      <c r="J4" s="600"/>
      <c r="K4" s="753" t="s">
        <v>1164</v>
      </c>
      <c r="L4" s="754"/>
      <c r="M4" s="755"/>
      <c r="N4" s="755"/>
      <c r="O4" s="755"/>
      <c r="P4" s="1575" t="s">
        <v>1165</v>
      </c>
      <c r="Q4" s="1594"/>
      <c r="R4" s="1595" t="s">
        <v>1161</v>
      </c>
      <c r="S4" s="1596"/>
      <c r="T4" s="1595" t="s">
        <v>1162</v>
      </c>
      <c r="U4" s="1596"/>
      <c r="V4" s="820" t="s">
        <v>1163</v>
      </c>
      <c r="W4" s="820"/>
      <c r="X4" s="821"/>
      <c r="Y4" s="1595" t="s">
        <v>1165</v>
      </c>
      <c r="Z4" s="1596"/>
      <c r="AA4" s="1602" t="s">
        <v>1161</v>
      </c>
      <c r="AB4" s="821" t="s">
        <v>1162</v>
      </c>
      <c r="AC4" s="1602" t="s">
        <v>1163</v>
      </c>
    </row>
    <row r="5" spans="1:29">
      <c r="A5" s="603"/>
      <c r="B5" s="604"/>
      <c r="C5" s="605" t="s">
        <v>1166</v>
      </c>
      <c r="D5" s="606"/>
      <c r="E5" s="609" t="s">
        <v>1453</v>
      </c>
      <c r="F5" s="608"/>
      <c r="G5" s="605" t="s">
        <v>1454</v>
      </c>
      <c r="H5" s="606"/>
      <c r="I5" s="605" t="s">
        <v>1455</v>
      </c>
      <c r="J5" s="606"/>
      <c r="K5" s="753"/>
      <c r="L5" s="754"/>
      <c r="M5" s="755"/>
      <c r="N5" s="755"/>
      <c r="O5" s="755"/>
      <c r="P5" s="1576"/>
      <c r="Q5" s="817"/>
      <c r="R5" s="818"/>
      <c r="S5" s="819"/>
      <c r="T5" s="818"/>
      <c r="U5" s="819"/>
      <c r="V5" s="820"/>
      <c r="W5" s="820"/>
      <c r="X5" s="821"/>
      <c r="Y5" s="818"/>
      <c r="Z5" s="819"/>
      <c r="AA5" s="821"/>
      <c r="AB5" s="821"/>
      <c r="AC5" s="821"/>
    </row>
    <row r="6" ht="14.75" spans="1:29">
      <c r="A6" s="610"/>
      <c r="B6" s="611"/>
      <c r="C6" s="612" t="s">
        <v>1170</v>
      </c>
      <c r="D6" s="613"/>
      <c r="E6" s="614" t="s">
        <v>1170</v>
      </c>
      <c r="F6" s="615"/>
      <c r="G6" s="612" t="s">
        <v>1170</v>
      </c>
      <c r="H6" s="613"/>
      <c r="I6" s="612" t="s">
        <v>1170</v>
      </c>
      <c r="J6" s="613"/>
      <c r="K6" s="753" t="s">
        <v>1171</v>
      </c>
      <c r="L6" s="754"/>
      <c r="M6" s="755"/>
      <c r="N6" s="755"/>
      <c r="O6" s="755"/>
      <c r="P6" s="1577"/>
      <c r="Q6" s="822"/>
      <c r="R6" s="818"/>
      <c r="S6" s="819"/>
      <c r="T6" s="823"/>
      <c r="U6" s="824"/>
      <c r="V6" s="820"/>
      <c r="W6" s="820"/>
      <c r="X6" s="821"/>
      <c r="Y6" s="823"/>
      <c r="Z6" s="824"/>
      <c r="AA6" s="850"/>
      <c r="AB6" s="850"/>
      <c r="AC6" s="850"/>
    </row>
    <row r="7" s="568" customFormat="1" ht="14.75" spans="1:29">
      <c r="A7" s="616" t="s">
        <v>1172</v>
      </c>
      <c r="B7" s="617"/>
      <c r="C7" s="618">
        <f>'数据-取费表'!B2</f>
        <v>45538</v>
      </c>
      <c r="D7" s="619">
        <v>100</v>
      </c>
      <c r="E7" s="620"/>
      <c r="F7" s="621">
        <f>SUMIF(46:46,YEAR(E7)&amp;"-"&amp;MONTH(E7),47:47)</f>
        <v>0</v>
      </c>
      <c r="G7" s="1506"/>
      <c r="H7" s="619">
        <f>SUMIF(46:46,YEAR(G7)&amp;"-"&amp;MONTH(G7),47:47)</f>
        <v>0</v>
      </c>
      <c r="I7" s="620"/>
      <c r="J7" s="619">
        <f>SUMIF(46:46,YEAR(I7)&amp;"-"&amp;MONTH(I7),47:47)</f>
        <v>0</v>
      </c>
      <c r="K7" s="759"/>
      <c r="L7" s="760"/>
      <c r="M7" s="761"/>
      <c r="N7" s="761"/>
      <c r="O7" s="761"/>
      <c r="P7" s="852" t="s">
        <v>1173</v>
      </c>
      <c r="Q7" s="825"/>
      <c r="R7" s="826" t="s">
        <v>1174</v>
      </c>
      <c r="S7" s="827">
        <f t="shared" ref="S7:S14" si="0">F7</f>
        <v>0</v>
      </c>
      <c r="T7" s="826" t="s">
        <v>1174</v>
      </c>
      <c r="U7" s="827">
        <f t="shared" ref="U7:U14" si="1">H7</f>
        <v>0</v>
      </c>
      <c r="V7" s="826" t="s">
        <v>1174</v>
      </c>
      <c r="W7" s="827">
        <f t="shared" ref="W7:W14" si="2">J7</f>
        <v>0</v>
      </c>
      <c r="X7" s="828"/>
      <c r="Y7" s="852" t="s">
        <v>1173</v>
      </c>
      <c r="Z7" s="829"/>
      <c r="AA7" s="853" t="e">
        <f>D7/F7</f>
        <v>#DIV/0!</v>
      </c>
      <c r="AB7" s="853" t="e">
        <f>D7/H7</f>
        <v>#DIV/0!</v>
      </c>
      <c r="AC7" s="853" t="e">
        <f>D7/J7</f>
        <v>#DIV/0!</v>
      </c>
    </row>
    <row r="8" s="568" customFormat="1" ht="14.75" spans="1:29">
      <c r="A8" s="616" t="s">
        <v>1175</v>
      </c>
      <c r="B8" s="617"/>
      <c r="C8" s="622"/>
      <c r="D8" s="619">
        <v>100</v>
      </c>
      <c r="E8" s="622"/>
      <c r="F8" s="621">
        <f>SUMIF(49:49,E8,50:50)-SUMIF(49:49,C8,50:50)+100</f>
        <v>100</v>
      </c>
      <c r="G8" s="622"/>
      <c r="H8" s="619">
        <f>SUMIF(49:49,G8,50:50)-SUMIF(49:49,C8,50:50)+100</f>
        <v>100</v>
      </c>
      <c r="I8" s="622"/>
      <c r="J8" s="619">
        <f>SUMIF(49:49,I8,50:50)-SUMIF(49:49,C8,50:50)+100</f>
        <v>100</v>
      </c>
      <c r="K8" s="759"/>
      <c r="L8" s="760"/>
      <c r="M8" s="761"/>
      <c r="N8" s="761"/>
      <c r="O8" s="761"/>
      <c r="P8" s="852" t="s">
        <v>1177</v>
      </c>
      <c r="Q8" s="829"/>
      <c r="R8" s="826" t="s">
        <v>1174</v>
      </c>
      <c r="S8" s="827">
        <f t="shared" si="0"/>
        <v>100</v>
      </c>
      <c r="T8" s="826" t="s">
        <v>1174</v>
      </c>
      <c r="U8" s="827">
        <f t="shared" si="1"/>
        <v>100</v>
      </c>
      <c r="V8" s="826" t="s">
        <v>1174</v>
      </c>
      <c r="W8" s="827">
        <f t="shared" si="2"/>
        <v>100</v>
      </c>
      <c r="X8" s="828"/>
      <c r="Y8" s="852" t="s">
        <v>1177</v>
      </c>
      <c r="Z8" s="829"/>
      <c r="AA8" s="853">
        <f t="shared" ref="AA8:AA34" si="3">D8/F8</f>
        <v>1</v>
      </c>
      <c r="AB8" s="853">
        <f t="shared" ref="AB8:AB34" si="4">D8/H8</f>
        <v>1</v>
      </c>
      <c r="AC8" s="853">
        <f t="shared" ref="AC8:AC34" si="5">D8/J8</f>
        <v>1</v>
      </c>
    </row>
    <row r="9" s="568" customFormat="1" spans="1:29">
      <c r="A9" s="623" t="s">
        <v>1178</v>
      </c>
      <c r="B9" s="624" t="s">
        <v>1179</v>
      </c>
      <c r="C9" s="1856"/>
      <c r="D9" s="626">
        <v>100</v>
      </c>
      <c r="E9" s="627"/>
      <c r="F9" s="1857">
        <f>SUMIF(51:51,E9,52:52)-SUMIF(51:51,C9,52:52)+100</f>
        <v>100</v>
      </c>
      <c r="G9" s="627"/>
      <c r="H9" s="626">
        <f>SUMIF(51:51,G9,52:52)-SUMIF(51:51,C9,52:52)+100</f>
        <v>100</v>
      </c>
      <c r="I9" s="627"/>
      <c r="J9" s="626">
        <f>SUMIF(51:51,I9,52:52)-SUMIF(51:51,C9,52:52)+100</f>
        <v>100</v>
      </c>
      <c r="K9" s="759"/>
      <c r="L9" s="760"/>
      <c r="M9" s="761"/>
      <c r="N9" s="761"/>
      <c r="O9" s="1578"/>
      <c r="P9" s="831" t="s">
        <v>1182</v>
      </c>
      <c r="Q9" s="830" t="str">
        <f t="shared" ref="Q9:Q14" si="6">B9</f>
        <v>用途</v>
      </c>
      <c r="R9" s="826" t="s">
        <v>1174</v>
      </c>
      <c r="S9" s="827">
        <f t="shared" si="0"/>
        <v>100</v>
      </c>
      <c r="T9" s="826" t="s">
        <v>1174</v>
      </c>
      <c r="U9" s="827">
        <f t="shared" si="1"/>
        <v>100</v>
      </c>
      <c r="V9" s="826" t="s">
        <v>1174</v>
      </c>
      <c r="W9" s="827">
        <f t="shared" si="2"/>
        <v>100</v>
      </c>
      <c r="X9" s="828"/>
      <c r="Y9" s="830" t="s">
        <v>1183</v>
      </c>
      <c r="Z9" s="855" t="str">
        <f t="shared" ref="Z9:Z14" si="7">Q9</f>
        <v>用途</v>
      </c>
      <c r="AA9" s="853">
        <f t="shared" si="3"/>
        <v>1</v>
      </c>
      <c r="AB9" s="853">
        <f t="shared" si="4"/>
        <v>1</v>
      </c>
      <c r="AC9" s="853">
        <f t="shared" si="5"/>
        <v>1</v>
      </c>
    </row>
    <row r="10" s="569" customFormat="1" ht="28" spans="1:29">
      <c r="A10" s="629"/>
      <c r="B10" s="630" t="s">
        <v>1184</v>
      </c>
      <c r="C10" s="631"/>
      <c r="D10" s="632">
        <v>100</v>
      </c>
      <c r="E10" s="631"/>
      <c r="F10" s="684">
        <f>SUMIF(53:53,E10,54:54)-SUMIF(53:53,C10,54:54)+100</f>
        <v>100</v>
      </c>
      <c r="G10" s="631"/>
      <c r="H10" s="632">
        <f>SUMIF(53:53,G10,54:54)-SUMIF(53:53,C10,54:54)+100</f>
        <v>100</v>
      </c>
      <c r="I10" s="631"/>
      <c r="J10" s="632">
        <f>SUMIF(53:53,I10,54:54)-SUMIF(53:53,C10,54:54)+100</f>
        <v>100</v>
      </c>
      <c r="K10" s="759"/>
      <c r="L10" s="764"/>
      <c r="M10" s="765"/>
      <c r="N10" s="765"/>
      <c r="O10" s="1580"/>
      <c r="P10" s="831"/>
      <c r="Q10" s="830" t="str">
        <f t="shared" si="6"/>
        <v>土地使用年限（年）</v>
      </c>
      <c r="R10" s="826" t="s">
        <v>1174</v>
      </c>
      <c r="S10" s="827">
        <f t="shared" si="0"/>
        <v>100</v>
      </c>
      <c r="T10" s="826" t="s">
        <v>1174</v>
      </c>
      <c r="U10" s="827">
        <f t="shared" si="1"/>
        <v>100</v>
      </c>
      <c r="V10" s="826" t="s">
        <v>1174</v>
      </c>
      <c r="W10" s="827">
        <f t="shared" si="2"/>
        <v>100</v>
      </c>
      <c r="X10" s="828"/>
      <c r="Y10" s="830"/>
      <c r="Z10" s="855" t="str">
        <f t="shared" si="7"/>
        <v>土地使用年限（年）</v>
      </c>
      <c r="AA10" s="853">
        <f t="shared" si="3"/>
        <v>1</v>
      </c>
      <c r="AB10" s="853">
        <f t="shared" si="4"/>
        <v>1</v>
      </c>
      <c r="AC10" s="853">
        <f t="shared" si="5"/>
        <v>1</v>
      </c>
    </row>
    <row r="11" ht="15.5" spans="1:29">
      <c r="A11" s="634"/>
      <c r="B11" s="638">
        <v>111</v>
      </c>
      <c r="C11" s="639"/>
      <c r="D11" s="632">
        <v>100</v>
      </c>
      <c r="E11" s="683"/>
      <c r="F11" s="684">
        <f>SUMIF(55:55,E11,56:56)-SUMIF(55:55,C11,56:56)+100</f>
        <v>100</v>
      </c>
      <c r="G11" s="683"/>
      <c r="H11" s="632">
        <f>SUMIF(55:55,G11,56:56)-SUMIF(55:55,C11,56:56)+100</f>
        <v>100</v>
      </c>
      <c r="I11" s="683"/>
      <c r="J11" s="632">
        <f>SUMIF(55:55,I11,56:56)-SUMIF(55:55,C11,56:56)+100</f>
        <v>100</v>
      </c>
      <c r="K11" s="768"/>
      <c r="L11" s="767"/>
      <c r="M11" s="755"/>
      <c r="N11" s="755"/>
      <c r="O11" s="1582"/>
      <c r="P11" s="831"/>
      <c r="Q11" s="830">
        <f t="shared" si="6"/>
        <v>111</v>
      </c>
      <c r="R11" s="826" t="s">
        <v>1174</v>
      </c>
      <c r="S11" s="827">
        <f t="shared" si="0"/>
        <v>100</v>
      </c>
      <c r="T11" s="826" t="s">
        <v>1174</v>
      </c>
      <c r="U11" s="827">
        <f t="shared" si="1"/>
        <v>100</v>
      </c>
      <c r="V11" s="826" t="s">
        <v>1174</v>
      </c>
      <c r="W11" s="827">
        <f t="shared" si="2"/>
        <v>100</v>
      </c>
      <c r="X11" s="828"/>
      <c r="Y11" s="830"/>
      <c r="Z11" s="855">
        <f t="shared" si="7"/>
        <v>111</v>
      </c>
      <c r="AA11" s="853">
        <f t="shared" si="3"/>
        <v>1</v>
      </c>
      <c r="AB11" s="853">
        <f t="shared" si="4"/>
        <v>1</v>
      </c>
      <c r="AC11" s="853">
        <f t="shared" si="5"/>
        <v>1</v>
      </c>
    </row>
    <row r="12" s="568" customFormat="1" ht="15.5" spans="1:29">
      <c r="A12" s="637"/>
      <c r="B12" s="638">
        <v>111</v>
      </c>
      <c r="C12" s="639"/>
      <c r="D12" s="640">
        <v>100</v>
      </c>
      <c r="E12" s="683"/>
      <c r="F12" s="684">
        <f>SUMIF(57:57,E12,58:58)-SUMIF(57:57,C12,58:58)+100</f>
        <v>100</v>
      </c>
      <c r="G12" s="683"/>
      <c r="H12" s="632">
        <f>SUMIF(57:57,G12,58:58)-SUMIF(57:57,C12,58:58)+100</f>
        <v>100</v>
      </c>
      <c r="I12" s="683"/>
      <c r="J12" s="632">
        <f>SUMIF(57:57,I12,58:58)-SUMIF(57:57,C12,58:58)+100</f>
        <v>100</v>
      </c>
      <c r="K12" s="768"/>
      <c r="L12" s="760"/>
      <c r="M12" s="761"/>
      <c r="N12" s="761"/>
      <c r="O12" s="1578"/>
      <c r="P12" s="831"/>
      <c r="Q12" s="830">
        <f t="shared" si="6"/>
        <v>111</v>
      </c>
      <c r="R12" s="826" t="s">
        <v>1174</v>
      </c>
      <c r="S12" s="827">
        <f t="shared" si="0"/>
        <v>100</v>
      </c>
      <c r="T12" s="826" t="s">
        <v>1174</v>
      </c>
      <c r="U12" s="827">
        <f t="shared" si="1"/>
        <v>100</v>
      </c>
      <c r="V12" s="826" t="s">
        <v>1174</v>
      </c>
      <c r="W12" s="827">
        <f t="shared" si="2"/>
        <v>100</v>
      </c>
      <c r="X12" s="828"/>
      <c r="Y12" s="830"/>
      <c r="Z12" s="855">
        <f t="shared" si="7"/>
        <v>111</v>
      </c>
      <c r="AA12" s="853">
        <f t="shared" si="3"/>
        <v>1</v>
      </c>
      <c r="AB12" s="853">
        <f t="shared" si="4"/>
        <v>1</v>
      </c>
      <c r="AC12" s="853">
        <f t="shared" si="5"/>
        <v>1</v>
      </c>
    </row>
    <row r="13" ht="16.25" spans="1:29">
      <c r="A13" s="634"/>
      <c r="B13" s="638">
        <v>111</v>
      </c>
      <c r="C13" s="642"/>
      <c r="D13" s="643">
        <v>100</v>
      </c>
      <c r="E13" s="683"/>
      <c r="F13" s="684">
        <f>SUMIF(59:59,E13,60:60)-SUMIF(59:59,C13,60:60)+100</f>
        <v>100</v>
      </c>
      <c r="G13" s="1858"/>
      <c r="H13" s="647">
        <f>SUMIF(59:59,G13,60:60)-SUMIF(59:59,C13,60:60)+100</f>
        <v>100</v>
      </c>
      <c r="I13" s="683"/>
      <c r="J13" s="643">
        <f>SUMIF(59:59,I13,60:60)-SUMIF(59:59,C13,60:60)+100</f>
        <v>100</v>
      </c>
      <c r="K13" s="768"/>
      <c r="L13" s="769"/>
      <c r="M13" s="755"/>
      <c r="N13" s="755"/>
      <c r="O13" s="1582"/>
      <c r="P13" s="831"/>
      <c r="Q13" s="830">
        <f t="shared" si="6"/>
        <v>111</v>
      </c>
      <c r="R13" s="826" t="s">
        <v>1174</v>
      </c>
      <c r="S13" s="827">
        <f t="shared" si="0"/>
        <v>100</v>
      </c>
      <c r="T13" s="826" t="s">
        <v>1174</v>
      </c>
      <c r="U13" s="827">
        <f t="shared" si="1"/>
        <v>100</v>
      </c>
      <c r="V13" s="826" t="s">
        <v>1174</v>
      </c>
      <c r="W13" s="827">
        <f t="shared" si="2"/>
        <v>100</v>
      </c>
      <c r="X13" s="828"/>
      <c r="Y13" s="830"/>
      <c r="Z13" s="855">
        <f t="shared" si="7"/>
        <v>111</v>
      </c>
      <c r="AA13" s="853">
        <f t="shared" si="3"/>
        <v>1</v>
      </c>
      <c r="AB13" s="853">
        <f t="shared" si="4"/>
        <v>1</v>
      </c>
      <c r="AC13" s="853">
        <f t="shared" si="5"/>
        <v>1</v>
      </c>
    </row>
    <row r="14" ht="98" spans="1:29">
      <c r="A14" s="649" t="s">
        <v>1186</v>
      </c>
      <c r="B14" s="1828" t="s">
        <v>1191</v>
      </c>
      <c r="C14" s="1509" t="str">
        <f>IF(B1="工业",估价对象房地状况!G4,估价对象房地状况!C6)</f>
        <v>估价对象周边道路状况、公共交通通达情况、停车便捷程度，综合评价交通便捷度较好</v>
      </c>
      <c r="D14" s="652">
        <v>100</v>
      </c>
      <c r="E14" s="654"/>
      <c r="F14" s="1859">
        <f>SUMIF(61:61,E15,62:62)-SUMIF(61:61,C15,62:62)+100</f>
        <v>100</v>
      </c>
      <c r="G14" s="653"/>
      <c r="H14" s="652">
        <f>SUMIF(61:61,G15,62:62)-SUMIF(61:61,C15,62:62)+100</f>
        <v>100</v>
      </c>
      <c r="I14" s="654"/>
      <c r="J14" s="652">
        <f>SUMIF(61:61,I15,62:62)-SUMIF(61:61,C15,62:62)+100</f>
        <v>100</v>
      </c>
      <c r="K14" s="770"/>
      <c r="L14" s="769"/>
      <c r="M14" s="755"/>
      <c r="N14" s="755"/>
      <c r="O14" s="1582"/>
      <c r="P14" s="856" t="s">
        <v>1189</v>
      </c>
      <c r="Q14" s="831" t="str">
        <f t="shared" si="6"/>
        <v>交通便捷度</v>
      </c>
      <c r="R14" s="832" t="s">
        <v>1174</v>
      </c>
      <c r="S14" s="833">
        <f t="shared" si="0"/>
        <v>100</v>
      </c>
      <c r="T14" s="832" t="s">
        <v>1174</v>
      </c>
      <c r="U14" s="833">
        <f t="shared" si="1"/>
        <v>100</v>
      </c>
      <c r="V14" s="832" t="s">
        <v>1174</v>
      </c>
      <c r="W14" s="833">
        <f t="shared" si="2"/>
        <v>100</v>
      </c>
      <c r="X14" s="821"/>
      <c r="Y14" s="856" t="s">
        <v>1189</v>
      </c>
      <c r="Z14" s="820" t="str">
        <f t="shared" si="7"/>
        <v>交通便捷度</v>
      </c>
      <c r="AA14" s="838">
        <f t="shared" si="3"/>
        <v>1</v>
      </c>
      <c r="AB14" s="838">
        <f t="shared" si="4"/>
        <v>1</v>
      </c>
      <c r="AC14" s="838">
        <f t="shared" si="5"/>
        <v>1</v>
      </c>
    </row>
    <row r="15" ht="15.5" spans="1:29">
      <c r="A15" s="634"/>
      <c r="B15" s="839"/>
      <c r="C15" s="669"/>
      <c r="D15" s="657"/>
      <c r="E15" s="669"/>
      <c r="F15" s="1860"/>
      <c r="G15" s="669"/>
      <c r="H15" s="658"/>
      <c r="I15" s="669"/>
      <c r="J15" s="657"/>
      <c r="K15" s="773"/>
      <c r="L15" s="769"/>
      <c r="M15" s="755"/>
      <c r="N15" s="755"/>
      <c r="O15" s="1582"/>
      <c r="P15" s="858"/>
      <c r="Q15" s="831"/>
      <c r="R15" s="832"/>
      <c r="S15" s="833"/>
      <c r="T15" s="832"/>
      <c r="U15" s="833"/>
      <c r="V15" s="832"/>
      <c r="W15" s="833"/>
      <c r="X15" s="821"/>
      <c r="Y15" s="858"/>
      <c r="Z15" s="820"/>
      <c r="AA15" s="838">
        <v>1</v>
      </c>
      <c r="AB15" s="838">
        <v>1</v>
      </c>
      <c r="AC15" s="838">
        <v>1</v>
      </c>
    </row>
    <row r="16" ht="42" spans="1:29">
      <c r="A16" s="634"/>
      <c r="B16" s="1830" t="s">
        <v>1192</v>
      </c>
      <c r="C16" s="1510" t="str">
        <f>IF(B1="工业",估价对象房地状况!G5,估价对象房地状况!C7)</f>
        <v>估价对象所在区域公共配套设施齐备情况</v>
      </c>
      <c r="D16" s="663">
        <v>100</v>
      </c>
      <c r="E16" s="666"/>
      <c r="F16" s="1861">
        <f>SUMIF(63:63,E17,64:64)-SUMIF(63:63,C17,64:64)+100</f>
        <v>100</v>
      </c>
      <c r="G16" s="665"/>
      <c r="H16" s="663">
        <f>SUMIF(63:63,G17,64:64)-SUMIF(63:63,C17,64:64)+100</f>
        <v>100</v>
      </c>
      <c r="I16" s="666"/>
      <c r="J16" s="663">
        <f>SUMIF(63:63,I17,64:64)-SUMIF(63:63,C17,64:64)+100</f>
        <v>100</v>
      </c>
      <c r="K16" s="770"/>
      <c r="L16" s="769"/>
      <c r="M16" s="755"/>
      <c r="N16" s="755"/>
      <c r="O16" s="1582"/>
      <c r="P16" s="858"/>
      <c r="Q16" s="831" t="str">
        <f>B16</f>
        <v>公共配套设施</v>
      </c>
      <c r="R16" s="832" t="s">
        <v>1174</v>
      </c>
      <c r="S16" s="833">
        <f>F16</f>
        <v>100</v>
      </c>
      <c r="T16" s="832" t="s">
        <v>1174</v>
      </c>
      <c r="U16" s="833">
        <f>H16</f>
        <v>100</v>
      </c>
      <c r="V16" s="832" t="s">
        <v>1174</v>
      </c>
      <c r="W16" s="833">
        <f>J16</f>
        <v>100</v>
      </c>
      <c r="X16" s="821"/>
      <c r="Y16" s="858"/>
      <c r="Z16" s="820" t="str">
        <f>Q16</f>
        <v>公共配套设施</v>
      </c>
      <c r="AA16" s="838">
        <f t="shared" si="3"/>
        <v>1</v>
      </c>
      <c r="AB16" s="838">
        <f t="shared" si="4"/>
        <v>1</v>
      </c>
      <c r="AC16" s="838">
        <f t="shared" si="5"/>
        <v>1</v>
      </c>
    </row>
    <row r="17" ht="15.5" spans="1:29">
      <c r="A17" s="634"/>
      <c r="B17" s="1526"/>
      <c r="C17" s="1831"/>
      <c r="D17" s="657"/>
      <c r="E17" s="669"/>
      <c r="F17" s="1860"/>
      <c r="G17" s="669"/>
      <c r="H17" s="657"/>
      <c r="I17" s="669"/>
      <c r="J17" s="657"/>
      <c r="K17" s="773"/>
      <c r="L17" s="769"/>
      <c r="M17" s="755"/>
      <c r="N17" s="755"/>
      <c r="O17" s="1582"/>
      <c r="P17" s="858"/>
      <c r="Q17" s="831"/>
      <c r="R17" s="832"/>
      <c r="S17" s="833"/>
      <c r="T17" s="832"/>
      <c r="U17" s="833"/>
      <c r="V17" s="832"/>
      <c r="W17" s="833"/>
      <c r="X17" s="821"/>
      <c r="Y17" s="858"/>
      <c r="Z17" s="820"/>
      <c r="AA17" s="838">
        <v>1</v>
      </c>
      <c r="AB17" s="838">
        <v>1</v>
      </c>
      <c r="AC17" s="838">
        <v>1</v>
      </c>
    </row>
    <row r="18" ht="42" spans="1:29">
      <c r="A18" s="634"/>
      <c r="B18" s="1833" t="s">
        <v>1193</v>
      </c>
      <c r="C18" s="1510" t="str">
        <f>IF(B1="工业",估价对象房地状况!G6,估价对象房地状况!C8)</f>
        <v>估价对象所在区域基础设施水平</v>
      </c>
      <c r="D18" s="663">
        <v>100</v>
      </c>
      <c r="E18" s="662"/>
      <c r="F18" s="1861">
        <f>SUMIF(65:65,E19,66:66)-SUMIF(65:65,C19,66:66)+100</f>
        <v>100</v>
      </c>
      <c r="G18" s="661"/>
      <c r="H18" s="663">
        <f>SUMIF(65:65,G19,66:66)-SUMIF(65:65,C19,66:66)+100</f>
        <v>100</v>
      </c>
      <c r="I18" s="666"/>
      <c r="J18" s="663">
        <f>SUMIF(65:65,I19,66:66)-SUMIF(65:65,C19,66:66)+100</f>
        <v>100</v>
      </c>
      <c r="K18" s="770"/>
      <c r="L18" s="769"/>
      <c r="M18" s="755"/>
      <c r="N18" s="755"/>
      <c r="O18" s="1582"/>
      <c r="P18" s="858"/>
      <c r="Q18" s="831" t="str">
        <f>B18</f>
        <v>基础设施水平</v>
      </c>
      <c r="R18" s="832" t="s">
        <v>1174</v>
      </c>
      <c r="S18" s="833">
        <f>F18</f>
        <v>100</v>
      </c>
      <c r="T18" s="832" t="s">
        <v>1174</v>
      </c>
      <c r="U18" s="833">
        <f>H18</f>
        <v>100</v>
      </c>
      <c r="V18" s="832" t="s">
        <v>1174</v>
      </c>
      <c r="W18" s="833">
        <f>J18</f>
        <v>100</v>
      </c>
      <c r="X18" s="821"/>
      <c r="Y18" s="858"/>
      <c r="Z18" s="820" t="str">
        <f>Q18</f>
        <v>基础设施水平</v>
      </c>
      <c r="AA18" s="838">
        <f t="shared" ref="AA18" si="8">D18/F18</f>
        <v>1</v>
      </c>
      <c r="AB18" s="838">
        <f t="shared" ref="AB18" si="9">D18/H18</f>
        <v>1</v>
      </c>
      <c r="AC18" s="838">
        <f t="shared" ref="AC18" si="10">D18/J18</f>
        <v>1</v>
      </c>
    </row>
    <row r="19" ht="15.5" spans="1:29">
      <c r="A19" s="634"/>
      <c r="B19" s="1833"/>
      <c r="C19" s="1831"/>
      <c r="D19" s="658"/>
      <c r="E19" s="1831"/>
      <c r="F19" s="1862"/>
      <c r="G19" s="1831"/>
      <c r="H19" s="657"/>
      <c r="I19" s="669"/>
      <c r="J19" s="657"/>
      <c r="K19" s="775"/>
      <c r="L19" s="769"/>
      <c r="M19" s="755"/>
      <c r="N19" s="755"/>
      <c r="O19" s="1582"/>
      <c r="P19" s="858"/>
      <c r="Q19" s="831"/>
      <c r="R19" s="832"/>
      <c r="S19" s="833"/>
      <c r="T19" s="832"/>
      <c r="U19" s="833"/>
      <c r="V19" s="832"/>
      <c r="W19" s="833"/>
      <c r="X19" s="821"/>
      <c r="Y19" s="858"/>
      <c r="Z19" s="820"/>
      <c r="AA19" s="838">
        <v>1</v>
      </c>
      <c r="AB19" s="838">
        <v>1</v>
      </c>
      <c r="AC19" s="838">
        <v>1</v>
      </c>
    </row>
    <row r="20" ht="56" spans="1:29">
      <c r="A20" s="634"/>
      <c r="B20" s="1830" t="s">
        <v>1457</v>
      </c>
      <c r="C20" s="1510" t="str">
        <f>IF(B1="工业",估价对象房地状况!G7,估价对象房地状况!C9)</f>
        <v>区域自然环境：；人文环境；综合评价环境状况一般</v>
      </c>
      <c r="D20" s="663">
        <v>100</v>
      </c>
      <c r="E20" s="666"/>
      <c r="F20" s="1861">
        <f>SUMIF(67:67,E21,68:68)-SUMIF(67:67,C21,68:68)+100</f>
        <v>100</v>
      </c>
      <c r="G20" s="665"/>
      <c r="H20" s="658">
        <f>SUMIF(67:67,G21,68:68)-SUMIF(67:67,C21,68:68)+100</f>
        <v>100</v>
      </c>
      <c r="I20" s="662"/>
      <c r="J20" s="658">
        <f>SUMIF(67:67,I21,68:68)-SUMIF(67:67,C21,68:68)+100</f>
        <v>100</v>
      </c>
      <c r="K20" s="770"/>
      <c r="L20" s="769"/>
      <c r="M20" s="755"/>
      <c r="N20" s="755"/>
      <c r="O20" s="1582"/>
      <c r="P20" s="858"/>
      <c r="Q20" s="831" t="str">
        <f>B20</f>
        <v>自然及人文环境</v>
      </c>
      <c r="R20" s="832" t="s">
        <v>1174</v>
      </c>
      <c r="S20" s="833">
        <f>F20</f>
        <v>100</v>
      </c>
      <c r="T20" s="832" t="s">
        <v>1174</v>
      </c>
      <c r="U20" s="833">
        <f>H20</f>
        <v>100</v>
      </c>
      <c r="V20" s="832" t="s">
        <v>1174</v>
      </c>
      <c r="W20" s="833">
        <f>J20</f>
        <v>100</v>
      </c>
      <c r="X20" s="821"/>
      <c r="Y20" s="858"/>
      <c r="Z20" s="820" t="str">
        <f>Q20</f>
        <v>自然及人文环境</v>
      </c>
      <c r="AA20" s="838">
        <f t="shared" si="3"/>
        <v>1</v>
      </c>
      <c r="AB20" s="838">
        <f t="shared" si="4"/>
        <v>1</v>
      </c>
      <c r="AC20" s="838">
        <f t="shared" si="5"/>
        <v>1</v>
      </c>
    </row>
    <row r="21" ht="15.5" spans="1:29">
      <c r="A21" s="634"/>
      <c r="B21" s="1526"/>
      <c r="C21" s="669"/>
      <c r="D21" s="657"/>
      <c r="E21" s="669"/>
      <c r="F21" s="1860"/>
      <c r="G21" s="669"/>
      <c r="H21" s="657"/>
      <c r="I21" s="669"/>
      <c r="J21" s="657"/>
      <c r="K21" s="773"/>
      <c r="L21" s="769"/>
      <c r="M21" s="755"/>
      <c r="N21" s="755"/>
      <c r="O21" s="1582"/>
      <c r="P21" s="858"/>
      <c r="Q21" s="831"/>
      <c r="R21" s="832"/>
      <c r="S21" s="833"/>
      <c r="T21" s="832"/>
      <c r="U21" s="833"/>
      <c r="V21" s="832"/>
      <c r="W21" s="833"/>
      <c r="X21" s="821"/>
      <c r="Y21" s="858"/>
      <c r="Z21" s="820"/>
      <c r="AA21" s="838">
        <v>1</v>
      </c>
      <c r="AB21" s="838">
        <v>1</v>
      </c>
      <c r="AC21" s="838">
        <v>1</v>
      </c>
    </row>
    <row r="22" ht="15.5" spans="1:29">
      <c r="A22" s="634"/>
      <c r="B22" s="1830" t="s">
        <v>1196</v>
      </c>
      <c r="C22" s="672"/>
      <c r="D22" s="658">
        <v>100</v>
      </c>
      <c r="E22" s="672"/>
      <c r="F22" s="681">
        <f>SUMIF(69:69,E22,70:70)-SUMIF(69:69,C22,70:70)+100</f>
        <v>100</v>
      </c>
      <c r="G22" s="672"/>
      <c r="H22" s="643">
        <f>SUMIF(69:69,G22,70:70)-SUMIF(69:69,C22,70:70)+100</f>
        <v>100</v>
      </c>
      <c r="I22" s="672"/>
      <c r="J22" s="643">
        <f>SUMIF(69:69,I22,70:70)-SUMIF(69:69,C22,70:70)+100</f>
        <v>100</v>
      </c>
      <c r="K22" s="766"/>
      <c r="L22" s="769"/>
      <c r="M22" s="755"/>
      <c r="N22" s="755"/>
      <c r="O22" s="1582"/>
      <c r="P22" s="858"/>
      <c r="Q22" s="831" t="str">
        <f>B22</f>
        <v>楼层</v>
      </c>
      <c r="R22" s="832" t="s">
        <v>1174</v>
      </c>
      <c r="S22" s="833">
        <f>F22</f>
        <v>100</v>
      </c>
      <c r="T22" s="832" t="s">
        <v>1174</v>
      </c>
      <c r="U22" s="833">
        <f>H22</f>
        <v>100</v>
      </c>
      <c r="V22" s="832" t="s">
        <v>1174</v>
      </c>
      <c r="W22" s="833">
        <f>J22</f>
        <v>100</v>
      </c>
      <c r="X22" s="821"/>
      <c r="Y22" s="858"/>
      <c r="Z22" s="820" t="str">
        <f>Q22</f>
        <v>楼层</v>
      </c>
      <c r="AA22" s="838">
        <f t="shared" si="3"/>
        <v>1</v>
      </c>
      <c r="AB22" s="838">
        <f t="shared" si="4"/>
        <v>1</v>
      </c>
      <c r="AC22" s="838">
        <f t="shared" si="5"/>
        <v>1</v>
      </c>
    </row>
    <row r="23" ht="15.5" spans="1:29">
      <c r="A23" s="603"/>
      <c r="B23" s="638">
        <v>111</v>
      </c>
      <c r="C23" s="639"/>
      <c r="D23" s="643">
        <v>100</v>
      </c>
      <c r="E23" s="642"/>
      <c r="F23" s="681">
        <f>SUMIF(71:71,E23,72:72)-SUMIF(71:71,C23,72:72)+100</f>
        <v>100</v>
      </c>
      <c r="G23" s="642"/>
      <c r="H23" s="643">
        <f>SUMIF(71:71,G23,72:72)-SUMIF(71:71,C23,72:72)+100</f>
        <v>100</v>
      </c>
      <c r="I23" s="642"/>
      <c r="J23" s="643">
        <f>SUMIF(71:71,I23,72:72)-SUMIF(71:71,C23,72:72)+100</f>
        <v>100</v>
      </c>
      <c r="K23" s="768"/>
      <c r="L23" s="769"/>
      <c r="M23" s="755"/>
      <c r="N23" s="755"/>
      <c r="O23" s="1582"/>
      <c r="P23" s="858"/>
      <c r="Q23" s="831">
        <f>B23</f>
        <v>111</v>
      </c>
      <c r="R23" s="832" t="s">
        <v>1174</v>
      </c>
      <c r="S23" s="833">
        <f>F23</f>
        <v>100</v>
      </c>
      <c r="T23" s="832" t="s">
        <v>1174</v>
      </c>
      <c r="U23" s="833">
        <f>H23</f>
        <v>100</v>
      </c>
      <c r="V23" s="832" t="s">
        <v>1174</v>
      </c>
      <c r="W23" s="833">
        <f>J23</f>
        <v>100</v>
      </c>
      <c r="X23" s="821"/>
      <c r="Y23" s="858"/>
      <c r="Z23" s="820">
        <f>Q23</f>
        <v>111</v>
      </c>
      <c r="AA23" s="838">
        <f t="shared" si="3"/>
        <v>1</v>
      </c>
      <c r="AB23" s="838">
        <f t="shared" si="4"/>
        <v>1</v>
      </c>
      <c r="AC23" s="838">
        <f t="shared" si="5"/>
        <v>1</v>
      </c>
    </row>
    <row r="24" ht="15.5" spans="1:29">
      <c r="A24" s="634"/>
      <c r="B24" s="638">
        <v>111</v>
      </c>
      <c r="C24" s="639"/>
      <c r="D24" s="643">
        <v>100</v>
      </c>
      <c r="E24" s="642"/>
      <c r="F24" s="681">
        <f>SUMIF(73:73,E24,74:74)-SUMIF(73:73,C24,74:74)+100</f>
        <v>100</v>
      </c>
      <c r="G24" s="642"/>
      <c r="H24" s="643">
        <f>SUMIF(73:73,G24,74:74)-SUMIF(73:73,C24,74:74)+100</f>
        <v>100</v>
      </c>
      <c r="I24" s="642"/>
      <c r="J24" s="643">
        <f>SUMIF(73:73,I24,74:74)-SUMIF(73:73,C24,74:74)+100</f>
        <v>100</v>
      </c>
      <c r="K24" s="768"/>
      <c r="L24" s="769"/>
      <c r="M24" s="755"/>
      <c r="N24" s="755"/>
      <c r="O24" s="1582"/>
      <c r="P24" s="858"/>
      <c r="Q24" s="831">
        <f t="shared" ref="Q24:Q34" si="11">B24</f>
        <v>111</v>
      </c>
      <c r="R24" s="832" t="s">
        <v>1174</v>
      </c>
      <c r="S24" s="833">
        <f>F24</f>
        <v>100</v>
      </c>
      <c r="T24" s="832" t="s">
        <v>1174</v>
      </c>
      <c r="U24" s="833">
        <f>H24</f>
        <v>100</v>
      </c>
      <c r="V24" s="832" t="s">
        <v>1174</v>
      </c>
      <c r="W24" s="833">
        <f>J24</f>
        <v>100</v>
      </c>
      <c r="X24" s="821"/>
      <c r="Y24" s="858"/>
      <c r="Z24" s="820">
        <f>Q24</f>
        <v>111</v>
      </c>
      <c r="AA24" s="838">
        <f t="shared" si="3"/>
        <v>1</v>
      </c>
      <c r="AB24" s="838">
        <f t="shared" si="4"/>
        <v>1</v>
      </c>
      <c r="AC24" s="838">
        <f t="shared" si="5"/>
        <v>1</v>
      </c>
    </row>
    <row r="25" s="568" customFormat="1" ht="16.25" spans="1:29">
      <c r="A25" s="637"/>
      <c r="B25" s="638">
        <v>111</v>
      </c>
      <c r="C25" s="1863"/>
      <c r="D25" s="1864">
        <v>100</v>
      </c>
      <c r="E25" s="1863"/>
      <c r="F25" s="1865">
        <f>SUMIF(75:75,E25,76:76)-SUMIF(75:75,C25,76:76)+100</f>
        <v>100</v>
      </c>
      <c r="G25" s="1863"/>
      <c r="H25" s="1864">
        <f>SUMIF(75:75,G25,76:76)-SUMIF(75:75,C25,76:76)+100</f>
        <v>100</v>
      </c>
      <c r="I25" s="1863"/>
      <c r="J25" s="1864">
        <f>SUMIF(75:75,I25,76:76)-SUMIF(75:75,C25,76:76)+100</f>
        <v>100</v>
      </c>
      <c r="K25" s="768"/>
      <c r="L25" s="760"/>
      <c r="M25" s="761"/>
      <c r="N25" s="761"/>
      <c r="O25" s="1578"/>
      <c r="P25" s="858"/>
      <c r="Q25" s="830">
        <f t="shared" si="11"/>
        <v>111</v>
      </c>
      <c r="R25" s="826" t="s">
        <v>1174</v>
      </c>
      <c r="S25" s="827">
        <f>F25</f>
        <v>100</v>
      </c>
      <c r="T25" s="826" t="s">
        <v>1174</v>
      </c>
      <c r="U25" s="827">
        <f>H25</f>
        <v>100</v>
      </c>
      <c r="V25" s="826" t="s">
        <v>1174</v>
      </c>
      <c r="W25" s="827">
        <f>J25</f>
        <v>100</v>
      </c>
      <c r="X25" s="828"/>
      <c r="Y25" s="858"/>
      <c r="Z25" s="855">
        <f>Q25</f>
        <v>111</v>
      </c>
      <c r="AA25" s="838">
        <f t="shared" si="3"/>
        <v>1</v>
      </c>
      <c r="AB25" s="838">
        <f t="shared" si="4"/>
        <v>1</v>
      </c>
      <c r="AC25" s="838">
        <f t="shared" si="5"/>
        <v>1</v>
      </c>
    </row>
    <row r="26" ht="15.5" spans="1:29">
      <c r="A26" s="1866" t="s">
        <v>1198</v>
      </c>
      <c r="B26" s="624" t="s">
        <v>1205</v>
      </c>
      <c r="C26" s="679"/>
      <c r="D26" s="680">
        <v>100</v>
      </c>
      <c r="E26" s="679"/>
      <c r="F26" s="1867">
        <f>SUMIF(77:77,E26,78:78)-SUMIF(77:77,C26,78:78)+100</f>
        <v>100</v>
      </c>
      <c r="G26" s="679"/>
      <c r="H26" s="680">
        <f>SUMIF(77:77,G26,78:78)-SUMIF(77:77,C26,78:78)+100</f>
        <v>100</v>
      </c>
      <c r="I26" s="679"/>
      <c r="J26" s="680">
        <f>SUMIF(77:77,I26,78:78)-SUMIF(77:77,C26,78:78)+100</f>
        <v>100</v>
      </c>
      <c r="K26" s="766"/>
      <c r="L26" s="769"/>
      <c r="M26" s="755"/>
      <c r="N26" s="755"/>
      <c r="O26" s="1582"/>
      <c r="P26" s="1585" t="s">
        <v>1202</v>
      </c>
      <c r="Q26" s="831" t="str">
        <f t="shared" si="11"/>
        <v>公共部分装修</v>
      </c>
      <c r="R26" s="832" t="s">
        <v>1174</v>
      </c>
      <c r="S26" s="833">
        <f t="shared" ref="S26:S34" si="12">F26</f>
        <v>100</v>
      </c>
      <c r="T26" s="832" t="s">
        <v>1174</v>
      </c>
      <c r="U26" s="833">
        <f t="shared" ref="U26:U34" si="13">H26</f>
        <v>100</v>
      </c>
      <c r="V26" s="832" t="s">
        <v>1174</v>
      </c>
      <c r="W26" s="833">
        <f t="shared" ref="W26:W34" si="14">J26</f>
        <v>100</v>
      </c>
      <c r="X26" s="821"/>
      <c r="Y26" s="859" t="s">
        <v>1202</v>
      </c>
      <c r="Z26" s="820" t="str">
        <f t="shared" ref="Z26:Z34" si="15">Q26</f>
        <v>公共部分装修</v>
      </c>
      <c r="AA26" s="838">
        <f t="shared" si="3"/>
        <v>1</v>
      </c>
      <c r="AB26" s="838">
        <f t="shared" si="4"/>
        <v>1</v>
      </c>
      <c r="AC26" s="838">
        <f t="shared" si="5"/>
        <v>1</v>
      </c>
    </row>
    <row r="27" s="570" customFormat="1" ht="15.5" spans="1:29">
      <c r="A27" s="682"/>
      <c r="B27" s="630" t="s">
        <v>1500</v>
      </c>
      <c r="C27" s="687"/>
      <c r="D27" s="632">
        <v>100</v>
      </c>
      <c r="E27" s="1868"/>
      <c r="F27" s="681" t="e">
        <f>LOOKUP(E27,80:80,81:81)-LOOKUP(C27,80:80,81:81)+100</f>
        <v>#N/A</v>
      </c>
      <c r="G27" s="1869"/>
      <c r="H27" s="643" t="e">
        <f>LOOKUP(G27,80:80,81:81)-LOOKUP(C27,80:80,81:81)+100</f>
        <v>#N/A</v>
      </c>
      <c r="I27" s="1869"/>
      <c r="J27" s="643" t="e">
        <f>LOOKUP(I27,80:80,81:81)-LOOKUP(C27,80:80,81:81)+100</f>
        <v>#N/A</v>
      </c>
      <c r="K27" s="766"/>
      <c r="L27" s="767"/>
      <c r="M27" s="777"/>
      <c r="N27" s="777"/>
      <c r="O27" s="1586"/>
      <c r="P27" s="859"/>
      <c r="Q27" s="834" t="str">
        <f t="shared" si="11"/>
        <v>成新率</v>
      </c>
      <c r="R27" s="835" t="s">
        <v>1174</v>
      </c>
      <c r="S27" s="836" t="e">
        <f t="shared" si="12"/>
        <v>#N/A</v>
      </c>
      <c r="T27" s="835" t="s">
        <v>1174</v>
      </c>
      <c r="U27" s="836" t="e">
        <f t="shared" si="13"/>
        <v>#N/A</v>
      </c>
      <c r="V27" s="835" t="s">
        <v>1174</v>
      </c>
      <c r="W27" s="836" t="e">
        <f t="shared" si="14"/>
        <v>#N/A</v>
      </c>
      <c r="X27" s="837"/>
      <c r="Y27" s="859"/>
      <c r="Z27" s="860" t="str">
        <f t="shared" si="15"/>
        <v>成新率</v>
      </c>
      <c r="AA27" s="838" t="e">
        <f t="shared" si="3"/>
        <v>#N/A</v>
      </c>
      <c r="AB27" s="838" t="e">
        <f t="shared" si="4"/>
        <v>#N/A</v>
      </c>
      <c r="AC27" s="838" t="e">
        <f t="shared" si="5"/>
        <v>#N/A</v>
      </c>
    </row>
    <row r="28" ht="15.5" spans="1:29">
      <c r="A28" s="685"/>
      <c r="B28" s="630" t="s">
        <v>1501</v>
      </c>
      <c r="C28" s="686"/>
      <c r="D28" s="643">
        <v>100</v>
      </c>
      <c r="E28" s="686"/>
      <c r="F28" s="681">
        <f>SUMIF(82:82,E28,83:83)-SUMIF(82:82,C28,83:83)+100</f>
        <v>100</v>
      </c>
      <c r="G28" s="686"/>
      <c r="H28" s="643">
        <f>SUMIF(82:82,G28,83:83)-SUMIF(82:82,C28,83:83)+100</f>
        <v>100</v>
      </c>
      <c r="I28" s="686"/>
      <c r="J28" s="643">
        <f>SUMIF(82:82,I28,83:83)-SUMIF(82:82,C28,83:83)+100</f>
        <v>100</v>
      </c>
      <c r="K28" s="766"/>
      <c r="L28" s="769"/>
      <c r="M28" s="755"/>
      <c r="N28" s="755"/>
      <c r="O28" s="1582"/>
      <c r="P28" s="859"/>
      <c r="Q28" s="831" t="str">
        <f t="shared" si="11"/>
        <v>物业等级</v>
      </c>
      <c r="R28" s="832" t="s">
        <v>1174</v>
      </c>
      <c r="S28" s="833">
        <f t="shared" si="12"/>
        <v>100</v>
      </c>
      <c r="T28" s="832" t="s">
        <v>1174</v>
      </c>
      <c r="U28" s="833">
        <f t="shared" si="13"/>
        <v>100</v>
      </c>
      <c r="V28" s="832" t="s">
        <v>1174</v>
      </c>
      <c r="W28" s="833">
        <f t="shared" si="14"/>
        <v>100</v>
      </c>
      <c r="X28" s="821"/>
      <c r="Y28" s="859"/>
      <c r="Z28" s="820" t="str">
        <f t="shared" si="15"/>
        <v>物业等级</v>
      </c>
      <c r="AA28" s="838">
        <f t="shared" si="3"/>
        <v>1</v>
      </c>
      <c r="AB28" s="838">
        <f t="shared" si="4"/>
        <v>1</v>
      </c>
      <c r="AC28" s="838">
        <f t="shared" si="5"/>
        <v>1</v>
      </c>
    </row>
    <row r="29" ht="15.5" spans="1:29">
      <c r="A29" s="685"/>
      <c r="B29" s="630" t="s">
        <v>1510</v>
      </c>
      <c r="C29" s="1870"/>
      <c r="D29" s="643">
        <v>100</v>
      </c>
      <c r="E29" s="1870"/>
      <c r="F29" s="681">
        <f>SUMIF(84:84,E29,85:85)-SUMIF(84:84,C29,85:85)+100</f>
        <v>100</v>
      </c>
      <c r="G29" s="1870"/>
      <c r="H29" s="643">
        <f>SUMIF(84:84,G29,85:85)-SUMIF(84:84,C29,85:85)+100</f>
        <v>100</v>
      </c>
      <c r="I29" s="1870"/>
      <c r="J29" s="643">
        <f>SUMIF(84:84,I29,85:85)-SUMIF(84:84,C29,85:85)+100</f>
        <v>100</v>
      </c>
      <c r="K29" s="766"/>
      <c r="L29" s="769"/>
      <c r="M29" s="755"/>
      <c r="N29" s="755"/>
      <c r="O29" s="1582"/>
      <c r="P29" s="859"/>
      <c r="Q29" s="831" t="str">
        <f t="shared" si="11"/>
        <v>有无电梯</v>
      </c>
      <c r="R29" s="832" t="s">
        <v>1174</v>
      </c>
      <c r="S29" s="833">
        <f t="shared" si="12"/>
        <v>100</v>
      </c>
      <c r="T29" s="832" t="s">
        <v>1174</v>
      </c>
      <c r="U29" s="833">
        <f t="shared" si="13"/>
        <v>100</v>
      </c>
      <c r="V29" s="832" t="s">
        <v>1174</v>
      </c>
      <c r="W29" s="833">
        <f t="shared" si="14"/>
        <v>100</v>
      </c>
      <c r="X29" s="821"/>
      <c r="Y29" s="859"/>
      <c r="Z29" s="820" t="str">
        <f t="shared" si="15"/>
        <v>有无电梯</v>
      </c>
      <c r="AA29" s="838">
        <f t="shared" si="3"/>
        <v>1</v>
      </c>
      <c r="AB29" s="838">
        <f t="shared" si="4"/>
        <v>1</v>
      </c>
      <c r="AC29" s="838">
        <f t="shared" si="5"/>
        <v>1</v>
      </c>
    </row>
    <row r="30" ht="15.5" spans="1:29">
      <c r="A30" s="685"/>
      <c r="B30" s="630" t="s">
        <v>597</v>
      </c>
      <c r="C30" s="683"/>
      <c r="D30" s="643">
        <v>100</v>
      </c>
      <c r="E30" s="683"/>
      <c r="F30" s="681" t="e">
        <f>LOOKUP(E30,87:87,88:88)-LOOKUP(C30,87:87,88:88)+100</f>
        <v>#N/A</v>
      </c>
      <c r="G30" s="683"/>
      <c r="H30" s="643" t="e">
        <f>LOOKUP(G30,87:87,88:88)-LOOKUP(C30,87:87,88:88)+100</f>
        <v>#N/A</v>
      </c>
      <c r="I30" s="683"/>
      <c r="J30" s="643" t="e">
        <f>LOOKUP(I30,87:87,88:88)-LOOKUP(C30,87:87,88:88)+100</f>
        <v>#N/A</v>
      </c>
      <c r="K30" s="768"/>
      <c r="L30" s="769"/>
      <c r="M30" s="755"/>
      <c r="N30" s="755"/>
      <c r="O30" s="1582"/>
      <c r="P30" s="859"/>
      <c r="Q30" s="831" t="str">
        <f t="shared" si="11"/>
        <v>建筑面积</v>
      </c>
      <c r="R30" s="832" t="s">
        <v>1174</v>
      </c>
      <c r="S30" s="833" t="e">
        <f t="shared" si="12"/>
        <v>#N/A</v>
      </c>
      <c r="T30" s="832" t="s">
        <v>1174</v>
      </c>
      <c r="U30" s="833" t="e">
        <f t="shared" si="13"/>
        <v>#N/A</v>
      </c>
      <c r="V30" s="832" t="s">
        <v>1174</v>
      </c>
      <c r="W30" s="833" t="e">
        <f t="shared" si="14"/>
        <v>#N/A</v>
      </c>
      <c r="X30" s="821"/>
      <c r="Y30" s="859"/>
      <c r="Z30" s="820" t="str">
        <f t="shared" si="15"/>
        <v>建筑面积</v>
      </c>
      <c r="AA30" s="838" t="e">
        <f t="shared" si="3"/>
        <v>#N/A</v>
      </c>
      <c r="AB30" s="838" t="e">
        <f t="shared" si="4"/>
        <v>#N/A</v>
      </c>
      <c r="AC30" s="838" t="e">
        <f t="shared" si="5"/>
        <v>#N/A</v>
      </c>
    </row>
    <row r="31" s="568" customFormat="1" ht="15.5" spans="1:29">
      <c r="A31" s="688"/>
      <c r="B31" s="630" t="s">
        <v>1511</v>
      </c>
      <c r="C31" s="1870"/>
      <c r="D31" s="632">
        <v>100</v>
      </c>
      <c r="E31" s="1870"/>
      <c r="F31" s="681">
        <f>SUMIF(89:89,E31,90:90)-SUMIF(89:89,C31,90:90)+100</f>
        <v>100</v>
      </c>
      <c r="G31" s="1870"/>
      <c r="H31" s="643">
        <f>SUMIF(89:89,G31,90:90)-SUMIF(89:89,C31,90:90)+100</f>
        <v>100</v>
      </c>
      <c r="I31" s="1870"/>
      <c r="J31" s="643">
        <f>SUMIF(89:89,I31,90:90)-SUMIF(89:89,C31,90:90)+100</f>
        <v>100</v>
      </c>
      <c r="K31" s="766"/>
      <c r="L31" s="760"/>
      <c r="M31" s="761"/>
      <c r="N31" s="761"/>
      <c r="O31" s="1578"/>
      <c r="P31" s="859"/>
      <c r="Q31" s="830" t="str">
        <f t="shared" si="11"/>
        <v>是否封闭</v>
      </c>
      <c r="R31" s="826" t="s">
        <v>1174</v>
      </c>
      <c r="S31" s="827">
        <f t="shared" si="12"/>
        <v>100</v>
      </c>
      <c r="T31" s="826" t="s">
        <v>1174</v>
      </c>
      <c r="U31" s="827">
        <f t="shared" si="13"/>
        <v>100</v>
      </c>
      <c r="V31" s="826" t="s">
        <v>1174</v>
      </c>
      <c r="W31" s="827">
        <f t="shared" si="14"/>
        <v>100</v>
      </c>
      <c r="X31" s="828"/>
      <c r="Y31" s="859"/>
      <c r="Z31" s="855" t="str">
        <f t="shared" si="15"/>
        <v>是否封闭</v>
      </c>
      <c r="AA31" s="853">
        <f t="shared" si="3"/>
        <v>1</v>
      </c>
      <c r="AB31" s="853">
        <f t="shared" si="4"/>
        <v>1</v>
      </c>
      <c r="AC31" s="853">
        <f t="shared" si="5"/>
        <v>1</v>
      </c>
    </row>
    <row r="32" ht="15.5" spans="1:29">
      <c r="A32" s="685"/>
      <c r="B32" s="638">
        <v>111</v>
      </c>
      <c r="C32" s="639"/>
      <c r="D32" s="643">
        <v>100</v>
      </c>
      <c r="E32" s="683"/>
      <c r="F32" s="681">
        <f>SUMIF(91:91,E32,92:92)-SUMIF(91:91,C32,92:92)+100</f>
        <v>100</v>
      </c>
      <c r="G32" s="683"/>
      <c r="H32" s="643">
        <f>SUMIF(91:91,G32,92:92)-SUMIF(91:91,C32,92:92)+100</f>
        <v>100</v>
      </c>
      <c r="I32" s="683"/>
      <c r="J32" s="643">
        <f>SUMIF(91:91,I32,92:92)-SUMIF(91:91,C32,92:92)+100</f>
        <v>100</v>
      </c>
      <c r="K32" s="768"/>
      <c r="L32" s="769"/>
      <c r="M32" s="755"/>
      <c r="N32" s="755"/>
      <c r="O32" s="1582"/>
      <c r="P32" s="859" t="s">
        <v>1202</v>
      </c>
      <c r="Q32" s="831">
        <f t="shared" si="11"/>
        <v>111</v>
      </c>
      <c r="R32" s="832" t="s">
        <v>1174</v>
      </c>
      <c r="S32" s="833">
        <f t="shared" si="12"/>
        <v>100</v>
      </c>
      <c r="T32" s="832" t="s">
        <v>1174</v>
      </c>
      <c r="U32" s="833">
        <f t="shared" si="13"/>
        <v>100</v>
      </c>
      <c r="V32" s="832" t="s">
        <v>1174</v>
      </c>
      <c r="W32" s="833">
        <f t="shared" si="14"/>
        <v>100</v>
      </c>
      <c r="X32" s="821"/>
      <c r="Y32" s="859" t="s">
        <v>1202</v>
      </c>
      <c r="Z32" s="820">
        <f t="shared" si="15"/>
        <v>111</v>
      </c>
      <c r="AA32" s="838">
        <f t="shared" si="3"/>
        <v>1</v>
      </c>
      <c r="AB32" s="838">
        <f t="shared" si="4"/>
        <v>1</v>
      </c>
      <c r="AC32" s="838">
        <f t="shared" si="5"/>
        <v>1</v>
      </c>
    </row>
    <row r="33" ht="15.5" spans="1:29">
      <c r="A33" s="685"/>
      <c r="B33" s="638">
        <v>111</v>
      </c>
      <c r="C33" s="639"/>
      <c r="D33" s="643">
        <v>100</v>
      </c>
      <c r="E33" s="683"/>
      <c r="F33" s="681">
        <f>SUMIF(93:93,E33,94:94)-SUMIF(93:93,C33,94:94)+100</f>
        <v>100</v>
      </c>
      <c r="G33" s="683"/>
      <c r="H33" s="643">
        <f>SUMIF(93:93,G33,94:94)-SUMIF(93:93,C33,94:94)+100</f>
        <v>100</v>
      </c>
      <c r="I33" s="683"/>
      <c r="J33" s="643">
        <f>SUMIF(93:93,I33,94:94)-SUMIF(93:93,C33,94:94)+100</f>
        <v>100</v>
      </c>
      <c r="K33" s="768"/>
      <c r="L33" s="769"/>
      <c r="M33" s="755"/>
      <c r="N33" s="755"/>
      <c r="O33" s="1582"/>
      <c r="P33" s="859"/>
      <c r="Q33" s="831">
        <f t="shared" si="11"/>
        <v>111</v>
      </c>
      <c r="R33" s="832" t="s">
        <v>1174</v>
      </c>
      <c r="S33" s="833">
        <f t="shared" si="12"/>
        <v>100</v>
      </c>
      <c r="T33" s="832" t="s">
        <v>1174</v>
      </c>
      <c r="U33" s="833">
        <f t="shared" si="13"/>
        <v>100</v>
      </c>
      <c r="V33" s="832" t="s">
        <v>1174</v>
      </c>
      <c r="W33" s="833">
        <f t="shared" si="14"/>
        <v>100</v>
      </c>
      <c r="X33" s="821"/>
      <c r="Y33" s="859"/>
      <c r="Z33" s="820">
        <f t="shared" si="15"/>
        <v>111</v>
      </c>
      <c r="AA33" s="838">
        <f t="shared" si="3"/>
        <v>1</v>
      </c>
      <c r="AB33" s="838">
        <f t="shared" si="4"/>
        <v>1</v>
      </c>
      <c r="AC33" s="838">
        <f t="shared" si="5"/>
        <v>1</v>
      </c>
    </row>
    <row r="34" ht="16.25" spans="1:29">
      <c r="A34" s="691"/>
      <c r="B34" s="645">
        <v>111</v>
      </c>
      <c r="C34" s="646"/>
      <c r="D34" s="647">
        <v>100</v>
      </c>
      <c r="E34" s="1858"/>
      <c r="F34" s="692">
        <f>SUMIF(95:95,E34,96:96)-SUMIF(95:95,C34,96:96)+100</f>
        <v>100</v>
      </c>
      <c r="G34" s="1858"/>
      <c r="H34" s="647">
        <f>SUMIF(95:95,G34,96:96)-SUMIF(95:95,C34,96:96)+100</f>
        <v>100</v>
      </c>
      <c r="I34" s="1858"/>
      <c r="J34" s="647">
        <f>SUMIF(95:95,I34,96:96)-SUMIF(95:95,C34,96:96)+100</f>
        <v>100</v>
      </c>
      <c r="K34" s="768"/>
      <c r="L34" s="769"/>
      <c r="M34" s="755"/>
      <c r="N34" s="755"/>
      <c r="O34" s="1582"/>
      <c r="P34" s="859"/>
      <c r="Q34" s="831">
        <f t="shared" si="11"/>
        <v>111</v>
      </c>
      <c r="R34" s="832" t="s">
        <v>1174</v>
      </c>
      <c r="S34" s="833">
        <f t="shared" si="12"/>
        <v>100</v>
      </c>
      <c r="T34" s="832" t="s">
        <v>1174</v>
      </c>
      <c r="U34" s="833">
        <f t="shared" si="13"/>
        <v>100</v>
      </c>
      <c r="V34" s="832" t="s">
        <v>1174</v>
      </c>
      <c r="W34" s="833">
        <f t="shared" si="14"/>
        <v>100</v>
      </c>
      <c r="X34" s="821"/>
      <c r="Y34" s="859"/>
      <c r="Z34" s="820">
        <f t="shared" si="15"/>
        <v>111</v>
      </c>
      <c r="AA34" s="838">
        <f t="shared" si="3"/>
        <v>1</v>
      </c>
      <c r="AB34" s="838">
        <f t="shared" si="4"/>
        <v>1</v>
      </c>
      <c r="AC34" s="838">
        <f t="shared" si="5"/>
        <v>1</v>
      </c>
    </row>
    <row r="35" spans="1:29">
      <c r="A35" s="693" t="s">
        <v>1214</v>
      </c>
      <c r="B35" s="694"/>
      <c r="C35" s="695" t="s">
        <v>124</v>
      </c>
      <c r="D35" s="696"/>
      <c r="E35" s="697"/>
      <c r="F35" s="698"/>
      <c r="G35" s="699"/>
      <c r="H35" s="700"/>
      <c r="I35" s="697"/>
      <c r="J35" s="700"/>
      <c r="K35" s="781"/>
      <c r="L35" s="782"/>
      <c r="M35" s="710"/>
      <c r="N35" s="755"/>
      <c r="O35" s="710"/>
      <c r="P35" s="831" t="str">
        <f>A35</f>
        <v>成交单价（元/平方米）</v>
      </c>
      <c r="Q35" s="831"/>
      <c r="R35" s="838">
        <f>E35</f>
        <v>0</v>
      </c>
      <c r="S35" s="838"/>
      <c r="T35" s="838">
        <f>G35</f>
        <v>0</v>
      </c>
      <c r="U35" s="838"/>
      <c r="V35" s="838">
        <f>I35</f>
        <v>0</v>
      </c>
      <c r="W35" s="838"/>
      <c r="X35" s="721"/>
      <c r="Y35" s="862"/>
      <c r="Z35" s="721"/>
      <c r="AA35" s="721"/>
      <c r="AB35" s="721"/>
      <c r="AC35" s="721"/>
    </row>
    <row r="36" ht="14.75" spans="1:29">
      <c r="A36" s="701" t="s">
        <v>1215</v>
      </c>
      <c r="B36" s="702"/>
      <c r="C36" s="703" t="e">
        <f>R37</f>
        <v>#DIV/0!</v>
      </c>
      <c r="D36" s="704" t="s">
        <v>1216</v>
      </c>
      <c r="E36" s="705" t="e">
        <f>R36</f>
        <v>#DIV/0!</v>
      </c>
      <c r="F36" s="706"/>
      <c r="G36" s="703" t="e">
        <f>T36</f>
        <v>#DIV/0!</v>
      </c>
      <c r="H36" s="706"/>
      <c r="I36" s="705" t="e">
        <f>V36</f>
        <v>#DIV/0!</v>
      </c>
      <c r="J36" s="706"/>
      <c r="K36" s="783">
        <f>F36+H36+J36</f>
        <v>0</v>
      </c>
      <c r="L36" s="782"/>
      <c r="M36" s="710"/>
      <c r="N36" s="755"/>
      <c r="O36" s="710"/>
      <c r="P36" s="831" t="str">
        <f>A36</f>
        <v>比较价值（元/平方米）</v>
      </c>
      <c r="Q36" s="831"/>
      <c r="R36" s="838" t="e">
        <f>IF(F1="售价",ROUND(PRODUCT(R35,AA7:AA34),0),ROUND(PRODUCT(R35,AA7:AA34),1))</f>
        <v>#DIV/0!</v>
      </c>
      <c r="S36" s="838"/>
      <c r="T36" s="838" t="e">
        <f>IF(F1="售价",ROUND(PRODUCT(T35,AB7:AB34),0),ROUND(PRODUCT(T35,AB7:AB34),1))</f>
        <v>#DIV/0!</v>
      </c>
      <c r="U36" s="838"/>
      <c r="V36" s="838" t="e">
        <f>IF(F1="售价",ROUND(PRODUCT(V35,AC7:AC34),0),ROUND(PRODUCT(V35,AC7:AC34),1))</f>
        <v>#DIV/0!</v>
      </c>
      <c r="W36" s="838"/>
      <c r="X36" s="721"/>
      <c r="Y36" s="721"/>
      <c r="Z36" s="721"/>
      <c r="AA36" s="721"/>
      <c r="AB36" s="721"/>
      <c r="AC36" s="721"/>
    </row>
    <row r="37" ht="14.75" spans="1:29">
      <c r="A37" s="707" t="s">
        <v>1217</v>
      </c>
      <c r="B37" s="708"/>
      <c r="C37" s="709" t="e">
        <f>R37</f>
        <v>#DIV/0!</v>
      </c>
      <c r="D37" s="709"/>
      <c r="E37" s="709"/>
      <c r="F37" s="709"/>
      <c r="G37" s="709"/>
      <c r="H37" s="709"/>
      <c r="I37" s="709"/>
      <c r="J37" s="709"/>
      <c r="K37" s="785"/>
      <c r="L37" s="782"/>
      <c r="M37" s="710"/>
      <c r="N37" s="710"/>
      <c r="O37" s="710"/>
      <c r="P37" s="689" t="str">
        <f>A37</f>
        <v>估价对象XX用房的比较价值（楼面单价，元/平方米）</v>
      </c>
      <c r="Q37" s="1598"/>
      <c r="R37" s="1871" t="e">
        <f>IF(F1="售价",ROUND(IF(D36="简单平均",AVERAGE(R36:W36),R36*F36+T36*H36+V36*J36),0),ROUND(IF(D36="简单平均",AVERAGE(R36:V36),R36*F36+T36*H36+V36*J36),1))</f>
        <v>#DIV/0!</v>
      </c>
      <c r="S37" s="1871"/>
      <c r="T37" s="1871"/>
      <c r="U37" s="1871"/>
      <c r="V37" s="1871"/>
      <c r="W37" s="1871"/>
      <c r="X37" s="721"/>
      <c r="Y37" s="721"/>
      <c r="Z37" s="721"/>
      <c r="AA37" s="721"/>
      <c r="AB37" s="721"/>
      <c r="AC37" s="721"/>
    </row>
    <row r="38" spans="1:30">
      <c r="A38" s="710"/>
      <c r="B38" s="710"/>
      <c r="C38" s="710"/>
      <c r="D38" s="710"/>
      <c r="E38" s="710"/>
      <c r="F38" s="710"/>
      <c r="G38" s="711"/>
      <c r="H38" s="710"/>
      <c r="I38" s="710"/>
      <c r="J38" s="710"/>
      <c r="K38" s="787"/>
      <c r="L38" s="788"/>
      <c r="M38" s="710"/>
      <c r="N38" s="710"/>
      <c r="O38" s="710"/>
      <c r="P38" s="710"/>
      <c r="Q38" s="710"/>
      <c r="R38" s="710"/>
      <c r="S38" s="710"/>
      <c r="T38" s="710"/>
      <c r="U38" s="710"/>
      <c r="V38" s="710"/>
      <c r="W38" s="710"/>
      <c r="X38" s="710"/>
      <c r="Y38" s="710"/>
      <c r="Z38" s="710"/>
      <c r="AA38" s="710"/>
      <c r="AB38" s="710"/>
      <c r="AC38" s="710"/>
      <c r="AD38" s="710"/>
    </row>
    <row r="39" spans="1:30">
      <c r="A39" s="710"/>
      <c r="B39" s="710"/>
      <c r="C39" s="710"/>
      <c r="D39" s="710"/>
      <c r="E39" s="710"/>
      <c r="F39" s="710"/>
      <c r="G39" s="710"/>
      <c r="H39" s="710"/>
      <c r="I39" s="710"/>
      <c r="J39" s="710"/>
      <c r="K39" s="787"/>
      <c r="L39" s="788"/>
      <c r="M39" s="710"/>
      <c r="N39" s="710"/>
      <c r="O39" s="710"/>
      <c r="P39" s="710"/>
      <c r="Q39" s="710"/>
      <c r="R39" s="710"/>
      <c r="S39" s="710"/>
      <c r="T39" s="710"/>
      <c r="U39" s="710"/>
      <c r="V39" s="710"/>
      <c r="W39" s="710"/>
      <c r="X39" s="710"/>
      <c r="Y39" s="710"/>
      <c r="Z39" s="710"/>
      <c r="AA39" s="710"/>
      <c r="AB39" s="710"/>
      <c r="AC39" s="710"/>
      <c r="AD39" s="710"/>
    </row>
    <row r="40" ht="13.5" customHeight="1" spans="1:30">
      <c r="A40" s="710"/>
      <c r="B40" s="710"/>
      <c r="C40" s="712" t="s">
        <v>1218</v>
      </c>
      <c r="D40" s="713"/>
      <c r="E40" s="714" t="e">
        <f>IF(E35&lt;E36,E36/E35-1,E35/E36-1)</f>
        <v>#DIV/0!</v>
      </c>
      <c r="F40" s="715" t="e">
        <f>IF(OR(E40&gt;=0.3,E40&lt;=-0.3),"超过30%","")</f>
        <v>#DIV/0!</v>
      </c>
      <c r="G40" s="714" t="e">
        <f>IF(G35&lt;G36,G36/G35-1,G35/G36-1)</f>
        <v>#DIV/0!</v>
      </c>
      <c r="H40" s="715" t="e">
        <f>IF(OR(G40&gt;=0.3,G40&lt;=-0.3),"超过30%","")</f>
        <v>#DIV/0!</v>
      </c>
      <c r="I40" s="714" t="e">
        <f>IF(I35&lt;I36,I36/I35-1,I35/I36-1)</f>
        <v>#DIV/0!</v>
      </c>
      <c r="J40" s="715" t="e">
        <f>IF(OR(I40&gt;=0.3,I40&lt;=-0.3),"超过30%","")</f>
        <v>#DIV/0!</v>
      </c>
      <c r="K40" s="787"/>
      <c r="L40" s="788"/>
      <c r="M40" s="710"/>
      <c r="N40" s="710"/>
      <c r="O40" s="710"/>
      <c r="P40" s="710"/>
      <c r="Q40" s="710"/>
      <c r="R40" s="710"/>
      <c r="S40" s="710"/>
      <c r="T40" s="710"/>
      <c r="U40" s="710"/>
      <c r="V40" s="710"/>
      <c r="W40" s="710"/>
      <c r="X40" s="710"/>
      <c r="Y40" s="710"/>
      <c r="Z40" s="710"/>
      <c r="AA40" s="710"/>
      <c r="AB40" s="710"/>
      <c r="AC40" s="710"/>
      <c r="AD40" s="710"/>
    </row>
    <row r="41" ht="13.5" customHeight="1" spans="1:30">
      <c r="A41" s="710"/>
      <c r="B41" s="710"/>
      <c r="C41" s="712" t="s">
        <v>1219</v>
      </c>
      <c r="D41" s="716"/>
      <c r="E41" s="714" t="e">
        <f>IF(E36&lt;G36,G36/E36-1,E36/G36-1)</f>
        <v>#DIV/0!</v>
      </c>
      <c r="F41" s="715" t="e">
        <f>IF(OR(E41&gt;=0.2,E41&lt;=-0.2),"超过20%","")</f>
        <v>#DIV/0!</v>
      </c>
      <c r="G41" s="714" t="e">
        <f>IF(G36&lt;I36,I36/G36-1,G36/I36-1)</f>
        <v>#DIV/0!</v>
      </c>
      <c r="H41" s="715" t="e">
        <f>IF(OR(G41&gt;=0.2,G41&lt;=-0.2),"超过20%","")</f>
        <v>#DIV/0!</v>
      </c>
      <c r="I41" s="714" t="e">
        <f>IF(I36&lt;E36,E36/I36-1,I36/E36-1)</f>
        <v>#DIV/0!</v>
      </c>
      <c r="J41" s="715" t="e">
        <f>IF(OR(I41&gt;=0.2,I41&lt;=-0.2),"超过20%","")</f>
        <v>#DIV/0!</v>
      </c>
      <c r="K41" s="787"/>
      <c r="L41" s="788"/>
      <c r="M41" s="710"/>
      <c r="N41" s="710"/>
      <c r="O41" s="710"/>
      <c r="P41" s="710"/>
      <c r="Q41" s="710"/>
      <c r="R41" s="710"/>
      <c r="S41" s="710"/>
      <c r="T41" s="710"/>
      <c r="U41" s="710"/>
      <c r="V41" s="710"/>
      <c r="W41" s="710"/>
      <c r="X41" s="710"/>
      <c r="Y41" s="710"/>
      <c r="Z41" s="710"/>
      <c r="AA41" s="710"/>
      <c r="AB41" s="710"/>
      <c r="AC41" s="710"/>
      <c r="AD41" s="710"/>
    </row>
    <row r="42" s="571" customFormat="1" ht="13.5" customHeight="1" spans="1:30">
      <c r="A42" s="717"/>
      <c r="B42" s="717"/>
      <c r="C42" s="712" t="s">
        <v>1220</v>
      </c>
      <c r="D42" s="716"/>
      <c r="E42" s="714" t="e">
        <f>IF(E35&lt;G35,G35/E35-1,E35/G35-1)</f>
        <v>#DIV/0!</v>
      </c>
      <c r="F42" s="715" t="e">
        <f>IF(OR(E42&gt;=0.3,E42&lt;=-0.3),"超过30%","")</f>
        <v>#DIV/0!</v>
      </c>
      <c r="G42" s="714" t="e">
        <f>IF(G35&lt;I35,I35/G35-1,G35/I35-1)</f>
        <v>#DIV/0!</v>
      </c>
      <c r="H42" s="715" t="e">
        <f>IF(OR(G42&gt;=0.3,G42&lt;=-0.3),"超过30%","")</f>
        <v>#DIV/0!</v>
      </c>
      <c r="I42" s="714" t="e">
        <f>IF(I35&lt;E35,E35/I35-1,I35/E35-1)</f>
        <v>#DIV/0!</v>
      </c>
      <c r="J42" s="715" t="e">
        <f>IF(OR(I42&gt;=0.3,I42&lt;=-0.3),"超过30%","")</f>
        <v>#DIV/0!</v>
      </c>
      <c r="K42" s="790"/>
      <c r="L42" s="791"/>
      <c r="M42" s="717"/>
      <c r="N42" s="717"/>
      <c r="O42" s="717"/>
      <c r="P42" s="717"/>
      <c r="Q42" s="717"/>
      <c r="R42" s="717"/>
      <c r="S42" s="717"/>
      <c r="T42" s="717"/>
      <c r="U42" s="717"/>
      <c r="V42" s="717"/>
      <c r="W42" s="717"/>
      <c r="X42" s="717"/>
      <c r="Y42" s="717"/>
      <c r="Z42" s="717"/>
      <c r="AA42" s="717"/>
      <c r="AB42" s="717"/>
      <c r="AC42" s="717"/>
      <c r="AD42" s="717"/>
    </row>
    <row r="43" s="571" customFormat="1" spans="1:30">
      <c r="A43" s="717"/>
      <c r="B43" s="718"/>
      <c r="C43" s="719"/>
      <c r="D43" s="717"/>
      <c r="E43" s="717"/>
      <c r="F43" s="717"/>
      <c r="G43" s="717"/>
      <c r="H43" s="717"/>
      <c r="I43" s="717"/>
      <c r="J43" s="717"/>
      <c r="K43" s="790"/>
      <c r="L43" s="791"/>
      <c r="M43" s="717"/>
      <c r="N43" s="717"/>
      <c r="O43" s="717"/>
      <c r="P43" s="717"/>
      <c r="Q43" s="717"/>
      <c r="R43" s="717"/>
      <c r="S43" s="717"/>
      <c r="T43" s="717"/>
      <c r="U43" s="717"/>
      <c r="V43" s="717"/>
      <c r="W43" s="717"/>
      <c r="X43" s="717"/>
      <c r="Y43" s="717"/>
      <c r="Z43" s="717"/>
      <c r="AA43" s="717"/>
      <c r="AB43" s="717"/>
      <c r="AC43" s="717"/>
      <c r="AD43" s="717"/>
    </row>
    <row r="44" spans="1:30">
      <c r="A44" s="710"/>
      <c r="B44" s="718"/>
      <c r="C44" s="719"/>
      <c r="D44" s="710"/>
      <c r="E44" s="710"/>
      <c r="F44" s="710"/>
      <c r="G44" s="710"/>
      <c r="H44" s="710"/>
      <c r="I44" s="710"/>
      <c r="J44" s="710"/>
      <c r="K44" s="787"/>
      <c r="L44" s="788"/>
      <c r="M44" s="710"/>
      <c r="N44" s="710"/>
      <c r="O44" s="710"/>
      <c r="P44" s="710"/>
      <c r="Q44" s="710"/>
      <c r="R44" s="710"/>
      <c r="S44" s="710"/>
      <c r="T44" s="710"/>
      <c r="U44" s="710"/>
      <c r="V44" s="710"/>
      <c r="W44" s="710"/>
      <c r="X44" s="710"/>
      <c r="Y44" s="710"/>
      <c r="Z44" s="710"/>
      <c r="AA44" s="710"/>
      <c r="AB44" s="710"/>
      <c r="AC44" s="710"/>
      <c r="AD44" s="710"/>
    </row>
    <row r="45" ht="21.75" spans="1:30">
      <c r="A45" s="720" t="s">
        <v>1221</v>
      </c>
      <c r="B45" s="721"/>
      <c r="C45" s="722"/>
      <c r="D45" s="722"/>
      <c r="E45" s="722"/>
      <c r="F45" s="723"/>
      <c r="G45" s="723"/>
      <c r="H45" s="722"/>
      <c r="I45" s="722"/>
      <c r="J45" s="722"/>
      <c r="K45" s="793"/>
      <c r="L45" s="1593"/>
      <c r="M45" s="722"/>
      <c r="N45" s="796"/>
      <c r="O45" s="796"/>
      <c r="P45" s="796"/>
      <c r="Q45" s="843"/>
      <c r="R45" s="710"/>
      <c r="S45" s="710"/>
      <c r="T45" s="710"/>
      <c r="U45" s="710"/>
      <c r="V45" s="710"/>
      <c r="W45" s="710"/>
      <c r="X45" s="710"/>
      <c r="Y45" s="710"/>
      <c r="Z45" s="710"/>
      <c r="AA45" s="710"/>
      <c r="AB45" s="710"/>
      <c r="AC45" s="710"/>
      <c r="AD45" s="710"/>
    </row>
    <row r="46" s="572" customFormat="1" spans="1:30">
      <c r="A46" s="724" t="s">
        <v>1172</v>
      </c>
      <c r="B46" s="725"/>
      <c r="C46" s="726" t="str">
        <f>YEAR(C7)&amp;"-"&amp;MONTH(C7)</f>
        <v>2024-9</v>
      </c>
      <c r="D46" s="727">
        <f>EDATE(C46,-1)</f>
        <v>45505</v>
      </c>
      <c r="E46" s="727">
        <f t="shared" ref="E46:O46" si="16">EDATE(D46,-1)</f>
        <v>45474</v>
      </c>
      <c r="F46" s="727">
        <f t="shared" si="16"/>
        <v>45444</v>
      </c>
      <c r="G46" s="727">
        <f t="shared" si="16"/>
        <v>45413</v>
      </c>
      <c r="H46" s="727">
        <f t="shared" si="16"/>
        <v>45383</v>
      </c>
      <c r="I46" s="727">
        <f t="shared" si="16"/>
        <v>45352</v>
      </c>
      <c r="J46" s="727">
        <f t="shared" si="16"/>
        <v>45323</v>
      </c>
      <c r="K46" s="727">
        <f t="shared" si="16"/>
        <v>45292</v>
      </c>
      <c r="L46" s="727">
        <f t="shared" si="16"/>
        <v>45261</v>
      </c>
      <c r="M46" s="727">
        <f t="shared" si="16"/>
        <v>45231</v>
      </c>
      <c r="N46" s="727">
        <f t="shared" si="16"/>
        <v>45200</v>
      </c>
      <c r="O46" s="727">
        <f t="shared" si="16"/>
        <v>45170</v>
      </c>
      <c r="P46" s="1613"/>
      <c r="Q46" s="844"/>
      <c r="R46" s="844"/>
      <c r="S46" s="844"/>
      <c r="T46" s="844"/>
      <c r="U46" s="844"/>
      <c r="V46" s="844"/>
      <c r="W46" s="844"/>
      <c r="X46" s="844"/>
      <c r="Y46" s="844"/>
      <c r="Z46" s="844"/>
      <c r="AA46" s="844"/>
      <c r="AB46" s="844"/>
      <c r="AC46" s="844"/>
      <c r="AD46" s="844"/>
    </row>
    <row r="47" s="568" customFormat="1" spans="1:30">
      <c r="A47" s="728"/>
      <c r="B47" s="729"/>
      <c r="C47" s="730">
        <v>100</v>
      </c>
      <c r="D47" s="731"/>
      <c r="E47" s="731"/>
      <c r="F47" s="731"/>
      <c r="G47" s="731"/>
      <c r="H47" s="731"/>
      <c r="I47" s="731"/>
      <c r="J47" s="731"/>
      <c r="K47" s="731"/>
      <c r="L47" s="731"/>
      <c r="M47" s="799"/>
      <c r="N47" s="731"/>
      <c r="O47" s="806"/>
      <c r="P47" s="843"/>
      <c r="Q47" s="845"/>
      <c r="R47" s="845"/>
      <c r="S47" s="845"/>
      <c r="T47" s="845"/>
      <c r="U47" s="845"/>
      <c r="V47" s="845"/>
      <c r="W47" s="845"/>
      <c r="X47" s="845"/>
      <c r="Y47" s="845"/>
      <c r="Z47" s="845"/>
      <c r="AA47" s="845"/>
      <c r="AB47" s="845"/>
      <c r="AC47" s="845"/>
      <c r="AD47" s="845"/>
    </row>
    <row r="48" s="568" customFormat="1" ht="14.75" spans="1:30">
      <c r="A48" s="732" t="s">
        <v>1222</v>
      </c>
      <c r="B48" s="733"/>
      <c r="C48" s="734"/>
      <c r="D48" s="735"/>
      <c r="E48" s="735"/>
      <c r="F48" s="735"/>
      <c r="G48" s="735"/>
      <c r="H48" s="735"/>
      <c r="I48" s="735"/>
      <c r="J48" s="735"/>
      <c r="K48" s="735"/>
      <c r="L48" s="735"/>
      <c r="M48" s="801"/>
      <c r="N48" s="735"/>
      <c r="O48" s="1616"/>
      <c r="P48" s="843"/>
      <c r="Q48" s="843"/>
      <c r="R48" s="845"/>
      <c r="S48" s="845"/>
      <c r="T48" s="845"/>
      <c r="U48" s="845"/>
      <c r="V48" s="845"/>
      <c r="W48" s="845"/>
      <c r="X48" s="845"/>
      <c r="Y48" s="845"/>
      <c r="Z48" s="845"/>
      <c r="AA48" s="845"/>
      <c r="AB48" s="845"/>
      <c r="AC48" s="845"/>
      <c r="AD48" s="845"/>
    </row>
    <row r="49" s="568" customFormat="1" spans="1:30">
      <c r="A49" s="736" t="s">
        <v>1175</v>
      </c>
      <c r="B49" s="729"/>
      <c r="C49" s="737" t="s">
        <v>1223</v>
      </c>
      <c r="D49" s="739"/>
      <c r="E49" s="739"/>
      <c r="F49" s="739"/>
      <c r="G49" s="739"/>
      <c r="H49" s="739"/>
      <c r="I49" s="739"/>
      <c r="J49" s="739"/>
      <c r="K49" s="739"/>
      <c r="L49" s="802"/>
      <c r="M49" s="803"/>
      <c r="N49" s="804"/>
      <c r="O49" s="804"/>
      <c r="P49" s="1617"/>
      <c r="Q49" s="843"/>
      <c r="R49" s="845"/>
      <c r="S49" s="845"/>
      <c r="T49" s="845"/>
      <c r="U49" s="845"/>
      <c r="V49" s="845"/>
      <c r="W49" s="845"/>
      <c r="X49" s="845"/>
      <c r="Y49" s="845"/>
      <c r="Z49" s="845"/>
      <c r="AA49" s="845"/>
      <c r="AB49" s="845"/>
      <c r="AC49" s="845"/>
      <c r="AD49" s="845"/>
    </row>
    <row r="50" s="568" customFormat="1" ht="14.75" spans="1:30">
      <c r="A50" s="736"/>
      <c r="B50" s="729"/>
      <c r="C50" s="1608">
        <v>100</v>
      </c>
      <c r="D50" s="731"/>
      <c r="E50" s="731"/>
      <c r="F50" s="731"/>
      <c r="G50" s="731"/>
      <c r="H50" s="731"/>
      <c r="I50" s="731"/>
      <c r="J50" s="731"/>
      <c r="K50" s="731"/>
      <c r="L50" s="731"/>
      <c r="M50" s="806"/>
      <c r="N50" s="804"/>
      <c r="O50" s="804"/>
      <c r="P50" s="843"/>
      <c r="Q50" s="843"/>
      <c r="R50" s="845"/>
      <c r="S50" s="845"/>
      <c r="T50" s="845"/>
      <c r="U50" s="845"/>
      <c r="V50" s="845"/>
      <c r="W50" s="845"/>
      <c r="X50" s="845"/>
      <c r="Y50" s="845"/>
      <c r="Z50" s="845"/>
      <c r="AA50" s="845"/>
      <c r="AB50" s="845"/>
      <c r="AC50" s="845"/>
      <c r="AD50" s="845"/>
    </row>
    <row r="51" spans="1:30">
      <c r="A51" s="741" t="s">
        <v>1224</v>
      </c>
      <c r="B51" s="742" t="s">
        <v>1179</v>
      </c>
      <c r="C51" s="743">
        <f>C9</f>
        <v>0</v>
      </c>
      <c r="D51" s="745"/>
      <c r="E51" s="745"/>
      <c r="F51" s="745"/>
      <c r="G51" s="745"/>
      <c r="H51" s="745"/>
      <c r="I51" s="745"/>
      <c r="J51" s="745"/>
      <c r="K51" s="807"/>
      <c r="L51" s="808"/>
      <c r="M51" s="809"/>
      <c r="N51" s="810"/>
      <c r="O51" s="810"/>
      <c r="P51" s="1618"/>
      <c r="Q51" s="843"/>
      <c r="R51" s="710"/>
      <c r="S51" s="710"/>
      <c r="T51" s="710"/>
      <c r="U51" s="710"/>
      <c r="V51" s="710"/>
      <c r="W51" s="710"/>
      <c r="X51" s="710"/>
      <c r="Y51" s="710"/>
      <c r="Z51" s="710"/>
      <c r="AA51" s="710"/>
      <c r="AB51" s="710"/>
      <c r="AC51" s="710"/>
      <c r="AD51" s="710"/>
    </row>
    <row r="52" ht="14.75" spans="1:30">
      <c r="A52" s="864"/>
      <c r="B52" s="865"/>
      <c r="C52" s="866">
        <v>100</v>
      </c>
      <c r="D52" s="866"/>
      <c r="E52" s="866"/>
      <c r="F52" s="866"/>
      <c r="G52" s="866"/>
      <c r="H52" s="866"/>
      <c r="I52" s="866"/>
      <c r="J52" s="866"/>
      <c r="K52" s="866"/>
      <c r="L52" s="866"/>
      <c r="M52" s="903"/>
      <c r="N52" s="904"/>
      <c r="O52" s="904"/>
      <c r="P52" s="1618"/>
      <c r="Q52" s="843"/>
      <c r="R52" s="710"/>
      <c r="S52" s="710"/>
      <c r="T52" s="710"/>
      <c r="U52" s="710"/>
      <c r="V52" s="710"/>
      <c r="W52" s="710"/>
      <c r="X52" s="710"/>
      <c r="Y52" s="710"/>
      <c r="Z52" s="710"/>
      <c r="AA52" s="710"/>
      <c r="AB52" s="710"/>
      <c r="AC52" s="710"/>
      <c r="AD52" s="710"/>
    </row>
    <row r="53" ht="28.75" spans="1:30">
      <c r="A53" s="864"/>
      <c r="B53" s="867" t="s">
        <v>1184</v>
      </c>
      <c r="C53" s="868"/>
      <c r="D53" s="868"/>
      <c r="E53" s="868"/>
      <c r="F53" s="868"/>
      <c r="G53" s="868"/>
      <c r="H53" s="868"/>
      <c r="I53" s="868"/>
      <c r="J53" s="868"/>
      <c r="K53" s="905"/>
      <c r="L53" s="906"/>
      <c r="M53" s="907"/>
      <c r="N53" s="810"/>
      <c r="O53" s="810"/>
      <c r="P53" s="1618"/>
      <c r="Q53" s="843"/>
      <c r="R53" s="710"/>
      <c r="S53" s="710"/>
      <c r="T53" s="710"/>
      <c r="U53" s="710"/>
      <c r="V53" s="710"/>
      <c r="W53" s="710"/>
      <c r="X53" s="710"/>
      <c r="Y53" s="710"/>
      <c r="Z53" s="710"/>
      <c r="AA53" s="710"/>
      <c r="AB53" s="710"/>
      <c r="AC53" s="710"/>
      <c r="AD53" s="710"/>
    </row>
    <row r="54" ht="14.75" spans="1:30">
      <c r="A54" s="864"/>
      <c r="B54" s="869"/>
      <c r="C54" s="866"/>
      <c r="D54" s="866"/>
      <c r="E54" s="866"/>
      <c r="F54" s="866"/>
      <c r="G54" s="866"/>
      <c r="H54" s="866"/>
      <c r="I54" s="866"/>
      <c r="J54" s="866"/>
      <c r="K54" s="866"/>
      <c r="L54" s="866"/>
      <c r="M54" s="903"/>
      <c r="N54" s="904"/>
      <c r="O54" s="904"/>
      <c r="P54" s="1618"/>
      <c r="Q54" s="843"/>
      <c r="R54" s="710"/>
      <c r="S54" s="710"/>
      <c r="T54" s="710"/>
      <c r="U54" s="710"/>
      <c r="V54" s="710"/>
      <c r="W54" s="710"/>
      <c r="X54" s="710"/>
      <c r="Y54" s="710"/>
      <c r="Z54" s="710"/>
      <c r="AA54" s="710"/>
      <c r="AB54" s="710"/>
      <c r="AC54" s="710"/>
      <c r="AD54" s="710"/>
    </row>
    <row r="55" ht="14.75" spans="1:30">
      <c r="A55" s="864"/>
      <c r="B55" s="888">
        <f>B11</f>
        <v>111</v>
      </c>
      <c r="C55" s="873"/>
      <c r="D55" s="873"/>
      <c r="E55" s="873"/>
      <c r="F55" s="873"/>
      <c r="G55" s="873"/>
      <c r="H55" s="873"/>
      <c r="I55" s="873"/>
      <c r="J55" s="873"/>
      <c r="K55" s="908"/>
      <c r="L55" s="909"/>
      <c r="M55" s="910"/>
      <c r="N55" s="810"/>
      <c r="O55" s="810"/>
      <c r="P55" s="1618"/>
      <c r="Q55" s="843"/>
      <c r="R55" s="710"/>
      <c r="S55" s="710"/>
      <c r="T55" s="710"/>
      <c r="U55" s="710"/>
      <c r="V55" s="710"/>
      <c r="W55" s="710"/>
      <c r="X55" s="710"/>
      <c r="Y55" s="710"/>
      <c r="Z55" s="710"/>
      <c r="AA55" s="710"/>
      <c r="AB55" s="710"/>
      <c r="AC55" s="710"/>
      <c r="AD55" s="710"/>
    </row>
    <row r="56" ht="14.75" spans="1:30">
      <c r="A56" s="864"/>
      <c r="B56" s="865"/>
      <c r="C56" s="878"/>
      <c r="D56" s="866"/>
      <c r="E56" s="866"/>
      <c r="F56" s="866"/>
      <c r="G56" s="866"/>
      <c r="H56" s="866"/>
      <c r="I56" s="866"/>
      <c r="J56" s="866"/>
      <c r="K56" s="866"/>
      <c r="L56" s="866"/>
      <c r="M56" s="903"/>
      <c r="N56" s="904"/>
      <c r="O56" s="904"/>
      <c r="P56" s="1618"/>
      <c r="Q56" s="843"/>
      <c r="R56" s="710"/>
      <c r="S56" s="710"/>
      <c r="T56" s="710"/>
      <c r="U56" s="710"/>
      <c r="V56" s="710"/>
      <c r="W56" s="710"/>
      <c r="X56" s="710"/>
      <c r="Y56" s="710"/>
      <c r="Z56" s="710"/>
      <c r="AA56" s="710"/>
      <c r="AB56" s="710"/>
      <c r="AC56" s="710"/>
      <c r="AD56" s="710"/>
    </row>
    <row r="57" s="570" customFormat="1" ht="14.75" spans="1:30">
      <c r="A57" s="875"/>
      <c r="B57" s="867">
        <f>B12</f>
        <v>111</v>
      </c>
      <c r="C57" s="873"/>
      <c r="D57" s="873"/>
      <c r="E57" s="873"/>
      <c r="F57" s="873"/>
      <c r="G57" s="876"/>
      <c r="H57" s="877"/>
      <c r="I57" s="877"/>
      <c r="J57" s="877"/>
      <c r="K57" s="877"/>
      <c r="L57" s="912"/>
      <c r="M57" s="913"/>
      <c r="N57" s="914"/>
      <c r="O57" s="914"/>
      <c r="P57" s="1619"/>
      <c r="Q57" s="947"/>
      <c r="R57" s="948"/>
      <c r="S57" s="948"/>
      <c r="T57" s="948"/>
      <c r="U57" s="948"/>
      <c r="V57" s="948"/>
      <c r="W57" s="948"/>
      <c r="X57" s="948"/>
      <c r="Y57" s="948"/>
      <c r="Z57" s="948"/>
      <c r="AA57" s="948"/>
      <c r="AB57" s="948"/>
      <c r="AC57" s="948"/>
      <c r="AD57" s="948"/>
    </row>
    <row r="58" s="570" customFormat="1" ht="14.75" spans="1:30">
      <c r="A58" s="875"/>
      <c r="B58" s="869"/>
      <c r="C58" s="878"/>
      <c r="D58" s="866"/>
      <c r="E58" s="866"/>
      <c r="F58" s="866"/>
      <c r="G58" s="866"/>
      <c r="H58" s="866"/>
      <c r="I58" s="866"/>
      <c r="J58" s="866"/>
      <c r="K58" s="866"/>
      <c r="L58" s="866"/>
      <c r="M58" s="903"/>
      <c r="N58" s="904"/>
      <c r="O58" s="904"/>
      <c r="P58" s="1619"/>
      <c r="Q58" s="947"/>
      <c r="R58" s="948"/>
      <c r="S58" s="948"/>
      <c r="T58" s="948"/>
      <c r="U58" s="948"/>
      <c r="V58" s="948"/>
      <c r="W58" s="948"/>
      <c r="X58" s="948"/>
      <c r="Y58" s="948"/>
      <c r="Z58" s="948"/>
      <c r="AA58" s="948"/>
      <c r="AB58" s="948"/>
      <c r="AC58" s="948"/>
      <c r="AD58" s="948"/>
    </row>
    <row r="59" s="570" customFormat="1" ht="14.75" spans="1:30">
      <c r="A59" s="875"/>
      <c r="B59" s="867">
        <f>B13</f>
        <v>111</v>
      </c>
      <c r="C59" s="873"/>
      <c r="D59" s="873"/>
      <c r="E59" s="873"/>
      <c r="F59" s="873"/>
      <c r="G59" s="876"/>
      <c r="H59" s="877"/>
      <c r="I59" s="877"/>
      <c r="J59" s="877"/>
      <c r="K59" s="877"/>
      <c r="L59" s="912"/>
      <c r="M59" s="913"/>
      <c r="N59" s="914"/>
      <c r="O59" s="914"/>
      <c r="P59" s="777"/>
      <c r="Q59" s="949"/>
      <c r="R59" s="948"/>
      <c r="S59" s="948"/>
      <c r="T59" s="948"/>
      <c r="U59" s="948"/>
      <c r="V59" s="948"/>
      <c r="W59" s="948"/>
      <c r="X59" s="948"/>
      <c r="Y59" s="948"/>
      <c r="Z59" s="948"/>
      <c r="AA59" s="948"/>
      <c r="AB59" s="948"/>
      <c r="AC59" s="948"/>
      <c r="AD59" s="948"/>
    </row>
    <row r="60" s="570" customFormat="1" ht="14.75" spans="1:30">
      <c r="A60" s="875"/>
      <c r="B60" s="869"/>
      <c r="C60" s="878"/>
      <c r="D60" s="878"/>
      <c r="E60" s="878"/>
      <c r="F60" s="878"/>
      <c r="G60" s="878"/>
      <c r="H60" s="879"/>
      <c r="I60" s="879"/>
      <c r="J60" s="879"/>
      <c r="K60" s="879"/>
      <c r="L60" s="879"/>
      <c r="M60" s="917"/>
      <c r="N60" s="914"/>
      <c r="O60" s="914"/>
      <c r="P60" s="1619"/>
      <c r="Q60" s="947"/>
      <c r="R60" s="948"/>
      <c r="S60" s="948"/>
      <c r="T60" s="948"/>
      <c r="U60" s="948"/>
      <c r="V60" s="948"/>
      <c r="W60" s="948"/>
      <c r="X60" s="948"/>
      <c r="Y60" s="948"/>
      <c r="Z60" s="948"/>
      <c r="AA60" s="948"/>
      <c r="AB60" s="948"/>
      <c r="AC60" s="948"/>
      <c r="AD60" s="948"/>
    </row>
    <row r="61" ht="14.75" spans="1:30">
      <c r="A61" s="741" t="s">
        <v>1186</v>
      </c>
      <c r="B61" s="742" t="s">
        <v>1191</v>
      </c>
      <c r="C61" s="885" t="s">
        <v>1225</v>
      </c>
      <c r="D61" s="885" t="s">
        <v>1226</v>
      </c>
      <c r="E61" s="885" t="s">
        <v>1227</v>
      </c>
      <c r="F61" s="885" t="s">
        <v>1228</v>
      </c>
      <c r="G61" s="885" t="s">
        <v>1229</v>
      </c>
      <c r="H61" s="743"/>
      <c r="I61" s="743"/>
      <c r="J61" s="743"/>
      <c r="K61" s="922"/>
      <c r="L61" s="923"/>
      <c r="M61" s="924"/>
      <c r="N61" s="810"/>
      <c r="O61" s="810"/>
      <c r="P61" s="1621"/>
      <c r="Q61" s="843"/>
      <c r="R61" s="710"/>
      <c r="S61" s="710"/>
      <c r="T61" s="710"/>
      <c r="U61" s="710"/>
      <c r="V61" s="710"/>
      <c r="W61" s="710"/>
      <c r="X61" s="710"/>
      <c r="Y61" s="710"/>
      <c r="Z61" s="710"/>
      <c r="AA61" s="710"/>
      <c r="AB61" s="710"/>
      <c r="AC61" s="710"/>
      <c r="AD61" s="710"/>
    </row>
    <row r="62" ht="14.75" spans="1:30">
      <c r="A62" s="864"/>
      <c r="B62" s="869"/>
      <c r="C62" s="874">
        <v>100</v>
      </c>
      <c r="D62" s="874">
        <f>C62-$K14</f>
        <v>100</v>
      </c>
      <c r="E62" s="874">
        <f>D62-$K14</f>
        <v>100</v>
      </c>
      <c r="F62" s="874">
        <f>E62-$K14</f>
        <v>100</v>
      </c>
      <c r="G62" s="874">
        <f>F62-$K14</f>
        <v>100</v>
      </c>
      <c r="H62" s="874"/>
      <c r="I62" s="874"/>
      <c r="J62" s="874"/>
      <c r="K62" s="874"/>
      <c r="L62" s="874"/>
      <c r="M62" s="911"/>
      <c r="N62" s="904"/>
      <c r="O62" s="904"/>
      <c r="P62" s="1618"/>
      <c r="Q62" s="843"/>
      <c r="R62" s="710"/>
      <c r="S62" s="710"/>
      <c r="T62" s="710"/>
      <c r="U62" s="710"/>
      <c r="V62" s="710"/>
      <c r="W62" s="710"/>
      <c r="X62" s="710"/>
      <c r="Y62" s="710"/>
      <c r="Z62" s="710"/>
      <c r="AA62" s="710"/>
      <c r="AB62" s="710"/>
      <c r="AC62" s="710"/>
      <c r="AD62" s="710"/>
    </row>
    <row r="63" ht="28.75" spans="1:30">
      <c r="A63" s="864"/>
      <c r="B63" s="867" t="s">
        <v>1512</v>
      </c>
      <c r="C63" s="886" t="s">
        <v>1225</v>
      </c>
      <c r="D63" s="886" t="s">
        <v>1226</v>
      </c>
      <c r="E63" s="886" t="s">
        <v>1227</v>
      </c>
      <c r="F63" s="886" t="s">
        <v>1228</v>
      </c>
      <c r="G63" s="886" t="s">
        <v>1229</v>
      </c>
      <c r="H63" s="887"/>
      <c r="I63" s="887"/>
      <c r="J63" s="887"/>
      <c r="K63" s="926"/>
      <c r="L63" s="927"/>
      <c r="M63" s="928"/>
      <c r="N63" s="810"/>
      <c r="O63" s="810"/>
      <c r="P63" s="1618"/>
      <c r="Q63" s="843"/>
      <c r="R63" s="710"/>
      <c r="S63" s="710"/>
      <c r="T63" s="710"/>
      <c r="U63" s="710"/>
      <c r="V63" s="710"/>
      <c r="W63" s="710"/>
      <c r="X63" s="710"/>
      <c r="Y63" s="710"/>
      <c r="Z63" s="710"/>
      <c r="AA63" s="710"/>
      <c r="AB63" s="710"/>
      <c r="AC63" s="710"/>
      <c r="AD63" s="710"/>
    </row>
    <row r="64" ht="14.75" spans="1:30">
      <c r="A64" s="864"/>
      <c r="B64" s="869"/>
      <c r="C64" s="874">
        <v>100</v>
      </c>
      <c r="D64" s="874">
        <f>C64-$K16</f>
        <v>100</v>
      </c>
      <c r="E64" s="874">
        <f>D64-$K16</f>
        <v>100</v>
      </c>
      <c r="F64" s="874">
        <f>E64-$K16</f>
        <v>100</v>
      </c>
      <c r="G64" s="874">
        <f>F64-$K16</f>
        <v>100</v>
      </c>
      <c r="H64" s="874"/>
      <c r="I64" s="874"/>
      <c r="J64" s="874"/>
      <c r="K64" s="874"/>
      <c r="L64" s="874"/>
      <c r="M64" s="911"/>
      <c r="N64" s="904"/>
      <c r="O64" s="904"/>
      <c r="P64" s="1618"/>
      <c r="Q64" s="843"/>
      <c r="R64" s="710"/>
      <c r="S64" s="710"/>
      <c r="T64" s="710"/>
      <c r="U64" s="710"/>
      <c r="V64" s="710"/>
      <c r="W64" s="710"/>
      <c r="X64" s="710"/>
      <c r="Y64" s="710"/>
      <c r="Z64" s="710"/>
      <c r="AA64" s="710"/>
      <c r="AB64" s="710"/>
      <c r="AC64" s="710"/>
      <c r="AD64" s="710"/>
    </row>
    <row r="65" ht="14.75" spans="1:30">
      <c r="A65" s="864"/>
      <c r="B65" s="870" t="s">
        <v>1193</v>
      </c>
      <c r="C65" s="888" t="s">
        <v>1230</v>
      </c>
      <c r="D65" s="888" t="s">
        <v>1231</v>
      </c>
      <c r="E65" s="888" t="s">
        <v>1232</v>
      </c>
      <c r="F65" s="888" t="s">
        <v>1233</v>
      </c>
      <c r="G65" s="888" t="s">
        <v>1234</v>
      </c>
      <c r="H65" s="887"/>
      <c r="I65" s="887"/>
      <c r="J65" s="887"/>
      <c r="K65" s="887"/>
      <c r="L65" s="887"/>
      <c r="M65" s="929"/>
      <c r="N65" s="904"/>
      <c r="O65" s="904"/>
      <c r="P65" s="1618"/>
      <c r="Q65" s="843"/>
      <c r="R65" s="710"/>
      <c r="S65" s="710"/>
      <c r="T65" s="710"/>
      <c r="U65" s="710"/>
      <c r="V65" s="710"/>
      <c r="W65" s="710"/>
      <c r="X65" s="710"/>
      <c r="Y65" s="710"/>
      <c r="Z65" s="710"/>
      <c r="AA65" s="710"/>
      <c r="AB65" s="710"/>
      <c r="AC65" s="710"/>
      <c r="AD65" s="710"/>
    </row>
    <row r="66" ht="14.75" spans="1:30">
      <c r="A66" s="864"/>
      <c r="B66" s="870"/>
      <c r="C66" s="874">
        <v>100</v>
      </c>
      <c r="D66" s="874">
        <f>C66-$K18</f>
        <v>100</v>
      </c>
      <c r="E66" s="874">
        <f>D66-$K18</f>
        <v>100</v>
      </c>
      <c r="F66" s="874">
        <f>E66-$K18</f>
        <v>100</v>
      </c>
      <c r="G66" s="874">
        <f>F66-$K18</f>
        <v>100</v>
      </c>
      <c r="H66" s="888"/>
      <c r="I66" s="888"/>
      <c r="J66" s="888"/>
      <c r="K66" s="888"/>
      <c r="L66" s="888"/>
      <c r="M66" s="658"/>
      <c r="N66" s="904"/>
      <c r="O66" s="904"/>
      <c r="P66" s="1618"/>
      <c r="Q66" s="843"/>
      <c r="R66" s="710"/>
      <c r="S66" s="710"/>
      <c r="T66" s="710"/>
      <c r="U66" s="710"/>
      <c r="V66" s="710"/>
      <c r="W66" s="710"/>
      <c r="X66" s="710"/>
      <c r="Y66" s="710"/>
      <c r="Z66" s="710"/>
      <c r="AA66" s="710"/>
      <c r="AB66" s="710"/>
      <c r="AC66" s="710"/>
      <c r="AD66" s="710"/>
    </row>
    <row r="67" ht="14.75" spans="1:30">
      <c r="A67" s="864"/>
      <c r="B67" s="867" t="s">
        <v>1457</v>
      </c>
      <c r="C67" s="886" t="s">
        <v>1225</v>
      </c>
      <c r="D67" s="886" t="s">
        <v>1226</v>
      </c>
      <c r="E67" s="886" t="s">
        <v>1227</v>
      </c>
      <c r="F67" s="886" t="s">
        <v>1228</v>
      </c>
      <c r="G67" s="886" t="s">
        <v>1229</v>
      </c>
      <c r="H67" s="887"/>
      <c r="I67" s="887"/>
      <c r="J67" s="887"/>
      <c r="K67" s="926"/>
      <c r="L67" s="927"/>
      <c r="M67" s="928"/>
      <c r="N67" s="810"/>
      <c r="O67" s="810"/>
      <c r="P67" s="1618"/>
      <c r="Q67" s="843"/>
      <c r="R67" s="710"/>
      <c r="S67" s="710"/>
      <c r="T67" s="710"/>
      <c r="U67" s="710"/>
      <c r="V67" s="710"/>
      <c r="W67" s="710"/>
      <c r="X67" s="710"/>
      <c r="Y67" s="710"/>
      <c r="Z67" s="710"/>
      <c r="AA67" s="710"/>
      <c r="AB67" s="710"/>
      <c r="AC67" s="710"/>
      <c r="AD67" s="710"/>
    </row>
    <row r="68" ht="14.75" spans="1:30">
      <c r="A68" s="864"/>
      <c r="B68" s="869"/>
      <c r="C68" s="874">
        <v>100</v>
      </c>
      <c r="D68" s="874">
        <f>C68-$K20</f>
        <v>100</v>
      </c>
      <c r="E68" s="874">
        <f>D68-$K20</f>
        <v>100</v>
      </c>
      <c r="F68" s="874">
        <f>E68-$K20</f>
        <v>100</v>
      </c>
      <c r="G68" s="874">
        <f>F68-$K20</f>
        <v>100</v>
      </c>
      <c r="H68" s="874"/>
      <c r="I68" s="874"/>
      <c r="J68" s="874"/>
      <c r="K68" s="874"/>
      <c r="L68" s="874"/>
      <c r="M68" s="911"/>
      <c r="N68" s="904"/>
      <c r="O68" s="904"/>
      <c r="P68" s="1618"/>
      <c r="Q68" s="843"/>
      <c r="R68" s="710"/>
      <c r="S68" s="710"/>
      <c r="T68" s="710"/>
      <c r="U68" s="710"/>
      <c r="V68" s="710"/>
      <c r="W68" s="710"/>
      <c r="X68" s="710"/>
      <c r="Y68" s="710"/>
      <c r="Z68" s="710"/>
      <c r="AA68" s="710"/>
      <c r="AB68" s="710"/>
      <c r="AC68" s="710"/>
      <c r="AD68" s="710"/>
    </row>
    <row r="69" ht="14.75" spans="1:30">
      <c r="A69" s="864"/>
      <c r="B69" s="867" t="s">
        <v>1196</v>
      </c>
      <c r="C69" s="876"/>
      <c r="D69" s="876"/>
      <c r="E69" s="876"/>
      <c r="F69" s="876"/>
      <c r="G69" s="876"/>
      <c r="H69" s="868"/>
      <c r="I69" s="868"/>
      <c r="J69" s="868"/>
      <c r="K69" s="905"/>
      <c r="L69" s="906"/>
      <c r="M69" s="907"/>
      <c r="N69" s="810"/>
      <c r="O69" s="810"/>
      <c r="P69" s="1618"/>
      <c r="Q69" s="843"/>
      <c r="R69" s="710"/>
      <c r="S69" s="710"/>
      <c r="T69" s="710"/>
      <c r="U69" s="710"/>
      <c r="V69" s="710"/>
      <c r="W69" s="710"/>
      <c r="X69" s="710"/>
      <c r="Y69" s="710"/>
      <c r="Z69" s="710"/>
      <c r="AA69" s="710"/>
      <c r="AB69" s="710"/>
      <c r="AC69" s="710"/>
      <c r="AD69" s="710"/>
    </row>
    <row r="70" ht="14.75" spans="1:30">
      <c r="A70" s="864"/>
      <c r="B70" s="869"/>
      <c r="C70" s="874">
        <v>100</v>
      </c>
      <c r="D70" s="874">
        <f>C70-$K22</f>
        <v>100</v>
      </c>
      <c r="E70" s="874"/>
      <c r="F70" s="874"/>
      <c r="G70" s="874"/>
      <c r="H70" s="874"/>
      <c r="I70" s="874"/>
      <c r="J70" s="874"/>
      <c r="K70" s="874"/>
      <c r="L70" s="874"/>
      <c r="M70" s="911"/>
      <c r="N70" s="904"/>
      <c r="O70" s="904"/>
      <c r="P70" s="1618"/>
      <c r="Q70" s="843"/>
      <c r="R70" s="710"/>
      <c r="S70" s="710"/>
      <c r="T70" s="710"/>
      <c r="U70" s="710"/>
      <c r="V70" s="710"/>
      <c r="W70" s="710"/>
      <c r="X70" s="710"/>
      <c r="Y70" s="710"/>
      <c r="Z70" s="710"/>
      <c r="AA70" s="710"/>
      <c r="AB70" s="710"/>
      <c r="AC70" s="710"/>
      <c r="AD70" s="710"/>
    </row>
    <row r="71" s="568" customFormat="1" ht="14.75" spans="1:30">
      <c r="A71" s="889"/>
      <c r="B71" s="867">
        <f>B23</f>
        <v>111</v>
      </c>
      <c r="C71" s="873"/>
      <c r="D71" s="873"/>
      <c r="E71" s="873"/>
      <c r="F71" s="873"/>
      <c r="G71" s="876"/>
      <c r="H71" s="876"/>
      <c r="I71" s="876"/>
      <c r="J71" s="876"/>
      <c r="K71" s="876"/>
      <c r="L71" s="930"/>
      <c r="M71" s="931"/>
      <c r="N71" s="804"/>
      <c r="O71" s="804"/>
      <c r="P71" s="1618"/>
      <c r="Q71" s="843"/>
      <c r="R71" s="845"/>
      <c r="S71" s="845"/>
      <c r="T71" s="845"/>
      <c r="U71" s="845"/>
      <c r="V71" s="845"/>
      <c r="W71" s="845"/>
      <c r="X71" s="845"/>
      <c r="Y71" s="845"/>
      <c r="Z71" s="845"/>
      <c r="AA71" s="845"/>
      <c r="AB71" s="845"/>
      <c r="AC71" s="845"/>
      <c r="AD71" s="845"/>
    </row>
    <row r="72" s="568" customFormat="1" ht="14.75" spans="1:30">
      <c r="A72" s="889"/>
      <c r="B72" s="869"/>
      <c r="C72" s="878"/>
      <c r="D72" s="866"/>
      <c r="E72" s="866"/>
      <c r="F72" s="866"/>
      <c r="G72" s="866"/>
      <c r="H72" s="866"/>
      <c r="I72" s="866"/>
      <c r="J72" s="866"/>
      <c r="K72" s="866"/>
      <c r="L72" s="866"/>
      <c r="M72" s="903"/>
      <c r="N72" s="904"/>
      <c r="O72" s="904"/>
      <c r="P72" s="1618"/>
      <c r="Q72" s="843"/>
      <c r="R72" s="845"/>
      <c r="S72" s="845"/>
      <c r="T72" s="845"/>
      <c r="U72" s="845"/>
      <c r="V72" s="845"/>
      <c r="W72" s="845"/>
      <c r="X72" s="845"/>
      <c r="Y72" s="845"/>
      <c r="Z72" s="845"/>
      <c r="AA72" s="845"/>
      <c r="AB72" s="845"/>
      <c r="AC72" s="845"/>
      <c r="AD72" s="845"/>
    </row>
    <row r="73" s="568" customFormat="1" ht="14.75" spans="1:30">
      <c r="A73" s="889"/>
      <c r="B73" s="867">
        <f>B24</f>
        <v>111</v>
      </c>
      <c r="C73" s="873"/>
      <c r="D73" s="873"/>
      <c r="E73" s="873"/>
      <c r="F73" s="873"/>
      <c r="G73" s="876"/>
      <c r="H73" s="876"/>
      <c r="I73" s="876"/>
      <c r="J73" s="876"/>
      <c r="K73" s="876"/>
      <c r="L73" s="876"/>
      <c r="M73" s="931"/>
      <c r="N73" s="804"/>
      <c r="O73" s="804"/>
      <c r="P73" s="1618"/>
      <c r="Q73" s="843"/>
      <c r="R73" s="845"/>
      <c r="S73" s="845"/>
      <c r="T73" s="845"/>
      <c r="U73" s="845"/>
      <c r="V73" s="845"/>
      <c r="W73" s="845"/>
      <c r="X73" s="845"/>
      <c r="Y73" s="845"/>
      <c r="Z73" s="845"/>
      <c r="AA73" s="845"/>
      <c r="AB73" s="845"/>
      <c r="AC73" s="845"/>
      <c r="AD73" s="845"/>
    </row>
    <row r="74" s="568" customFormat="1" ht="14.75" spans="1:30">
      <c r="A74" s="889"/>
      <c r="B74" s="869"/>
      <c r="C74" s="878"/>
      <c r="D74" s="866"/>
      <c r="E74" s="866"/>
      <c r="F74" s="866"/>
      <c r="G74" s="866"/>
      <c r="H74" s="866"/>
      <c r="I74" s="866"/>
      <c r="J74" s="866"/>
      <c r="K74" s="866"/>
      <c r="L74" s="866"/>
      <c r="M74" s="903"/>
      <c r="N74" s="904"/>
      <c r="O74" s="904"/>
      <c r="P74" s="1618"/>
      <c r="Q74" s="843"/>
      <c r="R74" s="845"/>
      <c r="S74" s="845"/>
      <c r="T74" s="845"/>
      <c r="U74" s="845"/>
      <c r="V74" s="845"/>
      <c r="W74" s="845"/>
      <c r="X74" s="845"/>
      <c r="Y74" s="845"/>
      <c r="Z74" s="845"/>
      <c r="AA74" s="845"/>
      <c r="AB74" s="845"/>
      <c r="AC74" s="845"/>
      <c r="AD74" s="845"/>
    </row>
    <row r="75" s="570" customFormat="1" ht="14.75" spans="1:30">
      <c r="A75" s="875"/>
      <c r="B75" s="867">
        <f>B25</f>
        <v>111</v>
      </c>
      <c r="C75" s="873"/>
      <c r="D75" s="873"/>
      <c r="E75" s="873"/>
      <c r="F75" s="873"/>
      <c r="G75" s="876"/>
      <c r="H75" s="877"/>
      <c r="I75" s="877"/>
      <c r="J75" s="877"/>
      <c r="K75" s="877"/>
      <c r="L75" s="912"/>
      <c r="M75" s="913"/>
      <c r="N75" s="914"/>
      <c r="O75" s="914"/>
      <c r="P75" s="1619"/>
      <c r="Q75" s="947"/>
      <c r="R75" s="948"/>
      <c r="S75" s="948"/>
      <c r="T75" s="948"/>
      <c r="U75" s="948"/>
      <c r="V75" s="948"/>
      <c r="W75" s="948"/>
      <c r="X75" s="948"/>
      <c r="Y75" s="948"/>
      <c r="Z75" s="948"/>
      <c r="AA75" s="948"/>
      <c r="AB75" s="948"/>
      <c r="AC75" s="948"/>
      <c r="AD75" s="948"/>
    </row>
    <row r="76" s="570" customFormat="1" ht="14.75" spans="1:30">
      <c r="A76" s="875"/>
      <c r="B76" s="869"/>
      <c r="C76" s="878"/>
      <c r="D76" s="878"/>
      <c r="E76" s="878"/>
      <c r="F76" s="878"/>
      <c r="G76" s="866"/>
      <c r="H76" s="866"/>
      <c r="I76" s="866"/>
      <c r="J76" s="866"/>
      <c r="K76" s="866"/>
      <c r="L76" s="866"/>
      <c r="M76" s="903"/>
      <c r="N76" s="914"/>
      <c r="O76" s="914"/>
      <c r="P76" s="1619"/>
      <c r="Q76" s="947"/>
      <c r="R76" s="948"/>
      <c r="S76" s="948"/>
      <c r="T76" s="948"/>
      <c r="U76" s="948"/>
      <c r="V76" s="948"/>
      <c r="W76" s="948"/>
      <c r="X76" s="948"/>
      <c r="Y76" s="948"/>
      <c r="Z76" s="948"/>
      <c r="AA76" s="948"/>
      <c r="AB76" s="948"/>
      <c r="AC76" s="948"/>
      <c r="AD76" s="948"/>
    </row>
    <row r="77" ht="14.75" spans="1:30">
      <c r="A77" s="741" t="s">
        <v>1198</v>
      </c>
      <c r="B77" s="742" t="s">
        <v>1205</v>
      </c>
      <c r="C77" s="876"/>
      <c r="D77" s="876"/>
      <c r="E77" s="745"/>
      <c r="F77" s="745"/>
      <c r="G77" s="745"/>
      <c r="H77" s="745"/>
      <c r="I77" s="745"/>
      <c r="J77" s="745"/>
      <c r="K77" s="807"/>
      <c r="L77" s="808"/>
      <c r="M77" s="809"/>
      <c r="N77" s="810"/>
      <c r="O77" s="810"/>
      <c r="P77" s="1618"/>
      <c r="Q77" s="843"/>
      <c r="R77" s="710"/>
      <c r="S77" s="710"/>
      <c r="T77" s="710"/>
      <c r="U77" s="710"/>
      <c r="V77" s="710"/>
      <c r="W77" s="710"/>
      <c r="X77" s="710"/>
      <c r="Y77" s="710"/>
      <c r="Z77" s="710"/>
      <c r="AA77" s="710"/>
      <c r="AB77" s="710"/>
      <c r="AC77" s="710"/>
      <c r="AD77" s="710"/>
    </row>
    <row r="78" ht="14.75" spans="1:30">
      <c r="A78" s="864"/>
      <c r="B78" s="869"/>
      <c r="C78" s="874">
        <v>100</v>
      </c>
      <c r="D78" s="874">
        <f t="shared" ref="D78:M78" si="17">C78-$K26</f>
        <v>100</v>
      </c>
      <c r="E78" s="874">
        <f t="shared" si="17"/>
        <v>100</v>
      </c>
      <c r="F78" s="874">
        <f t="shared" si="17"/>
        <v>100</v>
      </c>
      <c r="G78" s="874">
        <f t="shared" si="17"/>
        <v>100</v>
      </c>
      <c r="H78" s="874">
        <f t="shared" si="17"/>
        <v>100</v>
      </c>
      <c r="I78" s="874">
        <f t="shared" si="17"/>
        <v>100</v>
      </c>
      <c r="J78" s="874">
        <f t="shared" si="17"/>
        <v>100</v>
      </c>
      <c r="K78" s="874">
        <f t="shared" si="17"/>
        <v>100</v>
      </c>
      <c r="L78" s="874">
        <f t="shared" si="17"/>
        <v>100</v>
      </c>
      <c r="M78" s="911">
        <f t="shared" si="17"/>
        <v>100</v>
      </c>
      <c r="N78" s="904"/>
      <c r="O78" s="904"/>
      <c r="P78" s="1618"/>
      <c r="Q78" s="843"/>
      <c r="R78" s="710"/>
      <c r="S78" s="710"/>
      <c r="T78" s="710"/>
      <c r="U78" s="710"/>
      <c r="V78" s="710"/>
      <c r="W78" s="710"/>
      <c r="X78" s="710"/>
      <c r="Y78" s="710"/>
      <c r="Z78" s="710"/>
      <c r="AA78" s="710"/>
      <c r="AB78" s="710"/>
      <c r="AC78" s="710"/>
      <c r="AD78" s="710"/>
    </row>
    <row r="79" ht="14.75" spans="1:30">
      <c r="A79" s="864"/>
      <c r="B79" s="867" t="s">
        <v>1500</v>
      </c>
      <c r="C79" s="886" t="str">
        <f>C80&amp;"(含)"&amp;"-"&amp;D80</f>
        <v>0.5(含)-0.6</v>
      </c>
      <c r="D79" s="886" t="str">
        <f>D80&amp;"(含)"&amp;"-"&amp;E80</f>
        <v>0.6(含)-0.7</v>
      </c>
      <c r="E79" s="886" t="str">
        <f>E80&amp;"(含)"&amp;"-"&amp;F80</f>
        <v>0.7(含)-0.8</v>
      </c>
      <c r="F79" s="886" t="str">
        <f>F80&amp;"(含)"&amp;"-"&amp;G80</f>
        <v>0.8(含)-0.9</v>
      </c>
      <c r="G79" s="886" t="str">
        <f>G80&amp;"(含)"&amp;"-"&amp;ROUND(H80,0)&amp;"(含)"</f>
        <v>0.9(含)-1(含)</v>
      </c>
      <c r="H79" s="886"/>
      <c r="I79" s="887"/>
      <c r="J79" s="887"/>
      <c r="K79" s="926"/>
      <c r="L79" s="927"/>
      <c r="M79" s="928"/>
      <c r="N79" s="804"/>
      <c r="O79" s="804"/>
      <c r="P79" s="1618"/>
      <c r="Q79" s="843"/>
      <c r="R79" s="710"/>
      <c r="S79" s="710"/>
      <c r="T79" s="710"/>
      <c r="U79" s="710"/>
      <c r="V79" s="710"/>
      <c r="W79" s="710"/>
      <c r="X79" s="710"/>
      <c r="Y79" s="710"/>
      <c r="Z79" s="710"/>
      <c r="AA79" s="710"/>
      <c r="AB79" s="710"/>
      <c r="AC79" s="710"/>
      <c r="AD79" s="710"/>
    </row>
    <row r="80" spans="1:30">
      <c r="A80" s="864"/>
      <c r="B80" s="870"/>
      <c r="C80" s="899">
        <v>0.5</v>
      </c>
      <c r="D80" s="899">
        <v>0.6</v>
      </c>
      <c r="E80" s="899">
        <v>0.7</v>
      </c>
      <c r="F80" s="899">
        <v>0.8</v>
      </c>
      <c r="G80" s="899">
        <v>0.9</v>
      </c>
      <c r="H80" s="899">
        <v>1.0001</v>
      </c>
      <c r="I80" s="888"/>
      <c r="J80" s="888"/>
      <c r="K80" s="1873"/>
      <c r="L80" s="1874"/>
      <c r="M80" s="1875"/>
      <c r="N80" s="804"/>
      <c r="O80" s="804"/>
      <c r="P80" s="1618"/>
      <c r="Q80" s="843"/>
      <c r="R80" s="710"/>
      <c r="S80" s="710"/>
      <c r="T80" s="710"/>
      <c r="U80" s="710"/>
      <c r="V80" s="710"/>
      <c r="W80" s="710"/>
      <c r="X80" s="710"/>
      <c r="Y80" s="710"/>
      <c r="Z80" s="710"/>
      <c r="AA80" s="710"/>
      <c r="AB80" s="710"/>
      <c r="AC80" s="710"/>
      <c r="AD80" s="710"/>
    </row>
    <row r="81" s="570" customFormat="1" ht="14.75" spans="1:30">
      <c r="A81" s="875"/>
      <c r="B81" s="869"/>
      <c r="C81" s="890">
        <v>100</v>
      </c>
      <c r="D81" s="874">
        <f t="shared" ref="D81:M81" si="18">C81+$K27</f>
        <v>100</v>
      </c>
      <c r="E81" s="874">
        <f t="shared" si="18"/>
        <v>100</v>
      </c>
      <c r="F81" s="874">
        <f t="shared" si="18"/>
        <v>100</v>
      </c>
      <c r="G81" s="874">
        <f t="shared" si="18"/>
        <v>100</v>
      </c>
      <c r="H81" s="874">
        <f t="shared" si="18"/>
        <v>100</v>
      </c>
      <c r="I81" s="874">
        <f t="shared" si="18"/>
        <v>100</v>
      </c>
      <c r="J81" s="874">
        <f t="shared" si="18"/>
        <v>100</v>
      </c>
      <c r="K81" s="874">
        <f t="shared" si="18"/>
        <v>100</v>
      </c>
      <c r="L81" s="874">
        <f t="shared" si="18"/>
        <v>100</v>
      </c>
      <c r="M81" s="874">
        <f t="shared" si="18"/>
        <v>100</v>
      </c>
      <c r="N81" s="904"/>
      <c r="O81" s="904"/>
      <c r="P81" s="1619"/>
      <c r="Q81" s="947"/>
      <c r="R81" s="948"/>
      <c r="S81" s="948"/>
      <c r="T81" s="948"/>
      <c r="U81" s="948"/>
      <c r="V81" s="948"/>
      <c r="W81" s="948"/>
      <c r="X81" s="948"/>
      <c r="Y81" s="948"/>
      <c r="Z81" s="948"/>
      <c r="AA81" s="948"/>
      <c r="AB81" s="948"/>
      <c r="AC81" s="948"/>
      <c r="AD81" s="948"/>
    </row>
    <row r="82" ht="14.75" spans="1:30">
      <c r="A82" s="898"/>
      <c r="B82" s="870" t="s">
        <v>1501</v>
      </c>
      <c r="C82" s="876"/>
      <c r="D82" s="876"/>
      <c r="E82" s="868"/>
      <c r="F82" s="868"/>
      <c r="G82" s="868"/>
      <c r="H82" s="868"/>
      <c r="I82" s="868"/>
      <c r="J82" s="868"/>
      <c r="K82" s="905"/>
      <c r="L82" s="906"/>
      <c r="M82" s="907"/>
      <c r="N82" s="810"/>
      <c r="O82" s="810"/>
      <c r="P82" s="1618"/>
      <c r="Q82" s="843"/>
      <c r="R82" s="710"/>
      <c r="S82" s="710"/>
      <c r="T82" s="710"/>
      <c r="U82" s="710"/>
      <c r="V82" s="710"/>
      <c r="W82" s="710"/>
      <c r="X82" s="710"/>
      <c r="Y82" s="710"/>
      <c r="Z82" s="710"/>
      <c r="AA82" s="710"/>
      <c r="AB82" s="710"/>
      <c r="AC82" s="710"/>
      <c r="AD82" s="710"/>
    </row>
    <row r="83" ht="14.75" spans="1:30">
      <c r="A83" s="864"/>
      <c r="B83" s="869"/>
      <c r="C83" s="874">
        <v>100</v>
      </c>
      <c r="D83" s="874">
        <f t="shared" ref="D83:M83" si="19">C83-$K28</f>
        <v>100</v>
      </c>
      <c r="E83" s="874">
        <f t="shared" si="19"/>
        <v>100</v>
      </c>
      <c r="F83" s="874">
        <f t="shared" si="19"/>
        <v>100</v>
      </c>
      <c r="G83" s="874">
        <f t="shared" si="19"/>
        <v>100</v>
      </c>
      <c r="H83" s="874">
        <f t="shared" si="19"/>
        <v>100</v>
      </c>
      <c r="I83" s="874">
        <f t="shared" si="19"/>
        <v>100</v>
      </c>
      <c r="J83" s="874">
        <f t="shared" si="19"/>
        <v>100</v>
      </c>
      <c r="K83" s="874">
        <f t="shared" si="19"/>
        <v>100</v>
      </c>
      <c r="L83" s="874">
        <f t="shared" si="19"/>
        <v>100</v>
      </c>
      <c r="M83" s="911">
        <f t="shared" si="19"/>
        <v>100</v>
      </c>
      <c r="N83" s="904"/>
      <c r="O83" s="904"/>
      <c r="P83" s="1618"/>
      <c r="Q83" s="843"/>
      <c r="R83" s="710"/>
      <c r="S83" s="710"/>
      <c r="T83" s="710"/>
      <c r="U83" s="710"/>
      <c r="V83" s="710"/>
      <c r="W83" s="710"/>
      <c r="X83" s="710"/>
      <c r="Y83" s="710"/>
      <c r="Z83" s="710"/>
      <c r="AA83" s="710"/>
      <c r="AB83" s="710"/>
      <c r="AC83" s="710"/>
      <c r="AD83" s="710"/>
    </row>
    <row r="84" ht="14.75" spans="1:30">
      <c r="A84" s="898"/>
      <c r="B84" s="867" t="s">
        <v>1510</v>
      </c>
      <c r="C84" s="876"/>
      <c r="D84" s="876"/>
      <c r="E84" s="876"/>
      <c r="F84" s="876"/>
      <c r="G84" s="876"/>
      <c r="H84" s="876"/>
      <c r="I84" s="868"/>
      <c r="J84" s="868"/>
      <c r="K84" s="905"/>
      <c r="L84" s="906"/>
      <c r="M84" s="907"/>
      <c r="N84" s="810"/>
      <c r="O84" s="810"/>
      <c r="P84" s="1618"/>
      <c r="Q84" s="843"/>
      <c r="R84" s="710"/>
      <c r="S84" s="710"/>
      <c r="T84" s="710"/>
      <c r="U84" s="710"/>
      <c r="V84" s="710"/>
      <c r="W84" s="710"/>
      <c r="X84" s="710"/>
      <c r="Y84" s="710"/>
      <c r="Z84" s="710"/>
      <c r="AA84" s="710"/>
      <c r="AB84" s="710"/>
      <c r="AC84" s="710"/>
      <c r="AD84" s="710"/>
    </row>
    <row r="85" ht="14.75" spans="1:30">
      <c r="A85" s="864"/>
      <c r="B85" s="869"/>
      <c r="C85" s="890">
        <v>100</v>
      </c>
      <c r="D85" s="874">
        <f t="shared" ref="D85:M85" si="20">C85+$K29</f>
        <v>100</v>
      </c>
      <c r="E85" s="874">
        <f t="shared" si="20"/>
        <v>100</v>
      </c>
      <c r="F85" s="874">
        <f t="shared" si="20"/>
        <v>100</v>
      </c>
      <c r="G85" s="874">
        <f t="shared" si="20"/>
        <v>100</v>
      </c>
      <c r="H85" s="874">
        <f t="shared" si="20"/>
        <v>100</v>
      </c>
      <c r="I85" s="874">
        <f t="shared" si="20"/>
        <v>100</v>
      </c>
      <c r="J85" s="874">
        <f t="shared" si="20"/>
        <v>100</v>
      </c>
      <c r="K85" s="874">
        <f t="shared" si="20"/>
        <v>100</v>
      </c>
      <c r="L85" s="874">
        <f t="shared" si="20"/>
        <v>100</v>
      </c>
      <c r="M85" s="874">
        <f t="shared" si="20"/>
        <v>100</v>
      </c>
      <c r="N85" s="904"/>
      <c r="O85" s="904"/>
      <c r="P85" s="1618"/>
      <c r="Q85" s="843"/>
      <c r="R85" s="710"/>
      <c r="S85" s="710"/>
      <c r="T85" s="710"/>
      <c r="U85" s="710"/>
      <c r="V85" s="710"/>
      <c r="W85" s="710"/>
      <c r="X85" s="710"/>
      <c r="Y85" s="710"/>
      <c r="Z85" s="710"/>
      <c r="AA85" s="710"/>
      <c r="AB85" s="710"/>
      <c r="AC85" s="710"/>
      <c r="AD85" s="710"/>
    </row>
    <row r="86" ht="14.75" spans="1:30">
      <c r="A86" s="898"/>
      <c r="B86" s="870" t="s">
        <v>597</v>
      </c>
      <c r="C86" s="886" t="str">
        <f t="shared" ref="C86:L86" si="21">C87&amp;"(含)"&amp;"-"&amp;D87</f>
        <v>(含)-</v>
      </c>
      <c r="D86" s="886" t="str">
        <f t="shared" si="21"/>
        <v>(含)-</v>
      </c>
      <c r="E86" s="886" t="str">
        <f t="shared" si="21"/>
        <v>(含)-</v>
      </c>
      <c r="F86" s="886" t="str">
        <f t="shared" si="21"/>
        <v>(含)-</v>
      </c>
      <c r="G86" s="886" t="str">
        <f t="shared" si="21"/>
        <v>(含)-</v>
      </c>
      <c r="H86" s="886" t="str">
        <f t="shared" si="21"/>
        <v>(含)-</v>
      </c>
      <c r="I86" s="886" t="str">
        <f t="shared" si="21"/>
        <v>(含)-</v>
      </c>
      <c r="J86" s="886" t="str">
        <f t="shared" si="21"/>
        <v>(含)-</v>
      </c>
      <c r="K86" s="886" t="str">
        <f t="shared" si="21"/>
        <v>(含)-</v>
      </c>
      <c r="L86" s="886" t="str">
        <f t="shared" si="21"/>
        <v>(含)-</v>
      </c>
      <c r="M86" s="936" t="str">
        <f>M87&amp;"(含)"&amp;"-"&amp;P87</f>
        <v>(含)-</v>
      </c>
      <c r="N86" s="810"/>
      <c r="O86" s="810"/>
      <c r="P86" s="1618"/>
      <c r="Q86" s="843"/>
      <c r="R86" s="710"/>
      <c r="S86" s="710"/>
      <c r="T86" s="710"/>
      <c r="U86" s="710"/>
      <c r="V86" s="710"/>
      <c r="W86" s="710"/>
      <c r="X86" s="710"/>
      <c r="Y86" s="710"/>
      <c r="Z86" s="710"/>
      <c r="AA86" s="710"/>
      <c r="AB86" s="710"/>
      <c r="AC86" s="710"/>
      <c r="AD86" s="710"/>
    </row>
    <row r="87" spans="1:30">
      <c r="A87" s="898"/>
      <c r="B87" s="870"/>
      <c r="C87" s="897"/>
      <c r="D87" s="897"/>
      <c r="E87" s="897"/>
      <c r="F87" s="897"/>
      <c r="G87" s="897"/>
      <c r="H87" s="897"/>
      <c r="I87" s="897"/>
      <c r="J87" s="937"/>
      <c r="K87" s="937"/>
      <c r="L87" s="938"/>
      <c r="M87" s="939"/>
      <c r="N87" s="810"/>
      <c r="O87" s="810"/>
      <c r="P87" s="1618"/>
      <c r="Q87" s="843"/>
      <c r="R87" s="710"/>
      <c r="S87" s="710"/>
      <c r="T87" s="710"/>
      <c r="U87" s="710"/>
      <c r="V87" s="710"/>
      <c r="W87" s="710"/>
      <c r="X87" s="710"/>
      <c r="Y87" s="710"/>
      <c r="Z87" s="710"/>
      <c r="AA87" s="710"/>
      <c r="AB87" s="710"/>
      <c r="AC87" s="710"/>
      <c r="AD87" s="710"/>
    </row>
    <row r="88" ht="14.75" spans="1:30">
      <c r="A88" s="864"/>
      <c r="B88" s="869"/>
      <c r="C88" s="878"/>
      <c r="D88" s="866"/>
      <c r="E88" s="866"/>
      <c r="F88" s="866"/>
      <c r="G88" s="866"/>
      <c r="H88" s="866"/>
      <c r="I88" s="866"/>
      <c r="J88" s="866"/>
      <c r="K88" s="866"/>
      <c r="L88" s="866"/>
      <c r="M88" s="866"/>
      <c r="N88" s="904"/>
      <c r="O88" s="904"/>
      <c r="P88" s="1618"/>
      <c r="Q88" s="843"/>
      <c r="R88" s="710"/>
      <c r="S88" s="710"/>
      <c r="T88" s="710"/>
      <c r="U88" s="710"/>
      <c r="V88" s="710"/>
      <c r="W88" s="710"/>
      <c r="X88" s="710"/>
      <c r="Y88" s="710"/>
      <c r="Z88" s="710"/>
      <c r="AA88" s="710"/>
      <c r="AB88" s="710"/>
      <c r="AC88" s="710"/>
      <c r="AD88" s="710"/>
    </row>
    <row r="89" s="570" customFormat="1" ht="14.75" spans="1:30">
      <c r="A89" s="895"/>
      <c r="B89" s="867" t="s">
        <v>1511</v>
      </c>
      <c r="C89" s="876"/>
      <c r="D89" s="876"/>
      <c r="E89" s="876"/>
      <c r="F89" s="876"/>
      <c r="G89" s="876"/>
      <c r="H89" s="876"/>
      <c r="I89" s="876"/>
      <c r="J89" s="876"/>
      <c r="K89" s="876"/>
      <c r="L89" s="876"/>
      <c r="M89" s="931"/>
      <c r="N89" s="914"/>
      <c r="O89" s="914"/>
      <c r="P89" s="1619"/>
      <c r="Q89" s="947"/>
      <c r="R89" s="948"/>
      <c r="S89" s="948"/>
      <c r="T89" s="948"/>
      <c r="U89" s="948"/>
      <c r="V89" s="948"/>
      <c r="W89" s="948"/>
      <c r="X89" s="948"/>
      <c r="Y89" s="948"/>
      <c r="Z89" s="948"/>
      <c r="AA89" s="948"/>
      <c r="AB89" s="948"/>
      <c r="AC89" s="948"/>
      <c r="AD89" s="948"/>
    </row>
    <row r="90" s="570" customFormat="1" ht="14.75" spans="1:30">
      <c r="A90" s="875"/>
      <c r="B90" s="869"/>
      <c r="C90" s="878"/>
      <c r="D90" s="866"/>
      <c r="E90" s="866"/>
      <c r="F90" s="866"/>
      <c r="G90" s="866"/>
      <c r="H90" s="866"/>
      <c r="I90" s="866"/>
      <c r="J90" s="866"/>
      <c r="K90" s="866"/>
      <c r="L90" s="866"/>
      <c r="M90" s="903"/>
      <c r="N90" s="914"/>
      <c r="O90" s="914"/>
      <c r="P90" s="1619"/>
      <c r="Q90" s="947"/>
      <c r="R90" s="948"/>
      <c r="S90" s="948"/>
      <c r="T90" s="948"/>
      <c r="U90" s="948"/>
      <c r="V90" s="948"/>
      <c r="W90" s="948"/>
      <c r="X90" s="948"/>
      <c r="Y90" s="948"/>
      <c r="Z90" s="948"/>
      <c r="AA90" s="948"/>
      <c r="AB90" s="948"/>
      <c r="AC90" s="948"/>
      <c r="AD90" s="948"/>
    </row>
    <row r="91" ht="14.75" spans="1:30">
      <c r="A91" s="898"/>
      <c r="B91" s="867">
        <f>B32</f>
        <v>111</v>
      </c>
      <c r="C91" s="873"/>
      <c r="D91" s="873"/>
      <c r="E91" s="873"/>
      <c r="F91" s="873"/>
      <c r="G91" s="876"/>
      <c r="H91" s="877"/>
      <c r="I91" s="877"/>
      <c r="J91" s="877"/>
      <c r="K91" s="877"/>
      <c r="L91" s="912"/>
      <c r="M91" s="913"/>
      <c r="N91" s="810"/>
      <c r="O91" s="810"/>
      <c r="P91" s="1618"/>
      <c r="Q91" s="843"/>
      <c r="R91" s="710"/>
      <c r="S91" s="710"/>
      <c r="T91" s="710"/>
      <c r="U91" s="710"/>
      <c r="V91" s="710"/>
      <c r="W91" s="710"/>
      <c r="X91" s="710"/>
      <c r="Y91" s="710"/>
      <c r="Z91" s="710"/>
      <c r="AA91" s="710"/>
      <c r="AB91" s="710"/>
      <c r="AC91" s="710"/>
      <c r="AD91" s="710"/>
    </row>
    <row r="92" ht="14.75" spans="1:30">
      <c r="A92" s="864"/>
      <c r="B92" s="869"/>
      <c r="C92" s="878"/>
      <c r="D92" s="866"/>
      <c r="E92" s="866"/>
      <c r="F92" s="866"/>
      <c r="G92" s="878"/>
      <c r="H92" s="879"/>
      <c r="I92" s="879"/>
      <c r="J92" s="879"/>
      <c r="K92" s="879"/>
      <c r="L92" s="879"/>
      <c r="M92" s="917"/>
      <c r="N92" s="904"/>
      <c r="O92" s="904"/>
      <c r="P92" s="1618"/>
      <c r="Q92" s="843"/>
      <c r="R92" s="710"/>
      <c r="S92" s="710"/>
      <c r="T92" s="710"/>
      <c r="U92" s="710"/>
      <c r="V92" s="710"/>
      <c r="W92" s="710"/>
      <c r="X92" s="710"/>
      <c r="Y92" s="710"/>
      <c r="Z92" s="710"/>
      <c r="AA92" s="710"/>
      <c r="AB92" s="710"/>
      <c r="AC92" s="710"/>
      <c r="AD92" s="710"/>
    </row>
    <row r="93" ht="14.75" spans="1:30">
      <c r="A93" s="898"/>
      <c r="B93" s="867">
        <f>B33</f>
        <v>111</v>
      </c>
      <c r="C93" s="873"/>
      <c r="D93" s="873"/>
      <c r="E93" s="873"/>
      <c r="F93" s="873"/>
      <c r="G93" s="876"/>
      <c r="H93" s="877"/>
      <c r="I93" s="877"/>
      <c r="J93" s="877"/>
      <c r="K93" s="877"/>
      <c r="L93" s="912"/>
      <c r="M93" s="913"/>
      <c r="N93" s="810"/>
      <c r="O93" s="810"/>
      <c r="P93" s="1618"/>
      <c r="Q93" s="843"/>
      <c r="R93" s="710"/>
      <c r="S93" s="710"/>
      <c r="T93" s="710"/>
      <c r="U93" s="710"/>
      <c r="V93" s="710"/>
      <c r="W93" s="710"/>
      <c r="X93" s="710"/>
      <c r="Y93" s="710"/>
      <c r="Z93" s="710"/>
      <c r="AA93" s="710"/>
      <c r="AB93" s="710"/>
      <c r="AC93" s="710"/>
      <c r="AD93" s="710"/>
    </row>
    <row r="94" ht="14.75" spans="1:30">
      <c r="A94" s="864"/>
      <c r="B94" s="869"/>
      <c r="C94" s="878"/>
      <c r="D94" s="866"/>
      <c r="E94" s="866"/>
      <c r="F94" s="866"/>
      <c r="G94" s="878"/>
      <c r="H94" s="879"/>
      <c r="I94" s="879"/>
      <c r="J94" s="879"/>
      <c r="K94" s="879"/>
      <c r="L94" s="879"/>
      <c r="M94" s="917"/>
      <c r="N94" s="904"/>
      <c r="O94" s="904"/>
      <c r="P94" s="1618"/>
      <c r="Q94" s="843"/>
      <c r="R94" s="710"/>
      <c r="S94" s="710"/>
      <c r="T94" s="710"/>
      <c r="U94" s="710"/>
      <c r="V94" s="710"/>
      <c r="W94" s="710"/>
      <c r="X94" s="710"/>
      <c r="Y94" s="710"/>
      <c r="Z94" s="710"/>
      <c r="AA94" s="710"/>
      <c r="AB94" s="710"/>
      <c r="AC94" s="710"/>
      <c r="AD94" s="710"/>
    </row>
    <row r="95" ht="14.75" spans="1:30">
      <c r="A95" s="898"/>
      <c r="B95" s="900">
        <f>B34</f>
        <v>111</v>
      </c>
      <c r="C95" s="873"/>
      <c r="D95" s="873"/>
      <c r="E95" s="873"/>
      <c r="F95" s="873"/>
      <c r="G95" s="876"/>
      <c r="H95" s="877"/>
      <c r="I95" s="877"/>
      <c r="J95" s="877"/>
      <c r="K95" s="877"/>
      <c r="L95" s="912"/>
      <c r="M95" s="913"/>
      <c r="N95" s="904"/>
      <c r="O95" s="904"/>
      <c r="P95" s="1876"/>
      <c r="Q95" s="950"/>
      <c r="R95" s="710"/>
      <c r="S95" s="710"/>
      <c r="T95" s="710"/>
      <c r="U95" s="710"/>
      <c r="V95" s="710"/>
      <c r="W95" s="710"/>
      <c r="X95" s="710"/>
      <c r="Y95" s="710"/>
      <c r="Z95" s="710"/>
      <c r="AA95" s="710"/>
      <c r="AB95" s="710"/>
      <c r="AC95" s="710"/>
      <c r="AD95" s="710"/>
    </row>
    <row r="96" ht="14.75" spans="1:30">
      <c r="A96" s="864"/>
      <c r="B96" s="869"/>
      <c r="C96" s="878"/>
      <c r="D96" s="878"/>
      <c r="E96" s="878"/>
      <c r="F96" s="878"/>
      <c r="G96" s="878"/>
      <c r="H96" s="879"/>
      <c r="I96" s="879"/>
      <c r="J96" s="879"/>
      <c r="K96" s="879"/>
      <c r="L96" s="879"/>
      <c r="M96" s="917"/>
      <c r="N96" s="904"/>
      <c r="O96" s="904"/>
      <c r="P96" s="1618"/>
      <c r="Q96" s="843"/>
      <c r="R96" s="710"/>
      <c r="S96" s="710"/>
      <c r="T96" s="710"/>
      <c r="U96" s="710"/>
      <c r="V96" s="710"/>
      <c r="W96" s="710"/>
      <c r="X96" s="710"/>
      <c r="Y96" s="710"/>
      <c r="Z96" s="710"/>
      <c r="AA96" s="710"/>
      <c r="AB96" s="710"/>
      <c r="AC96" s="710"/>
      <c r="AD96" s="710"/>
    </row>
    <row r="97" ht="14.75" spans="14:30">
      <c r="N97" s="710"/>
      <c r="O97" s="710"/>
      <c r="P97" s="710"/>
      <c r="Q97" s="710"/>
      <c r="R97" s="710"/>
      <c r="S97" s="710"/>
      <c r="T97" s="710"/>
      <c r="U97" s="710"/>
      <c r="V97" s="710"/>
      <c r="W97" s="710"/>
      <c r="X97" s="710"/>
      <c r="Y97" s="710"/>
      <c r="Z97" s="710"/>
      <c r="AA97" s="710"/>
      <c r="AB97" s="710"/>
      <c r="AC97" s="710"/>
      <c r="AD97" s="710"/>
    </row>
    <row r="98" spans="1:30">
      <c r="A98" s="1872"/>
      <c r="B98" s="1872"/>
      <c r="C98" s="1872"/>
      <c r="D98" s="1872"/>
      <c r="E98" s="1872"/>
      <c r="F98" s="1872"/>
      <c r="G98" s="1872"/>
      <c r="H98" s="1872"/>
      <c r="I98" s="1872"/>
      <c r="J98" s="1872"/>
      <c r="K98" s="1877"/>
      <c r="L98" s="1878"/>
      <c r="M98" s="1872"/>
      <c r="N98" s="710"/>
      <c r="O98" s="710"/>
      <c r="P98" s="710"/>
      <c r="Q98" s="710"/>
      <c r="R98" s="710"/>
      <c r="S98" s="710"/>
      <c r="T98" s="710"/>
      <c r="U98" s="710"/>
      <c r="V98" s="710"/>
      <c r="W98" s="710"/>
      <c r="X98" s="710"/>
      <c r="Y98" s="710"/>
      <c r="Z98" s="710"/>
      <c r="AA98" s="710"/>
      <c r="AB98" s="710"/>
      <c r="AC98" s="710"/>
      <c r="AD98" s="710"/>
    </row>
    <row r="99" spans="1:30">
      <c r="A99" s="1872"/>
      <c r="B99" s="1872"/>
      <c r="C99" s="1872"/>
      <c r="D99" s="1872"/>
      <c r="E99" s="1872"/>
      <c r="F99" s="1872"/>
      <c r="G99" s="1872"/>
      <c r="H99" s="1872"/>
      <c r="I99" s="1872"/>
      <c r="J99" s="1872"/>
      <c r="K99" s="1877"/>
      <c r="L99" s="1878"/>
      <c r="M99" s="1872"/>
      <c r="N99" s="710"/>
      <c r="O99" s="710"/>
      <c r="P99" s="710"/>
      <c r="Q99" s="710"/>
      <c r="R99" s="710"/>
      <c r="S99" s="710"/>
      <c r="T99" s="710"/>
      <c r="U99" s="710"/>
      <c r="V99" s="710"/>
      <c r="W99" s="710"/>
      <c r="X99" s="710"/>
      <c r="Y99" s="710"/>
      <c r="Z99" s="710"/>
      <c r="AA99" s="710"/>
      <c r="AB99" s="710"/>
      <c r="AC99" s="710"/>
      <c r="AD99" s="710"/>
    </row>
    <row r="100" spans="1:30">
      <c r="A100" s="1872"/>
      <c r="B100" s="1872"/>
      <c r="C100" s="1872"/>
      <c r="D100" s="1872"/>
      <c r="E100" s="1872"/>
      <c r="F100" s="1872"/>
      <c r="G100" s="1872"/>
      <c r="H100" s="1872"/>
      <c r="I100" s="1872"/>
      <c r="J100" s="1872"/>
      <c r="K100" s="1877"/>
      <c r="L100" s="1878"/>
      <c r="M100" s="1872"/>
      <c r="N100" s="710"/>
      <c r="O100" s="710"/>
      <c r="P100" s="710"/>
      <c r="Q100" s="710"/>
      <c r="R100" s="710"/>
      <c r="S100" s="710"/>
      <c r="T100" s="710"/>
      <c r="U100" s="710"/>
      <c r="V100" s="710"/>
      <c r="W100" s="710"/>
      <c r="X100" s="710"/>
      <c r="Y100" s="710"/>
      <c r="Z100" s="710"/>
      <c r="AA100" s="710"/>
      <c r="AB100" s="710"/>
      <c r="AC100" s="710"/>
      <c r="AD100" s="710"/>
    </row>
    <row r="101" spans="1:30">
      <c r="A101" s="1872"/>
      <c r="B101" s="1872"/>
      <c r="C101" s="1872"/>
      <c r="D101" s="1872"/>
      <c r="E101" s="1872"/>
      <c r="F101" s="1872"/>
      <c r="G101" s="1872"/>
      <c r="H101" s="1872"/>
      <c r="I101" s="1872"/>
      <c r="J101" s="1872"/>
      <c r="K101" s="1877"/>
      <c r="L101" s="1878"/>
      <c r="M101" s="1872"/>
      <c r="N101" s="710"/>
      <c r="O101" s="710"/>
      <c r="P101" s="710"/>
      <c r="Q101" s="710"/>
      <c r="R101" s="710"/>
      <c r="S101" s="710"/>
      <c r="T101" s="710"/>
      <c r="U101" s="710"/>
      <c r="V101" s="710"/>
      <c r="W101" s="710"/>
      <c r="X101" s="710"/>
      <c r="Y101" s="710"/>
      <c r="Z101" s="710"/>
      <c r="AA101" s="710"/>
      <c r="AB101" s="710"/>
      <c r="AC101" s="710"/>
      <c r="AD101" s="710"/>
    </row>
    <row r="102" spans="1:30">
      <c r="A102" s="1872"/>
      <c r="B102" s="1872"/>
      <c r="C102" s="1872"/>
      <c r="D102" s="1872"/>
      <c r="E102" s="1872"/>
      <c r="F102" s="1872"/>
      <c r="G102" s="1872"/>
      <c r="H102" s="1872"/>
      <c r="I102" s="1872"/>
      <c r="J102" s="1872"/>
      <c r="K102" s="1877"/>
      <c r="L102" s="1878"/>
      <c r="M102" s="1872"/>
      <c r="N102" s="710"/>
      <c r="O102" s="710"/>
      <c r="P102" s="710"/>
      <c r="Q102" s="710"/>
      <c r="R102" s="710"/>
      <c r="S102" s="710"/>
      <c r="T102" s="710"/>
      <c r="U102" s="710"/>
      <c r="V102" s="710"/>
      <c r="W102" s="710"/>
      <c r="X102" s="710"/>
      <c r="Y102" s="710"/>
      <c r="Z102" s="710"/>
      <c r="AA102" s="710"/>
      <c r="AB102" s="710"/>
      <c r="AC102" s="710"/>
      <c r="AD102" s="710"/>
    </row>
    <row r="103" spans="1:30">
      <c r="A103" s="1872"/>
      <c r="B103" s="1872"/>
      <c r="C103" s="1872"/>
      <c r="D103" s="1872"/>
      <c r="E103" s="1872"/>
      <c r="F103" s="1872"/>
      <c r="G103" s="1872"/>
      <c r="H103" s="1872"/>
      <c r="I103" s="1872"/>
      <c r="J103" s="1872"/>
      <c r="K103" s="1877"/>
      <c r="L103" s="1878"/>
      <c r="M103" s="1872"/>
      <c r="N103" s="1872"/>
      <c r="O103" s="1872"/>
      <c r="P103" s="710"/>
      <c r="Q103" s="710"/>
      <c r="R103" s="710"/>
      <c r="S103" s="710"/>
      <c r="T103" s="710"/>
      <c r="U103" s="710"/>
      <c r="V103" s="710"/>
      <c r="W103" s="710"/>
      <c r="X103" s="710"/>
      <c r="Y103" s="710"/>
      <c r="Z103" s="710"/>
      <c r="AA103" s="710"/>
      <c r="AB103" s="710"/>
      <c r="AC103" s="710"/>
      <c r="AD103" s="710"/>
    </row>
    <row r="104" spans="1:20">
      <c r="A104" s="1872"/>
      <c r="B104" s="1872"/>
      <c r="C104" s="1872"/>
      <c r="D104" s="1872"/>
      <c r="E104" s="1872"/>
      <c r="F104" s="1872"/>
      <c r="G104" s="1872"/>
      <c r="H104" s="1872"/>
      <c r="I104" s="1872"/>
      <c r="J104" s="1872"/>
      <c r="K104" s="1877"/>
      <c r="L104" s="1878"/>
      <c r="M104" s="1872"/>
      <c r="N104" s="1872"/>
      <c r="O104" s="1872"/>
      <c r="P104" s="1872"/>
      <c r="Q104" s="1872"/>
      <c r="R104" s="1872"/>
      <c r="S104" s="1872"/>
      <c r="T104" s="1872"/>
    </row>
    <row r="105" spans="1:20">
      <c r="A105" s="1872"/>
      <c r="B105" s="1872"/>
      <c r="C105" s="1872"/>
      <c r="D105" s="1872"/>
      <c r="E105" s="1872"/>
      <c r="F105" s="1872"/>
      <c r="G105" s="1872"/>
      <c r="H105" s="1872"/>
      <c r="I105" s="1872"/>
      <c r="J105" s="1872"/>
      <c r="K105" s="1877"/>
      <c r="L105" s="1878"/>
      <c r="M105" s="1872"/>
      <c r="N105" s="1872"/>
      <c r="O105" s="1872"/>
      <c r="P105" s="1872"/>
      <c r="Q105" s="1872"/>
      <c r="R105" s="1872"/>
      <c r="S105" s="1872"/>
      <c r="T105" s="1872"/>
    </row>
    <row r="106" spans="1:20">
      <c r="A106" s="1872"/>
      <c r="B106" s="1872"/>
      <c r="C106" s="1872"/>
      <c r="D106" s="1872"/>
      <c r="E106" s="1872"/>
      <c r="F106" s="1872"/>
      <c r="G106" s="1872"/>
      <c r="H106" s="1872"/>
      <c r="I106" s="1872"/>
      <c r="J106" s="1872"/>
      <c r="K106" s="1877"/>
      <c r="L106" s="1878"/>
      <c r="M106" s="1872"/>
      <c r="N106" s="1872"/>
      <c r="O106" s="1872"/>
      <c r="P106" s="1872"/>
      <c r="Q106" s="1872"/>
      <c r="R106" s="1872"/>
      <c r="S106" s="1872"/>
      <c r="T106" s="1872"/>
    </row>
    <row r="107" spans="1:20">
      <c r="A107" s="1872"/>
      <c r="B107" s="1872"/>
      <c r="C107" s="1872"/>
      <c r="D107" s="1872"/>
      <c r="E107" s="1872"/>
      <c r="F107" s="1872"/>
      <c r="G107" s="1872"/>
      <c r="H107" s="1872"/>
      <c r="I107" s="1872"/>
      <c r="J107" s="1872"/>
      <c r="K107" s="1877"/>
      <c r="L107" s="1878"/>
      <c r="M107" s="1872"/>
      <c r="N107" s="1872"/>
      <c r="O107" s="1872"/>
      <c r="P107" s="1872"/>
      <c r="Q107" s="1872"/>
      <c r="R107" s="1872"/>
      <c r="S107" s="1872"/>
      <c r="T107" s="1872"/>
    </row>
    <row r="108" spans="1:20">
      <c r="A108" s="1872"/>
      <c r="B108" s="1872"/>
      <c r="C108" s="1872"/>
      <c r="D108" s="1872"/>
      <c r="E108" s="1872"/>
      <c r="F108" s="1872"/>
      <c r="G108" s="1872"/>
      <c r="H108" s="1872"/>
      <c r="I108" s="1872"/>
      <c r="J108" s="1872"/>
      <c r="K108" s="1877"/>
      <c r="L108" s="1878"/>
      <c r="M108" s="1872"/>
      <c r="N108" s="1872"/>
      <c r="O108" s="1872"/>
      <c r="P108" s="1872"/>
      <c r="Q108" s="1872"/>
      <c r="R108" s="1872"/>
      <c r="S108" s="1872"/>
      <c r="T108" s="1872"/>
    </row>
    <row r="109" spans="1:20">
      <c r="A109" s="1872"/>
      <c r="B109" s="1872"/>
      <c r="C109" s="1872"/>
      <c r="D109" s="1872"/>
      <c r="E109" s="1872"/>
      <c r="F109" s="1872"/>
      <c r="G109" s="1872"/>
      <c r="H109" s="1872"/>
      <c r="I109" s="1872"/>
      <c r="J109" s="1872"/>
      <c r="K109" s="1877"/>
      <c r="L109" s="1878"/>
      <c r="M109" s="1872"/>
      <c r="N109" s="1872"/>
      <c r="O109" s="1872"/>
      <c r="P109" s="1872"/>
      <c r="Q109" s="1872"/>
      <c r="R109" s="1872"/>
      <c r="S109" s="1872"/>
      <c r="T109" s="1872"/>
    </row>
    <row r="110" spans="1:20">
      <c r="A110" s="1872"/>
      <c r="B110" s="1872"/>
      <c r="C110" s="1872"/>
      <c r="D110" s="1872"/>
      <c r="E110" s="1872"/>
      <c r="F110" s="1872"/>
      <c r="G110" s="1872"/>
      <c r="H110" s="1872"/>
      <c r="I110" s="1872"/>
      <c r="J110" s="1872"/>
      <c r="K110" s="1877"/>
      <c r="L110" s="1878"/>
      <c r="M110" s="1872"/>
      <c r="N110" s="1872"/>
      <c r="O110" s="1872"/>
      <c r="P110" s="1872"/>
      <c r="Q110" s="1872"/>
      <c r="R110" s="1872"/>
      <c r="S110" s="1872"/>
      <c r="T110" s="1872"/>
    </row>
    <row r="111" spans="1:20">
      <c r="A111" s="1872"/>
      <c r="B111" s="1872"/>
      <c r="C111" s="1872"/>
      <c r="D111" s="1872"/>
      <c r="E111" s="1872"/>
      <c r="F111" s="1872"/>
      <c r="G111" s="1872"/>
      <c r="H111" s="1872"/>
      <c r="I111" s="1872"/>
      <c r="J111" s="1872"/>
      <c r="K111" s="1877"/>
      <c r="L111" s="1878"/>
      <c r="M111" s="1872"/>
      <c r="N111" s="1872"/>
      <c r="O111" s="1872"/>
      <c r="P111" s="1872"/>
      <c r="Q111" s="1872"/>
      <c r="R111" s="1872"/>
      <c r="S111" s="1872"/>
      <c r="T111" s="1872"/>
    </row>
    <row r="112" spans="1:20">
      <c r="A112" s="1872"/>
      <c r="B112" s="1872"/>
      <c r="C112" s="1872"/>
      <c r="D112" s="1872"/>
      <c r="E112" s="1872"/>
      <c r="F112" s="1872"/>
      <c r="G112" s="1872"/>
      <c r="H112" s="1872"/>
      <c r="I112" s="1872"/>
      <c r="J112" s="1872"/>
      <c r="K112" s="1877"/>
      <c r="L112" s="1878"/>
      <c r="M112" s="1872"/>
      <c r="N112" s="1872"/>
      <c r="O112" s="1872"/>
      <c r="P112" s="1872"/>
      <c r="Q112" s="1872"/>
      <c r="R112" s="1872"/>
      <c r="S112" s="1872"/>
      <c r="T112" s="1872"/>
    </row>
    <row r="113" spans="1:20">
      <c r="A113" s="1872"/>
      <c r="B113" s="1872"/>
      <c r="C113" s="1872"/>
      <c r="D113" s="1872"/>
      <c r="E113" s="1872"/>
      <c r="F113" s="1872"/>
      <c r="G113" s="1872"/>
      <c r="H113" s="1872"/>
      <c r="I113" s="1872"/>
      <c r="J113" s="1872"/>
      <c r="K113" s="1877"/>
      <c r="L113" s="1878"/>
      <c r="M113" s="1872"/>
      <c r="N113" s="1872"/>
      <c r="O113" s="1872"/>
      <c r="P113" s="1872"/>
      <c r="Q113" s="1872"/>
      <c r="R113" s="1872"/>
      <c r="S113" s="1872"/>
      <c r="T113" s="1872"/>
    </row>
    <row r="114" spans="1:20">
      <c r="A114" s="1872"/>
      <c r="B114" s="1872"/>
      <c r="C114" s="1872"/>
      <c r="D114" s="1872"/>
      <c r="E114" s="1872"/>
      <c r="F114" s="1872"/>
      <c r="G114" s="1872"/>
      <c r="H114" s="1872"/>
      <c r="I114" s="1872"/>
      <c r="J114" s="1872"/>
      <c r="K114" s="1877"/>
      <c r="L114" s="1878"/>
      <c r="M114" s="1872"/>
      <c r="N114" s="1872"/>
      <c r="O114" s="1872"/>
      <c r="P114" s="1872"/>
      <c r="Q114" s="1872"/>
      <c r="R114" s="1872"/>
      <c r="S114" s="1872"/>
      <c r="T114" s="1872"/>
    </row>
    <row r="115" spans="1:20">
      <c r="A115" s="1872"/>
      <c r="B115" s="1872"/>
      <c r="C115" s="1872"/>
      <c r="D115" s="1872"/>
      <c r="E115" s="1872"/>
      <c r="F115" s="1872"/>
      <c r="G115" s="1872"/>
      <c r="H115" s="1872"/>
      <c r="I115" s="1872"/>
      <c r="J115" s="1872"/>
      <c r="K115" s="1877"/>
      <c r="L115" s="1878"/>
      <c r="M115" s="1872"/>
      <c r="N115" s="1872"/>
      <c r="O115" s="1872"/>
      <c r="P115" s="1872"/>
      <c r="Q115" s="1872"/>
      <c r="R115" s="1872"/>
      <c r="S115" s="1872"/>
      <c r="T115" s="1872"/>
    </row>
    <row r="116" spans="1:20">
      <c r="A116" s="1872"/>
      <c r="B116" s="1872"/>
      <c r="C116" s="1872"/>
      <c r="D116" s="1872"/>
      <c r="E116" s="1872"/>
      <c r="F116" s="1872"/>
      <c r="G116" s="1872"/>
      <c r="H116" s="1872"/>
      <c r="I116" s="1872"/>
      <c r="J116" s="1872"/>
      <c r="K116" s="1877"/>
      <c r="L116" s="1878"/>
      <c r="M116" s="1872"/>
      <c r="N116" s="1872"/>
      <c r="O116" s="1872"/>
      <c r="P116" s="1872"/>
      <c r="Q116" s="1872"/>
      <c r="R116" s="1872"/>
      <c r="S116" s="1872"/>
      <c r="T116" s="1872"/>
    </row>
    <row r="117" spans="1:20">
      <c r="A117" s="1872"/>
      <c r="B117" s="1872"/>
      <c r="C117" s="1872"/>
      <c r="D117" s="1872"/>
      <c r="E117" s="1872"/>
      <c r="F117" s="1872"/>
      <c r="G117" s="1872"/>
      <c r="H117" s="1872"/>
      <c r="I117" s="1872"/>
      <c r="J117" s="1872"/>
      <c r="K117" s="1877"/>
      <c r="L117" s="1878"/>
      <c r="M117" s="1872"/>
      <c r="N117" s="1872"/>
      <c r="O117" s="1872"/>
      <c r="P117" s="1872"/>
      <c r="Q117" s="1872"/>
      <c r="R117" s="1872"/>
      <c r="S117" s="1872"/>
      <c r="T117" s="1872"/>
    </row>
    <row r="118" spans="1:20">
      <c r="A118" s="1872"/>
      <c r="B118" s="1872"/>
      <c r="C118" s="1872"/>
      <c r="D118" s="1872"/>
      <c r="E118" s="1872"/>
      <c r="F118" s="1872"/>
      <c r="G118" s="1872"/>
      <c r="H118" s="1872"/>
      <c r="I118" s="1872"/>
      <c r="J118" s="1872"/>
      <c r="K118" s="1877"/>
      <c r="L118" s="1878"/>
      <c r="M118" s="1872"/>
      <c r="N118" s="1872"/>
      <c r="O118" s="1872"/>
      <c r="P118" s="1872"/>
      <c r="Q118" s="1872"/>
      <c r="R118" s="1872"/>
      <c r="S118" s="1872"/>
      <c r="T118" s="1872"/>
    </row>
    <row r="119" spans="1:20">
      <c r="A119" s="1872"/>
      <c r="B119" s="1872"/>
      <c r="C119" s="1872"/>
      <c r="D119" s="1872"/>
      <c r="E119" s="1872"/>
      <c r="F119" s="1872"/>
      <c r="G119" s="1872"/>
      <c r="H119" s="1872"/>
      <c r="I119" s="1872"/>
      <c r="J119" s="1872"/>
      <c r="K119" s="1877"/>
      <c r="L119" s="1878"/>
      <c r="M119" s="1872"/>
      <c r="N119" s="1872"/>
      <c r="O119" s="1872"/>
      <c r="P119" s="1872"/>
      <c r="Q119" s="1872"/>
      <c r="R119" s="1872"/>
      <c r="S119" s="1872"/>
      <c r="T119" s="1872"/>
    </row>
    <row r="120" spans="1:20">
      <c r="A120" s="1872"/>
      <c r="B120" s="1872"/>
      <c r="C120" s="1872"/>
      <c r="D120" s="1872"/>
      <c r="E120" s="1872"/>
      <c r="F120" s="1872"/>
      <c r="G120" s="1872"/>
      <c r="H120" s="1872"/>
      <c r="I120" s="1872"/>
      <c r="J120" s="1872"/>
      <c r="K120" s="1877"/>
      <c r="L120" s="1878"/>
      <c r="M120" s="1872"/>
      <c r="N120" s="1872"/>
      <c r="O120" s="1872"/>
      <c r="P120" s="1872"/>
      <c r="Q120" s="1872"/>
      <c r="R120" s="1872"/>
      <c r="S120" s="1872"/>
      <c r="T120" s="1872"/>
    </row>
    <row r="121" spans="1:20">
      <c r="A121" s="1872"/>
      <c r="B121" s="1872"/>
      <c r="C121" s="1872"/>
      <c r="D121" s="1872"/>
      <c r="E121" s="1872"/>
      <c r="F121" s="1872"/>
      <c r="G121" s="1872"/>
      <c r="H121" s="1872"/>
      <c r="I121" s="1872"/>
      <c r="J121" s="1872"/>
      <c r="K121" s="1877"/>
      <c r="L121" s="1878"/>
      <c r="M121" s="1872"/>
      <c r="N121" s="1872"/>
      <c r="O121" s="1872"/>
      <c r="P121" s="1872"/>
      <c r="Q121" s="1872"/>
      <c r="R121" s="1872"/>
      <c r="S121" s="1872"/>
      <c r="T121" s="1872"/>
    </row>
    <row r="122" spans="1:20">
      <c r="A122" s="1872"/>
      <c r="B122" s="1872"/>
      <c r="C122" s="1872"/>
      <c r="D122" s="1872"/>
      <c r="E122" s="1872"/>
      <c r="F122" s="1872"/>
      <c r="G122" s="1872"/>
      <c r="H122" s="1872"/>
      <c r="I122" s="1872"/>
      <c r="J122" s="1872"/>
      <c r="K122" s="1877"/>
      <c r="L122" s="1878"/>
      <c r="M122" s="1872"/>
      <c r="N122" s="1872"/>
      <c r="O122" s="1872"/>
      <c r="P122" s="1872"/>
      <c r="Q122" s="1872"/>
      <c r="R122" s="1872"/>
      <c r="S122" s="1872"/>
      <c r="T122" s="1872"/>
    </row>
    <row r="123" spans="1:20">
      <c r="A123" s="1872"/>
      <c r="B123" s="1872"/>
      <c r="C123" s="1872"/>
      <c r="D123" s="1872"/>
      <c r="E123" s="1872"/>
      <c r="F123" s="1872"/>
      <c r="G123" s="1872"/>
      <c r="H123" s="1872"/>
      <c r="I123" s="1872"/>
      <c r="J123" s="1872"/>
      <c r="K123" s="1877"/>
      <c r="L123" s="1878"/>
      <c r="M123" s="1872"/>
      <c r="N123" s="1872"/>
      <c r="O123" s="1872"/>
      <c r="P123" s="1872"/>
      <c r="Q123" s="1872"/>
      <c r="R123" s="1872"/>
      <c r="S123" s="1872"/>
      <c r="T123" s="1872"/>
    </row>
    <row r="124" spans="1:20">
      <c r="A124" s="1872"/>
      <c r="B124" s="1872"/>
      <c r="C124" s="1872"/>
      <c r="D124" s="1872"/>
      <c r="E124" s="1872"/>
      <c r="F124" s="1872"/>
      <c r="G124" s="1872"/>
      <c r="H124" s="1872"/>
      <c r="I124" s="1872"/>
      <c r="J124" s="1872"/>
      <c r="K124" s="1877"/>
      <c r="L124" s="1878"/>
      <c r="M124" s="1872"/>
      <c r="N124" s="1872"/>
      <c r="O124" s="1872"/>
      <c r="P124" s="1872"/>
      <c r="Q124" s="1872"/>
      <c r="R124" s="1872"/>
      <c r="S124" s="1872"/>
      <c r="T124" s="1872"/>
    </row>
    <row r="125" spans="1:20">
      <c r="A125" s="1872"/>
      <c r="B125" s="1872"/>
      <c r="C125" s="1872"/>
      <c r="D125" s="1872"/>
      <c r="E125" s="1872"/>
      <c r="F125" s="1872"/>
      <c r="G125" s="1872"/>
      <c r="H125" s="1872"/>
      <c r="I125" s="1872"/>
      <c r="J125" s="1872"/>
      <c r="K125" s="1877"/>
      <c r="L125" s="1878"/>
      <c r="M125" s="1872"/>
      <c r="N125" s="1872"/>
      <c r="O125" s="1872"/>
      <c r="P125" s="1872"/>
      <c r="Q125" s="1872"/>
      <c r="R125" s="1872"/>
      <c r="S125" s="1872"/>
      <c r="T125" s="1872"/>
    </row>
    <row r="126" spans="1:20">
      <c r="A126" s="1872"/>
      <c r="B126" s="1872"/>
      <c r="C126" s="1872"/>
      <c r="D126" s="1872"/>
      <c r="E126" s="1872"/>
      <c r="F126" s="1872"/>
      <c r="G126" s="1872"/>
      <c r="H126" s="1872"/>
      <c r="I126" s="1872"/>
      <c r="J126" s="1872"/>
      <c r="K126" s="1877"/>
      <c r="L126" s="1878"/>
      <c r="M126" s="1872"/>
      <c r="N126" s="1872"/>
      <c r="O126" s="1872"/>
      <c r="P126" s="1872"/>
      <c r="Q126" s="1872"/>
      <c r="R126" s="1872"/>
      <c r="S126" s="1872"/>
      <c r="T126" s="1872"/>
    </row>
    <row r="127" spans="1:20">
      <c r="A127" s="1872"/>
      <c r="B127" s="1872"/>
      <c r="C127" s="1872"/>
      <c r="D127" s="1872"/>
      <c r="E127" s="1872"/>
      <c r="F127" s="1872"/>
      <c r="G127" s="1872"/>
      <c r="H127" s="1872"/>
      <c r="I127" s="1872"/>
      <c r="J127" s="1872"/>
      <c r="K127" s="1877"/>
      <c r="L127" s="1878"/>
      <c r="M127" s="1872"/>
      <c r="N127" s="1872"/>
      <c r="O127" s="1872"/>
      <c r="P127" s="1872"/>
      <c r="Q127" s="1872"/>
      <c r="R127" s="1872"/>
      <c r="S127" s="1872"/>
      <c r="T127" s="1872"/>
    </row>
    <row r="128" spans="1:20">
      <c r="A128" s="1872"/>
      <c r="B128" s="1872"/>
      <c r="C128" s="1872"/>
      <c r="D128" s="1872"/>
      <c r="E128" s="1872"/>
      <c r="F128" s="1872"/>
      <c r="G128" s="1872"/>
      <c r="H128" s="1872"/>
      <c r="I128" s="1872"/>
      <c r="J128" s="1872"/>
      <c r="K128" s="1877"/>
      <c r="L128" s="1878"/>
      <c r="M128" s="1872"/>
      <c r="N128" s="1872"/>
      <c r="O128" s="1872"/>
      <c r="P128" s="1872"/>
      <c r="Q128" s="1872"/>
      <c r="R128" s="1872"/>
      <c r="S128" s="1872"/>
      <c r="T128" s="1872"/>
    </row>
    <row r="129" spans="1:20">
      <c r="A129" s="1872"/>
      <c r="B129" s="1872"/>
      <c r="C129" s="1872"/>
      <c r="D129" s="1872"/>
      <c r="E129" s="1872"/>
      <c r="F129" s="1872"/>
      <c r="G129" s="1872"/>
      <c r="H129" s="1872"/>
      <c r="I129" s="1872"/>
      <c r="J129" s="1872"/>
      <c r="K129" s="1877"/>
      <c r="L129" s="1878"/>
      <c r="M129" s="1872"/>
      <c r="N129" s="1872"/>
      <c r="O129" s="1872"/>
      <c r="P129" s="1872"/>
      <c r="Q129" s="1872"/>
      <c r="R129" s="1872"/>
      <c r="S129" s="1872"/>
      <c r="T129" s="1872"/>
    </row>
    <row r="130" spans="1:20">
      <c r="A130" s="1872"/>
      <c r="B130" s="1872"/>
      <c r="C130" s="1872"/>
      <c r="D130" s="1872"/>
      <c r="E130" s="1872"/>
      <c r="F130" s="1872"/>
      <c r="G130" s="1872"/>
      <c r="H130" s="1872"/>
      <c r="I130" s="1872"/>
      <c r="J130" s="1872"/>
      <c r="K130" s="1877"/>
      <c r="L130" s="1878"/>
      <c r="M130" s="1872"/>
      <c r="N130" s="1872"/>
      <c r="O130" s="1872"/>
      <c r="P130" s="1872"/>
      <c r="Q130" s="1872"/>
      <c r="R130" s="1872"/>
      <c r="S130" s="1872"/>
      <c r="T130" s="1872"/>
    </row>
    <row r="131" spans="1:20">
      <c r="A131" s="1872"/>
      <c r="B131" s="1872"/>
      <c r="C131" s="1872"/>
      <c r="D131" s="1872"/>
      <c r="E131" s="1872"/>
      <c r="F131" s="1872"/>
      <c r="G131" s="1872"/>
      <c r="H131" s="1872"/>
      <c r="I131" s="1872"/>
      <c r="J131" s="1872"/>
      <c r="K131" s="1877"/>
      <c r="L131" s="1878"/>
      <c r="M131" s="1872"/>
      <c r="N131" s="1872"/>
      <c r="O131" s="1872"/>
      <c r="P131" s="1872"/>
      <c r="Q131" s="1872"/>
      <c r="R131" s="1872"/>
      <c r="S131" s="1872"/>
      <c r="T131" s="1872"/>
    </row>
    <row r="132" spans="1:20">
      <c r="A132" s="1872"/>
      <c r="B132" s="1872"/>
      <c r="C132" s="1872"/>
      <c r="D132" s="1872"/>
      <c r="E132" s="1872"/>
      <c r="F132" s="1872"/>
      <c r="G132" s="1872"/>
      <c r="H132" s="1872"/>
      <c r="I132" s="1872"/>
      <c r="J132" s="1872"/>
      <c r="K132" s="1877"/>
      <c r="L132" s="1878"/>
      <c r="M132" s="1872"/>
      <c r="N132" s="1872"/>
      <c r="O132" s="1872"/>
      <c r="P132" s="1872"/>
      <c r="Q132" s="1872"/>
      <c r="R132" s="1872"/>
      <c r="S132" s="1872"/>
      <c r="T132" s="1872"/>
    </row>
    <row r="133" spans="1:20">
      <c r="A133" s="1872"/>
      <c r="B133" s="1872"/>
      <c r="C133" s="1872"/>
      <c r="D133" s="1872"/>
      <c r="E133" s="1872"/>
      <c r="F133" s="1872"/>
      <c r="G133" s="1872"/>
      <c r="H133" s="1872"/>
      <c r="I133" s="1872"/>
      <c r="J133" s="1872"/>
      <c r="K133" s="1877"/>
      <c r="L133" s="1878"/>
      <c r="M133" s="1872"/>
      <c r="N133" s="1872"/>
      <c r="O133" s="1872"/>
      <c r="P133" s="1872"/>
      <c r="Q133" s="1872"/>
      <c r="R133" s="1872"/>
      <c r="S133" s="1872"/>
      <c r="T133" s="1872"/>
    </row>
    <row r="134" spans="1:20">
      <c r="A134" s="1872"/>
      <c r="B134" s="1872"/>
      <c r="C134" s="1872"/>
      <c r="D134" s="1872"/>
      <c r="E134" s="1872"/>
      <c r="F134" s="1872"/>
      <c r="G134" s="1872"/>
      <c r="H134" s="1872"/>
      <c r="I134" s="1872"/>
      <c r="J134" s="1872"/>
      <c r="K134" s="1877"/>
      <c r="L134" s="1878"/>
      <c r="M134" s="1872"/>
      <c r="N134" s="1872"/>
      <c r="O134" s="1872"/>
      <c r="P134" s="1872"/>
      <c r="Q134" s="1872"/>
      <c r="R134" s="1872"/>
      <c r="S134" s="1872"/>
      <c r="T134" s="1872"/>
    </row>
    <row r="135" spans="1:20">
      <c r="A135" s="1872"/>
      <c r="B135" s="1872"/>
      <c r="C135" s="1872"/>
      <c r="D135" s="1872"/>
      <c r="E135" s="1872"/>
      <c r="F135" s="1872"/>
      <c r="G135" s="1872"/>
      <c r="H135" s="1872"/>
      <c r="I135" s="1872"/>
      <c r="J135" s="1872"/>
      <c r="K135" s="1877"/>
      <c r="L135" s="1878"/>
      <c r="M135" s="1872"/>
      <c r="N135" s="1872"/>
      <c r="O135" s="1872"/>
      <c r="P135" s="1872"/>
      <c r="Q135" s="1872"/>
      <c r="R135" s="1872"/>
      <c r="S135" s="1872"/>
      <c r="T135" s="1872"/>
    </row>
    <row r="136" spans="1:20">
      <c r="A136" s="1872"/>
      <c r="B136" s="1872"/>
      <c r="C136" s="1872"/>
      <c r="D136" s="1872"/>
      <c r="E136" s="1872"/>
      <c r="F136" s="1872"/>
      <c r="G136" s="1872"/>
      <c r="H136" s="1872"/>
      <c r="I136" s="1872"/>
      <c r="J136" s="1872"/>
      <c r="K136" s="1877"/>
      <c r="L136" s="1878"/>
      <c r="M136" s="1872"/>
      <c r="N136" s="1872"/>
      <c r="O136" s="1872"/>
      <c r="P136" s="1872"/>
      <c r="Q136" s="1872"/>
      <c r="R136" s="1872"/>
      <c r="S136" s="1872"/>
      <c r="T136" s="1872"/>
    </row>
    <row r="137" spans="1:20">
      <c r="A137" s="1872"/>
      <c r="B137" s="1872"/>
      <c r="C137" s="1872"/>
      <c r="D137" s="1872"/>
      <c r="E137" s="1872"/>
      <c r="F137" s="1872"/>
      <c r="G137" s="1872"/>
      <c r="H137" s="1872"/>
      <c r="I137" s="1872"/>
      <c r="J137" s="1872"/>
      <c r="K137" s="1877"/>
      <c r="L137" s="1878"/>
      <c r="M137" s="1872"/>
      <c r="N137" s="1872"/>
      <c r="O137" s="1872"/>
      <c r="P137" s="1872"/>
      <c r="Q137" s="1872"/>
      <c r="R137" s="1872"/>
      <c r="S137" s="1872"/>
      <c r="T137" s="1872"/>
    </row>
    <row r="138" spans="1:20">
      <c r="A138" s="1872"/>
      <c r="B138" s="1872"/>
      <c r="C138" s="1872"/>
      <c r="D138" s="1872"/>
      <c r="E138" s="1872"/>
      <c r="F138" s="1872"/>
      <c r="G138" s="1872"/>
      <c r="H138" s="1872"/>
      <c r="I138" s="1872"/>
      <c r="J138" s="1872"/>
      <c r="K138" s="1877"/>
      <c r="L138" s="1878"/>
      <c r="M138" s="1872"/>
      <c r="N138" s="1872"/>
      <c r="O138" s="1872"/>
      <c r="P138" s="1872"/>
      <c r="Q138" s="1872"/>
      <c r="R138" s="1872"/>
      <c r="S138" s="1872"/>
      <c r="T138" s="1872"/>
    </row>
    <row r="139" spans="1:20">
      <c r="A139" s="1872"/>
      <c r="B139" s="1872"/>
      <c r="C139" s="1872"/>
      <c r="D139" s="1872"/>
      <c r="E139" s="1872"/>
      <c r="F139" s="1872"/>
      <c r="G139" s="1872"/>
      <c r="H139" s="1872"/>
      <c r="I139" s="1872"/>
      <c r="J139" s="1872"/>
      <c r="K139" s="1877"/>
      <c r="L139" s="1878"/>
      <c r="M139" s="1872"/>
      <c r="N139" s="1872"/>
      <c r="O139" s="1872"/>
      <c r="P139" s="1872"/>
      <c r="Q139" s="1872"/>
      <c r="R139" s="1872"/>
      <c r="S139" s="1872"/>
      <c r="T139" s="1872"/>
    </row>
    <row r="140" spans="1:20">
      <c r="A140" s="1872"/>
      <c r="B140" s="1872"/>
      <c r="C140" s="1872"/>
      <c r="D140" s="1872"/>
      <c r="E140" s="1872"/>
      <c r="F140" s="1872"/>
      <c r="G140" s="1872"/>
      <c r="H140" s="1872"/>
      <c r="I140" s="1872"/>
      <c r="J140" s="1872"/>
      <c r="K140" s="1877"/>
      <c r="L140" s="1878"/>
      <c r="M140" s="1872"/>
      <c r="N140" s="1872"/>
      <c r="O140" s="1872"/>
      <c r="P140" s="1872"/>
      <c r="Q140" s="1872"/>
      <c r="R140" s="1872"/>
      <c r="S140" s="1872"/>
      <c r="T140" s="1872"/>
    </row>
    <row r="141" spans="1:20">
      <c r="A141" s="1872"/>
      <c r="B141" s="1872"/>
      <c r="C141" s="1872"/>
      <c r="D141" s="1872"/>
      <c r="E141" s="1872"/>
      <c r="F141" s="1872"/>
      <c r="G141" s="1872"/>
      <c r="H141" s="1872"/>
      <c r="I141" s="1872"/>
      <c r="J141" s="1872"/>
      <c r="K141" s="1877"/>
      <c r="L141" s="1878"/>
      <c r="M141" s="1872"/>
      <c r="N141" s="1872"/>
      <c r="O141" s="1872"/>
      <c r="P141" s="1872"/>
      <c r="Q141" s="1872"/>
      <c r="R141" s="1872"/>
      <c r="S141" s="1872"/>
      <c r="T141" s="1872"/>
    </row>
    <row r="142" spans="1:20">
      <c r="A142" s="1872"/>
      <c r="B142" s="1872"/>
      <c r="C142" s="1872"/>
      <c r="D142" s="1872"/>
      <c r="E142" s="1872"/>
      <c r="F142" s="1872"/>
      <c r="G142" s="1872"/>
      <c r="H142" s="1872"/>
      <c r="I142" s="1872"/>
      <c r="J142" s="1872"/>
      <c r="K142" s="1877"/>
      <c r="L142" s="1878"/>
      <c r="M142" s="1872"/>
      <c r="N142" s="1872"/>
      <c r="O142" s="1872"/>
      <c r="P142" s="1872"/>
      <c r="Q142" s="1872"/>
      <c r="R142" s="1872"/>
      <c r="S142" s="1872"/>
      <c r="T142" s="1872"/>
    </row>
    <row r="143" spans="1:20">
      <c r="A143" s="1872"/>
      <c r="B143" s="1872"/>
      <c r="C143" s="1872"/>
      <c r="D143" s="1872"/>
      <c r="E143" s="1872"/>
      <c r="F143" s="1872"/>
      <c r="G143" s="1872"/>
      <c r="H143" s="1872"/>
      <c r="I143" s="1872"/>
      <c r="J143" s="1872"/>
      <c r="K143" s="1877"/>
      <c r="L143" s="1878"/>
      <c r="M143" s="1872"/>
      <c r="N143" s="1872"/>
      <c r="O143" s="1872"/>
      <c r="P143" s="1872"/>
      <c r="Q143" s="1872"/>
      <c r="R143" s="1872"/>
      <c r="S143" s="1872"/>
      <c r="T143" s="1872"/>
    </row>
    <row r="144" spans="1:20">
      <c r="A144" s="1872"/>
      <c r="B144" s="1872"/>
      <c r="C144" s="1872"/>
      <c r="D144" s="1872"/>
      <c r="E144" s="1872"/>
      <c r="F144" s="1872"/>
      <c r="G144" s="1872"/>
      <c r="H144" s="1872"/>
      <c r="I144" s="1872"/>
      <c r="J144" s="1872"/>
      <c r="K144" s="1877"/>
      <c r="L144" s="1878"/>
      <c r="M144" s="1872"/>
      <c r="N144" s="1872"/>
      <c r="O144" s="1872"/>
      <c r="P144" s="1872"/>
      <c r="Q144" s="1872"/>
      <c r="R144" s="1872"/>
      <c r="S144" s="1872"/>
      <c r="T144" s="1872"/>
    </row>
    <row r="145" spans="1:20">
      <c r="A145" s="1872"/>
      <c r="B145" s="1872"/>
      <c r="C145" s="1872"/>
      <c r="D145" s="1872"/>
      <c r="E145" s="1872"/>
      <c r="F145" s="1872"/>
      <c r="G145" s="1872"/>
      <c r="H145" s="1872"/>
      <c r="I145" s="1872"/>
      <c r="J145" s="1872"/>
      <c r="K145" s="1877"/>
      <c r="L145" s="1878"/>
      <c r="M145" s="1872"/>
      <c r="N145" s="1872"/>
      <c r="O145" s="1872"/>
      <c r="P145" s="1872"/>
      <c r="Q145" s="1872"/>
      <c r="R145" s="1872"/>
      <c r="S145" s="1872"/>
      <c r="T145" s="1872"/>
    </row>
    <row r="146" spans="1:20">
      <c r="A146" s="1872"/>
      <c r="B146" s="1872"/>
      <c r="C146" s="1872"/>
      <c r="D146" s="1872"/>
      <c r="E146" s="1872"/>
      <c r="F146" s="1872"/>
      <c r="G146" s="1872"/>
      <c r="H146" s="1872"/>
      <c r="I146" s="1872"/>
      <c r="J146" s="1872"/>
      <c r="K146" s="1877"/>
      <c r="L146" s="1878"/>
      <c r="M146" s="1872"/>
      <c r="N146" s="1872"/>
      <c r="O146" s="1872"/>
      <c r="P146" s="1872"/>
      <c r="Q146" s="1872"/>
      <c r="R146" s="1872"/>
      <c r="S146" s="1872"/>
      <c r="T146" s="1872"/>
    </row>
    <row r="147" spans="1:20">
      <c r="A147" s="1872"/>
      <c r="B147" s="1872"/>
      <c r="C147" s="1872"/>
      <c r="D147" s="1872"/>
      <c r="E147" s="1872"/>
      <c r="F147" s="1872"/>
      <c r="G147" s="1872"/>
      <c r="H147" s="1872"/>
      <c r="I147" s="1872"/>
      <c r="J147" s="1872"/>
      <c r="K147" s="1877"/>
      <c r="L147" s="1878"/>
      <c r="M147" s="1872"/>
      <c r="N147" s="1872"/>
      <c r="O147" s="1872"/>
      <c r="P147" s="1872"/>
      <c r="Q147" s="1872"/>
      <c r="R147" s="1872"/>
      <c r="S147" s="1872"/>
      <c r="T147" s="1872"/>
    </row>
    <row r="148" spans="1:20">
      <c r="A148" s="1872"/>
      <c r="B148" s="1872"/>
      <c r="C148" s="1872"/>
      <c r="D148" s="1872"/>
      <c r="E148" s="1872"/>
      <c r="F148" s="1872"/>
      <c r="G148" s="1872"/>
      <c r="H148" s="1872"/>
      <c r="I148" s="1872"/>
      <c r="J148" s="1872"/>
      <c r="K148" s="1877"/>
      <c r="L148" s="1878"/>
      <c r="M148" s="1872"/>
      <c r="N148" s="1872"/>
      <c r="O148" s="1872"/>
      <c r="P148" s="1872"/>
      <c r="Q148" s="1872"/>
      <c r="R148" s="1872"/>
      <c r="S148" s="1872"/>
      <c r="T148" s="1872"/>
    </row>
    <row r="149" spans="1:20">
      <c r="A149" s="1872"/>
      <c r="B149" s="1872"/>
      <c r="C149" s="1872"/>
      <c r="D149" s="1872"/>
      <c r="E149" s="1872"/>
      <c r="F149" s="1872"/>
      <c r="G149" s="1872"/>
      <c r="H149" s="1872"/>
      <c r="I149" s="1872"/>
      <c r="J149" s="1872"/>
      <c r="K149" s="1877"/>
      <c r="L149" s="1878"/>
      <c r="M149" s="1872"/>
      <c r="N149" s="1872"/>
      <c r="O149" s="1872"/>
      <c r="P149" s="1872"/>
      <c r="Q149" s="1872"/>
      <c r="R149" s="1872"/>
      <c r="S149" s="1872"/>
      <c r="T149" s="1872"/>
    </row>
    <row r="150" spans="1:20">
      <c r="A150" s="1872"/>
      <c r="B150" s="1872"/>
      <c r="C150" s="1872"/>
      <c r="D150" s="1872"/>
      <c r="E150" s="1872"/>
      <c r="F150" s="1872"/>
      <c r="G150" s="1872"/>
      <c r="H150" s="1872"/>
      <c r="I150" s="1872"/>
      <c r="J150" s="1872"/>
      <c r="K150" s="1877"/>
      <c r="L150" s="1878"/>
      <c r="M150" s="1872"/>
      <c r="N150" s="1872"/>
      <c r="O150" s="1872"/>
      <c r="P150" s="1872"/>
      <c r="Q150" s="1872"/>
      <c r="R150" s="1872"/>
      <c r="S150" s="1872"/>
      <c r="T150" s="1872"/>
    </row>
    <row r="151" spans="1:20">
      <c r="A151" s="1872"/>
      <c r="B151" s="1872"/>
      <c r="C151" s="1872"/>
      <c r="D151" s="1872"/>
      <c r="E151" s="1872"/>
      <c r="F151" s="1872"/>
      <c r="G151" s="1872"/>
      <c r="H151" s="1872"/>
      <c r="I151" s="1872"/>
      <c r="J151" s="1872"/>
      <c r="K151" s="1877"/>
      <c r="L151" s="1878"/>
      <c r="M151" s="1872"/>
      <c r="N151" s="1872"/>
      <c r="O151" s="1872"/>
      <c r="P151" s="1872"/>
      <c r="Q151" s="1872"/>
      <c r="R151" s="1872"/>
      <c r="S151" s="1872"/>
      <c r="T151" s="1872"/>
    </row>
    <row r="152" spans="1:20">
      <c r="A152" s="1872"/>
      <c r="B152" s="1872"/>
      <c r="C152" s="1872"/>
      <c r="D152" s="1872"/>
      <c r="E152" s="1872"/>
      <c r="F152" s="1872"/>
      <c r="G152" s="1872"/>
      <c r="H152" s="1872"/>
      <c r="I152" s="1872"/>
      <c r="J152" s="1872"/>
      <c r="K152" s="1877"/>
      <c r="L152" s="1878"/>
      <c r="M152" s="1872"/>
      <c r="N152" s="1872"/>
      <c r="O152" s="1872"/>
      <c r="P152" s="1872"/>
      <c r="Q152" s="1872"/>
      <c r="R152" s="1872"/>
      <c r="S152" s="1872"/>
      <c r="T152" s="1872"/>
    </row>
    <row r="153" spans="1:20">
      <c r="A153" s="1872"/>
      <c r="B153" s="1872"/>
      <c r="C153" s="1872"/>
      <c r="D153" s="1872"/>
      <c r="E153" s="1872"/>
      <c r="F153" s="1872"/>
      <c r="G153" s="1872"/>
      <c r="H153" s="1872"/>
      <c r="I153" s="1872"/>
      <c r="J153" s="1872"/>
      <c r="K153" s="1877"/>
      <c r="L153" s="1878"/>
      <c r="M153" s="1872"/>
      <c r="N153" s="1872"/>
      <c r="O153" s="1872"/>
      <c r="P153" s="1872"/>
      <c r="Q153" s="1872"/>
      <c r="R153" s="1872"/>
      <c r="S153" s="1872"/>
      <c r="T153" s="1872"/>
    </row>
    <row r="154" spans="1:20">
      <c r="A154" s="1872"/>
      <c r="B154" s="1872"/>
      <c r="C154" s="1872"/>
      <c r="D154" s="1872"/>
      <c r="E154" s="1872"/>
      <c r="F154" s="1872"/>
      <c r="G154" s="1872"/>
      <c r="H154" s="1872"/>
      <c r="I154" s="1872"/>
      <c r="J154" s="1872"/>
      <c r="K154" s="1877"/>
      <c r="L154" s="1878"/>
      <c r="M154" s="1872"/>
      <c r="N154" s="1872"/>
      <c r="O154" s="1872"/>
      <c r="P154" s="1872"/>
      <c r="Q154" s="1872"/>
      <c r="R154" s="1872"/>
      <c r="S154" s="1872"/>
      <c r="T154" s="1872"/>
    </row>
    <row r="155" spans="1:20">
      <c r="A155" s="1872"/>
      <c r="B155" s="1872"/>
      <c r="C155" s="1872"/>
      <c r="D155" s="1872"/>
      <c r="E155" s="1872"/>
      <c r="F155" s="1872"/>
      <c r="G155" s="1872"/>
      <c r="H155" s="1872"/>
      <c r="I155" s="1872"/>
      <c r="J155" s="1872"/>
      <c r="K155" s="1877"/>
      <c r="L155" s="1878"/>
      <c r="M155" s="1872"/>
      <c r="N155" s="1872"/>
      <c r="O155" s="1872"/>
      <c r="P155" s="1872"/>
      <c r="Q155" s="1872"/>
      <c r="R155" s="1872"/>
      <c r="S155" s="1872"/>
      <c r="T155" s="1872"/>
    </row>
    <row r="156" spans="1:20">
      <c r="A156" s="1872"/>
      <c r="B156" s="1872"/>
      <c r="C156" s="1872"/>
      <c r="D156" s="1872"/>
      <c r="E156" s="1872"/>
      <c r="F156" s="1872"/>
      <c r="G156" s="1872"/>
      <c r="H156" s="1872"/>
      <c r="I156" s="1872"/>
      <c r="J156" s="1872"/>
      <c r="K156" s="1877"/>
      <c r="L156" s="1878"/>
      <c r="M156" s="1872"/>
      <c r="N156" s="1872"/>
      <c r="O156" s="1872"/>
      <c r="P156" s="1872"/>
      <c r="Q156" s="1872"/>
      <c r="R156" s="1872"/>
      <c r="S156" s="1872"/>
      <c r="T156" s="1872"/>
    </row>
    <row r="157" spans="1:20">
      <c r="A157" s="1872"/>
      <c r="B157" s="1872"/>
      <c r="C157" s="1872"/>
      <c r="D157" s="1872"/>
      <c r="E157" s="1872"/>
      <c r="F157" s="1872"/>
      <c r="G157" s="1872"/>
      <c r="H157" s="1872"/>
      <c r="I157" s="1872"/>
      <c r="J157" s="1872"/>
      <c r="K157" s="1877"/>
      <c r="L157" s="1878"/>
      <c r="M157" s="1872"/>
      <c r="N157" s="1872"/>
      <c r="O157" s="1872"/>
      <c r="P157" s="1872"/>
      <c r="Q157" s="1872"/>
      <c r="R157" s="1872"/>
      <c r="S157" s="1872"/>
      <c r="T157" s="1872"/>
    </row>
    <row r="158" spans="1:20">
      <c r="A158" s="1872"/>
      <c r="B158" s="1872"/>
      <c r="C158" s="1872"/>
      <c r="D158" s="1872"/>
      <c r="E158" s="1872"/>
      <c r="F158" s="1872"/>
      <c r="G158" s="1872"/>
      <c r="H158" s="1872"/>
      <c r="I158" s="1872"/>
      <c r="J158" s="1872"/>
      <c r="K158" s="1877"/>
      <c r="L158" s="1878"/>
      <c r="M158" s="1872"/>
      <c r="N158" s="1872"/>
      <c r="O158" s="1872"/>
      <c r="P158" s="1872"/>
      <c r="Q158" s="1872"/>
      <c r="R158" s="1872"/>
      <c r="S158" s="1872"/>
      <c r="T158" s="1872"/>
    </row>
    <row r="159" spans="1:20">
      <c r="A159" s="1872"/>
      <c r="B159" s="1872"/>
      <c r="C159" s="1872"/>
      <c r="D159" s="1872"/>
      <c r="E159" s="1872"/>
      <c r="F159" s="1872"/>
      <c r="G159" s="1872"/>
      <c r="H159" s="1872"/>
      <c r="I159" s="1872"/>
      <c r="J159" s="1872"/>
      <c r="K159" s="1877"/>
      <c r="L159" s="1878"/>
      <c r="M159" s="1872"/>
      <c r="N159" s="1872"/>
      <c r="O159" s="1872"/>
      <c r="P159" s="1872"/>
      <c r="Q159" s="1872"/>
      <c r="R159" s="1872"/>
      <c r="S159" s="1872"/>
      <c r="T159" s="1872"/>
    </row>
    <row r="160" spans="1:20">
      <c r="A160" s="1872"/>
      <c r="B160" s="1872"/>
      <c r="C160" s="1872"/>
      <c r="D160" s="1872"/>
      <c r="E160" s="1872"/>
      <c r="F160" s="1872"/>
      <c r="G160" s="1872"/>
      <c r="H160" s="1872"/>
      <c r="I160" s="1872"/>
      <c r="J160" s="1872"/>
      <c r="K160" s="1877"/>
      <c r="L160" s="1878"/>
      <c r="M160" s="1872"/>
      <c r="N160" s="1872"/>
      <c r="O160" s="1872"/>
      <c r="P160" s="1872"/>
      <c r="Q160" s="1872"/>
      <c r="R160" s="1872"/>
      <c r="S160" s="1872"/>
      <c r="T160" s="1872"/>
    </row>
    <row r="161" spans="1:20">
      <c r="A161" s="1872"/>
      <c r="B161" s="1872"/>
      <c r="C161" s="1872"/>
      <c r="D161" s="1872"/>
      <c r="E161" s="1872"/>
      <c r="F161" s="1872"/>
      <c r="G161" s="1872"/>
      <c r="H161" s="1872"/>
      <c r="I161" s="1872"/>
      <c r="J161" s="1872"/>
      <c r="K161" s="1877"/>
      <c r="L161" s="1878"/>
      <c r="M161" s="1872"/>
      <c r="N161" s="1872"/>
      <c r="O161" s="1872"/>
      <c r="P161" s="1872"/>
      <c r="Q161" s="1872"/>
      <c r="R161" s="1872"/>
      <c r="S161" s="1872"/>
      <c r="T161" s="1872"/>
    </row>
    <row r="162" spans="1:20">
      <c r="A162" s="1872"/>
      <c r="B162" s="1872"/>
      <c r="C162" s="1872"/>
      <c r="D162" s="1872"/>
      <c r="E162" s="1872"/>
      <c r="F162" s="1872"/>
      <c r="G162" s="1872"/>
      <c r="H162" s="1872"/>
      <c r="I162" s="1872"/>
      <c r="J162" s="1872"/>
      <c r="K162" s="1877"/>
      <c r="L162" s="1878"/>
      <c r="M162" s="1872"/>
      <c r="N162" s="1872"/>
      <c r="O162" s="1872"/>
      <c r="P162" s="1872"/>
      <c r="Q162" s="1872"/>
      <c r="R162" s="1872"/>
      <c r="S162" s="1872"/>
      <c r="T162" s="1872"/>
    </row>
    <row r="163" spans="1:20">
      <c r="A163" s="1872"/>
      <c r="B163" s="1872"/>
      <c r="C163" s="1872"/>
      <c r="D163" s="1872"/>
      <c r="E163" s="1872"/>
      <c r="F163" s="1872"/>
      <c r="G163" s="1872"/>
      <c r="H163" s="1872"/>
      <c r="I163" s="1872"/>
      <c r="J163" s="1872"/>
      <c r="K163" s="1877"/>
      <c r="L163" s="1878"/>
      <c r="M163" s="1872"/>
      <c r="N163" s="1872"/>
      <c r="O163" s="1872"/>
      <c r="P163" s="1872"/>
      <c r="Q163" s="1872"/>
      <c r="R163" s="1872"/>
      <c r="S163" s="1872"/>
      <c r="T163" s="1872"/>
    </row>
    <row r="164" spans="1:20">
      <c r="A164" s="1872"/>
      <c r="B164" s="1872"/>
      <c r="C164" s="1872"/>
      <c r="D164" s="1872"/>
      <c r="E164" s="1872"/>
      <c r="F164" s="1872"/>
      <c r="G164" s="1872"/>
      <c r="H164" s="1872"/>
      <c r="I164" s="1872"/>
      <c r="J164" s="1872"/>
      <c r="K164" s="1877"/>
      <c r="L164" s="1878"/>
      <c r="M164" s="1872"/>
      <c r="N164" s="1872"/>
      <c r="O164" s="1872"/>
      <c r="P164" s="1872"/>
      <c r="Q164" s="1872"/>
      <c r="R164" s="1872"/>
      <c r="S164" s="1872"/>
      <c r="T164" s="1872"/>
    </row>
    <row r="165" spans="1:20">
      <c r="A165" s="1872"/>
      <c r="B165" s="1872"/>
      <c r="C165" s="1872"/>
      <c r="D165" s="1872"/>
      <c r="E165" s="1872"/>
      <c r="F165" s="1872"/>
      <c r="G165" s="1872"/>
      <c r="H165" s="1872"/>
      <c r="I165" s="1872"/>
      <c r="J165" s="1872"/>
      <c r="K165" s="1877"/>
      <c r="L165" s="1878"/>
      <c r="M165" s="1872"/>
      <c r="N165" s="1872"/>
      <c r="O165" s="1872"/>
      <c r="P165" s="1872"/>
      <c r="Q165" s="1872"/>
      <c r="R165" s="1872"/>
      <c r="S165" s="1872"/>
      <c r="T165" s="1872"/>
    </row>
    <row r="166" spans="1:20">
      <c r="A166" s="1872"/>
      <c r="B166" s="1872"/>
      <c r="C166" s="1872"/>
      <c r="D166" s="1872"/>
      <c r="E166" s="1872"/>
      <c r="F166" s="1872"/>
      <c r="G166" s="1872"/>
      <c r="H166" s="1872"/>
      <c r="I166" s="1872"/>
      <c r="J166" s="1872"/>
      <c r="K166" s="1877"/>
      <c r="L166" s="1878"/>
      <c r="M166" s="1872"/>
      <c r="N166" s="1872"/>
      <c r="O166" s="1872"/>
      <c r="P166" s="1872"/>
      <c r="Q166" s="1872"/>
      <c r="R166" s="1872"/>
      <c r="S166" s="1872"/>
      <c r="T166" s="1872"/>
    </row>
    <row r="167" spans="1:20">
      <c r="A167" s="1872"/>
      <c r="B167" s="1872"/>
      <c r="C167" s="1872"/>
      <c r="D167" s="1872"/>
      <c r="E167" s="1872"/>
      <c r="F167" s="1872"/>
      <c r="G167" s="1872"/>
      <c r="H167" s="1872"/>
      <c r="I167" s="1872"/>
      <c r="J167" s="1872"/>
      <c r="K167" s="1877"/>
      <c r="L167" s="1878"/>
      <c r="M167" s="1872"/>
      <c r="N167" s="1872"/>
      <c r="O167" s="1872"/>
      <c r="P167" s="1872"/>
      <c r="Q167" s="1872"/>
      <c r="R167" s="1872"/>
      <c r="S167" s="1872"/>
      <c r="T167" s="1872"/>
    </row>
    <row r="168" spans="1:20">
      <c r="A168" s="1872"/>
      <c r="B168" s="1872"/>
      <c r="C168" s="1872"/>
      <c r="D168" s="1872"/>
      <c r="E168" s="1872"/>
      <c r="F168" s="1872"/>
      <c r="G168" s="1872"/>
      <c r="H168" s="1872"/>
      <c r="I168" s="1872"/>
      <c r="J168" s="1872"/>
      <c r="K168" s="1877"/>
      <c r="L168" s="1878"/>
      <c r="M168" s="1872"/>
      <c r="N168" s="1872"/>
      <c r="O168" s="1872"/>
      <c r="P168" s="1872"/>
      <c r="Q168" s="1872"/>
      <c r="R168" s="1872"/>
      <c r="S168" s="1872"/>
      <c r="T168" s="1872"/>
    </row>
    <row r="169" spans="1:20">
      <c r="A169" s="1872"/>
      <c r="B169" s="1872"/>
      <c r="C169" s="1872"/>
      <c r="D169" s="1872"/>
      <c r="E169" s="1872"/>
      <c r="F169" s="1872"/>
      <c r="G169" s="1872"/>
      <c r="H169" s="1872"/>
      <c r="I169" s="1872"/>
      <c r="J169" s="1872"/>
      <c r="K169" s="1877"/>
      <c r="L169" s="1878"/>
      <c r="M169" s="1872"/>
      <c r="N169" s="1872"/>
      <c r="O169" s="1872"/>
      <c r="P169" s="1872"/>
      <c r="Q169" s="1872"/>
      <c r="R169" s="1872"/>
      <c r="S169" s="1872"/>
      <c r="T169" s="1872"/>
    </row>
    <row r="170" spans="1:20">
      <c r="A170" s="1872"/>
      <c r="B170" s="1872"/>
      <c r="C170" s="1872"/>
      <c r="D170" s="1872"/>
      <c r="E170" s="1872"/>
      <c r="F170" s="1872"/>
      <c r="G170" s="1872"/>
      <c r="H170" s="1872"/>
      <c r="I170" s="1872"/>
      <c r="J170" s="1872"/>
      <c r="K170" s="1877"/>
      <c r="L170" s="1878"/>
      <c r="M170" s="1872"/>
      <c r="N170" s="1872"/>
      <c r="O170" s="1872"/>
      <c r="P170" s="1872"/>
      <c r="Q170" s="1872"/>
      <c r="R170" s="1872"/>
      <c r="S170" s="1872"/>
      <c r="T170" s="1872"/>
    </row>
    <row r="171" spans="1:20">
      <c r="A171" s="1872"/>
      <c r="B171" s="1872"/>
      <c r="C171" s="1872"/>
      <c r="D171" s="1872"/>
      <c r="E171" s="1872"/>
      <c r="F171" s="1872"/>
      <c r="G171" s="1872"/>
      <c r="H171" s="1872"/>
      <c r="I171" s="1872"/>
      <c r="J171" s="1872"/>
      <c r="K171" s="1877"/>
      <c r="L171" s="1878"/>
      <c r="M171" s="1872"/>
      <c r="N171" s="1872"/>
      <c r="O171" s="1872"/>
      <c r="P171" s="1872"/>
      <c r="Q171" s="1872"/>
      <c r="R171" s="1872"/>
      <c r="S171" s="1872"/>
      <c r="T171" s="1872"/>
    </row>
    <row r="172" spans="1:20">
      <c r="A172" s="1872"/>
      <c r="B172" s="1872"/>
      <c r="C172" s="1872"/>
      <c r="D172" s="1872"/>
      <c r="E172" s="1872"/>
      <c r="F172" s="1872"/>
      <c r="G172" s="1872"/>
      <c r="H172" s="1872"/>
      <c r="I172" s="1872"/>
      <c r="J172" s="1872"/>
      <c r="K172" s="1877"/>
      <c r="L172" s="1878"/>
      <c r="M172" s="1872"/>
      <c r="N172" s="1872"/>
      <c r="O172" s="1872"/>
      <c r="P172" s="1872"/>
      <c r="Q172" s="1872"/>
      <c r="R172" s="1872"/>
      <c r="S172" s="1872"/>
      <c r="T172" s="1872"/>
    </row>
    <row r="173" spans="1:20">
      <c r="A173" s="1872"/>
      <c r="B173" s="1872"/>
      <c r="C173" s="1872"/>
      <c r="D173" s="1872"/>
      <c r="E173" s="1872"/>
      <c r="F173" s="1872"/>
      <c r="G173" s="1872"/>
      <c r="H173" s="1872"/>
      <c r="I173" s="1872"/>
      <c r="J173" s="1872"/>
      <c r="K173" s="1877"/>
      <c r="L173" s="1878"/>
      <c r="M173" s="1872"/>
      <c r="N173" s="1872"/>
      <c r="O173" s="1872"/>
      <c r="P173" s="1872"/>
      <c r="Q173" s="1872"/>
      <c r="R173" s="1872"/>
      <c r="S173" s="1872"/>
      <c r="T173" s="1872"/>
    </row>
    <row r="174" spans="1:20">
      <c r="A174" s="1872"/>
      <c r="B174" s="1872"/>
      <c r="C174" s="1872"/>
      <c r="D174" s="1872"/>
      <c r="E174" s="1872"/>
      <c r="F174" s="1872"/>
      <c r="G174" s="1872"/>
      <c r="H174" s="1872"/>
      <c r="I174" s="1872"/>
      <c r="J174" s="1872"/>
      <c r="K174" s="1877"/>
      <c r="L174" s="1878"/>
      <c r="M174" s="1872"/>
      <c r="N174" s="1872"/>
      <c r="O174" s="1872"/>
      <c r="P174" s="1872"/>
      <c r="Q174" s="1872"/>
      <c r="R174" s="1872"/>
      <c r="S174" s="1872"/>
      <c r="T174" s="1872"/>
    </row>
    <row r="175" spans="1:20">
      <c r="A175" s="1872"/>
      <c r="B175" s="1872"/>
      <c r="C175" s="1872"/>
      <c r="D175" s="1872"/>
      <c r="E175" s="1872"/>
      <c r="F175" s="1872"/>
      <c r="G175" s="1872"/>
      <c r="H175" s="1872"/>
      <c r="I175" s="1872"/>
      <c r="J175" s="1872"/>
      <c r="K175" s="1877"/>
      <c r="L175" s="1878"/>
      <c r="M175" s="1872"/>
      <c r="N175" s="1872"/>
      <c r="O175" s="1872"/>
      <c r="P175" s="1872"/>
      <c r="Q175" s="1872"/>
      <c r="R175" s="1872"/>
      <c r="S175" s="1872"/>
      <c r="T175" s="1872"/>
    </row>
    <row r="176" spans="1:20">
      <c r="A176" s="1872"/>
      <c r="B176" s="1872"/>
      <c r="C176" s="1872"/>
      <c r="D176" s="1872"/>
      <c r="E176" s="1872"/>
      <c r="F176" s="1872"/>
      <c r="G176" s="1872"/>
      <c r="H176" s="1872"/>
      <c r="I176" s="1872"/>
      <c r="J176" s="1872"/>
      <c r="K176" s="1877"/>
      <c r="L176" s="1878"/>
      <c r="M176" s="1872"/>
      <c r="N176" s="1872"/>
      <c r="O176" s="1872"/>
      <c r="P176" s="1872"/>
      <c r="Q176" s="1872"/>
      <c r="R176" s="1872"/>
      <c r="S176" s="1872"/>
      <c r="T176" s="1872"/>
    </row>
    <row r="177" spans="1:20">
      <c r="A177" s="1872"/>
      <c r="B177" s="1872"/>
      <c r="C177" s="1872"/>
      <c r="D177" s="1872"/>
      <c r="E177" s="1872"/>
      <c r="F177" s="1872"/>
      <c r="G177" s="1872"/>
      <c r="H177" s="1872"/>
      <c r="I177" s="1872"/>
      <c r="J177" s="1872"/>
      <c r="K177" s="1877"/>
      <c r="L177" s="1878"/>
      <c r="M177" s="1872"/>
      <c r="N177" s="1872"/>
      <c r="O177" s="1872"/>
      <c r="P177" s="1872"/>
      <c r="Q177" s="1872"/>
      <c r="R177" s="1872"/>
      <c r="S177" s="1872"/>
      <c r="T177" s="1872"/>
    </row>
    <row r="178" spans="1:20">
      <c r="A178" s="1872"/>
      <c r="B178" s="1872"/>
      <c r="C178" s="1872"/>
      <c r="D178" s="1872"/>
      <c r="E178" s="1872"/>
      <c r="F178" s="1872"/>
      <c r="G178" s="1872"/>
      <c r="H178" s="1872"/>
      <c r="I178" s="1872"/>
      <c r="J178" s="1872"/>
      <c r="K178" s="1877"/>
      <c r="L178" s="1878"/>
      <c r="M178" s="1872"/>
      <c r="N178" s="1872"/>
      <c r="O178" s="1872"/>
      <c r="P178" s="1872"/>
      <c r="Q178" s="1872"/>
      <c r="R178" s="1872"/>
      <c r="S178" s="1872"/>
      <c r="T178" s="1872"/>
    </row>
    <row r="179" spans="1:20">
      <c r="A179" s="1872"/>
      <c r="B179" s="1872"/>
      <c r="C179" s="1872"/>
      <c r="D179" s="1872"/>
      <c r="E179" s="1872"/>
      <c r="F179" s="1872"/>
      <c r="G179" s="1872"/>
      <c r="H179" s="1872"/>
      <c r="I179" s="1872"/>
      <c r="J179" s="1872"/>
      <c r="K179" s="1877"/>
      <c r="L179" s="1878"/>
      <c r="M179" s="1872"/>
      <c r="N179" s="1872"/>
      <c r="O179" s="1872"/>
      <c r="P179" s="1872"/>
      <c r="Q179" s="1872"/>
      <c r="R179" s="1872"/>
      <c r="S179" s="1872"/>
      <c r="T179" s="1872"/>
    </row>
    <row r="180" spans="1:20">
      <c r="A180" s="1872"/>
      <c r="B180" s="1872"/>
      <c r="C180" s="1872"/>
      <c r="D180" s="1872"/>
      <c r="E180" s="1872"/>
      <c r="F180" s="1872"/>
      <c r="G180" s="1872"/>
      <c r="H180" s="1872"/>
      <c r="I180" s="1872"/>
      <c r="J180" s="1872"/>
      <c r="K180" s="1877"/>
      <c r="L180" s="1878"/>
      <c r="M180" s="1872"/>
      <c r="N180" s="1872"/>
      <c r="O180" s="1872"/>
      <c r="P180" s="1872"/>
      <c r="Q180" s="1872"/>
      <c r="R180" s="1872"/>
      <c r="S180" s="1872"/>
      <c r="T180" s="1872"/>
    </row>
    <row r="181" spans="1:20">
      <c r="A181" s="1872"/>
      <c r="B181" s="1872"/>
      <c r="C181" s="1872"/>
      <c r="D181" s="1872"/>
      <c r="E181" s="1872"/>
      <c r="F181" s="1872"/>
      <c r="G181" s="1872"/>
      <c r="H181" s="1872"/>
      <c r="I181" s="1872"/>
      <c r="J181" s="1872"/>
      <c r="K181" s="1877"/>
      <c r="L181" s="1878"/>
      <c r="M181" s="1872"/>
      <c r="N181" s="1872"/>
      <c r="O181" s="1872"/>
      <c r="P181" s="1872"/>
      <c r="Q181" s="1872"/>
      <c r="R181" s="1872"/>
      <c r="S181" s="1872"/>
      <c r="T181" s="1872"/>
    </row>
    <row r="182" spans="1:20">
      <c r="A182" s="1872"/>
      <c r="B182" s="1872"/>
      <c r="C182" s="1872"/>
      <c r="D182" s="1872"/>
      <c r="E182" s="1872"/>
      <c r="F182" s="1872"/>
      <c r="G182" s="1872"/>
      <c r="H182" s="1872"/>
      <c r="I182" s="1872"/>
      <c r="J182" s="1872"/>
      <c r="K182" s="1877"/>
      <c r="L182" s="1878"/>
      <c r="M182" s="1872"/>
      <c r="N182" s="1872"/>
      <c r="O182" s="1872"/>
      <c r="P182" s="1872"/>
      <c r="Q182" s="1872"/>
      <c r="R182" s="1872"/>
      <c r="S182" s="1872"/>
      <c r="T182" s="1872"/>
    </row>
    <row r="183" spans="1:20">
      <c r="A183" s="1872"/>
      <c r="B183" s="1872"/>
      <c r="C183" s="1872"/>
      <c r="D183" s="1872"/>
      <c r="E183" s="1872"/>
      <c r="F183" s="1872"/>
      <c r="G183" s="1872"/>
      <c r="H183" s="1872"/>
      <c r="I183" s="1872"/>
      <c r="J183" s="1872"/>
      <c r="K183" s="1877"/>
      <c r="L183" s="1878"/>
      <c r="M183" s="1872"/>
      <c r="N183" s="1872"/>
      <c r="O183" s="1872"/>
      <c r="P183" s="1872"/>
      <c r="Q183" s="1872"/>
      <c r="R183" s="1872"/>
      <c r="S183" s="1872"/>
      <c r="T183" s="1872"/>
    </row>
    <row r="184" spans="1:20">
      <c r="A184" s="1872"/>
      <c r="B184" s="1872"/>
      <c r="C184" s="1872"/>
      <c r="D184" s="1872"/>
      <c r="E184" s="1872"/>
      <c r="F184" s="1872"/>
      <c r="G184" s="1872"/>
      <c r="H184" s="1872"/>
      <c r="I184" s="1872"/>
      <c r="J184" s="1872"/>
      <c r="K184" s="1877"/>
      <c r="L184" s="1878"/>
      <c r="M184" s="1872"/>
      <c r="N184" s="1872"/>
      <c r="O184" s="1872"/>
      <c r="P184" s="1872"/>
      <c r="Q184" s="1872"/>
      <c r="R184" s="1872"/>
      <c r="S184" s="1872"/>
      <c r="T184" s="1872"/>
    </row>
    <row r="185" spans="1:20">
      <c r="A185" s="1872"/>
      <c r="B185" s="1872"/>
      <c r="C185" s="1872"/>
      <c r="D185" s="1872"/>
      <c r="E185" s="1872"/>
      <c r="F185" s="1872"/>
      <c r="G185" s="1872"/>
      <c r="H185" s="1872"/>
      <c r="I185" s="1872"/>
      <c r="J185" s="1872"/>
      <c r="K185" s="1877"/>
      <c r="L185" s="1878"/>
      <c r="M185" s="1872"/>
      <c r="N185" s="1872"/>
      <c r="O185" s="1872"/>
      <c r="P185" s="1872"/>
      <c r="Q185" s="1872"/>
      <c r="R185" s="1872"/>
      <c r="S185" s="1872"/>
      <c r="T185" s="1872"/>
    </row>
    <row r="186" spans="1:20">
      <c r="A186" s="1872"/>
      <c r="B186" s="1872"/>
      <c r="C186" s="1872"/>
      <c r="D186" s="1872"/>
      <c r="E186" s="1872"/>
      <c r="F186" s="1872"/>
      <c r="G186" s="1872"/>
      <c r="H186" s="1872"/>
      <c r="I186" s="1872"/>
      <c r="J186" s="1872"/>
      <c r="K186" s="1877"/>
      <c r="L186" s="1878"/>
      <c r="M186" s="1872"/>
      <c r="N186" s="1872"/>
      <c r="O186" s="1872"/>
      <c r="P186" s="1872"/>
      <c r="Q186" s="1872"/>
      <c r="R186" s="1872"/>
      <c r="S186" s="1872"/>
      <c r="T186" s="1872"/>
    </row>
    <row r="187" spans="1:20">
      <c r="A187" s="1872"/>
      <c r="B187" s="1872"/>
      <c r="C187" s="1872"/>
      <c r="D187" s="1872"/>
      <c r="E187" s="1872"/>
      <c r="F187" s="1872"/>
      <c r="G187" s="1872"/>
      <c r="H187" s="1872"/>
      <c r="I187" s="1872"/>
      <c r="J187" s="1872"/>
      <c r="K187" s="1877"/>
      <c r="L187" s="1878"/>
      <c r="M187" s="1872"/>
      <c r="N187" s="1872"/>
      <c r="O187" s="1872"/>
      <c r="P187" s="1872"/>
      <c r="Q187" s="1872"/>
      <c r="R187" s="1872"/>
      <c r="S187" s="1872"/>
      <c r="T187" s="1872"/>
    </row>
    <row r="188" spans="1:20">
      <c r="A188" s="1872"/>
      <c r="B188" s="1872"/>
      <c r="C188" s="1872"/>
      <c r="D188" s="1872"/>
      <c r="E188" s="1872"/>
      <c r="F188" s="1872"/>
      <c r="G188" s="1872"/>
      <c r="H188" s="1872"/>
      <c r="I188" s="1872"/>
      <c r="J188" s="1872"/>
      <c r="K188" s="1877"/>
      <c r="L188" s="1878"/>
      <c r="M188" s="1872"/>
      <c r="N188" s="1872"/>
      <c r="O188" s="1872"/>
      <c r="P188" s="1872"/>
      <c r="Q188" s="1872"/>
      <c r="R188" s="1872"/>
      <c r="S188" s="1872"/>
      <c r="T188" s="1872"/>
    </row>
    <row r="189" spans="1:20">
      <c r="A189" s="1872"/>
      <c r="B189" s="1872"/>
      <c r="C189" s="1872"/>
      <c r="D189" s="1872"/>
      <c r="E189" s="1872"/>
      <c r="F189" s="1872"/>
      <c r="G189" s="1872"/>
      <c r="H189" s="1872"/>
      <c r="I189" s="1872"/>
      <c r="J189" s="1872"/>
      <c r="K189" s="1877"/>
      <c r="L189" s="1878"/>
      <c r="M189" s="1872"/>
      <c r="N189" s="1872"/>
      <c r="O189" s="1872"/>
      <c r="P189" s="1872"/>
      <c r="Q189" s="1872"/>
      <c r="R189" s="1872"/>
      <c r="S189" s="1872"/>
      <c r="T189" s="1872"/>
    </row>
    <row r="190" spans="1:20">
      <c r="A190" s="1872"/>
      <c r="B190" s="1872"/>
      <c r="C190" s="1872"/>
      <c r="D190" s="1872"/>
      <c r="E190" s="1872"/>
      <c r="F190" s="1872"/>
      <c r="G190" s="1872"/>
      <c r="H190" s="1872"/>
      <c r="I190" s="1872"/>
      <c r="J190" s="1872"/>
      <c r="K190" s="1877"/>
      <c r="L190" s="1878"/>
      <c r="M190" s="1872"/>
      <c r="N190" s="1872"/>
      <c r="O190" s="1872"/>
      <c r="P190" s="1872"/>
      <c r="Q190" s="1872"/>
      <c r="R190" s="1872"/>
      <c r="S190" s="1872"/>
      <c r="T190" s="1872"/>
    </row>
    <row r="191" spans="1:20">
      <c r="A191" s="1872"/>
      <c r="B191" s="1872"/>
      <c r="C191" s="1872"/>
      <c r="D191" s="1872"/>
      <c r="E191" s="1872"/>
      <c r="F191" s="1872"/>
      <c r="G191" s="1872"/>
      <c r="H191" s="1872"/>
      <c r="I191" s="1872"/>
      <c r="J191" s="1872"/>
      <c r="K191" s="1877"/>
      <c r="L191" s="1878"/>
      <c r="M191" s="1872"/>
      <c r="N191" s="1872"/>
      <c r="O191" s="1872"/>
      <c r="P191" s="1872"/>
      <c r="Q191" s="1872"/>
      <c r="R191" s="1872"/>
      <c r="S191" s="1872"/>
      <c r="T191" s="1872"/>
    </row>
    <row r="192" spans="1:20">
      <c r="A192" s="1872"/>
      <c r="B192" s="1872"/>
      <c r="C192" s="1872"/>
      <c r="D192" s="1872"/>
      <c r="E192" s="1872"/>
      <c r="F192" s="1872"/>
      <c r="G192" s="1872"/>
      <c r="H192" s="1872"/>
      <c r="I192" s="1872"/>
      <c r="J192" s="1872"/>
      <c r="K192" s="1877"/>
      <c r="L192" s="1878"/>
      <c r="M192" s="1872"/>
      <c r="N192" s="1872"/>
      <c r="O192" s="1872"/>
      <c r="P192" s="1872"/>
      <c r="Q192" s="1872"/>
      <c r="R192" s="1872"/>
      <c r="S192" s="1872"/>
      <c r="T192" s="1872"/>
    </row>
    <row r="193" spans="1:20">
      <c r="A193" s="1872"/>
      <c r="B193" s="1872"/>
      <c r="C193" s="1872"/>
      <c r="D193" s="1872"/>
      <c r="E193" s="1872"/>
      <c r="F193" s="1872"/>
      <c r="G193" s="1872"/>
      <c r="H193" s="1872"/>
      <c r="I193" s="1872"/>
      <c r="J193" s="1872"/>
      <c r="K193" s="1877"/>
      <c r="L193" s="1878"/>
      <c r="M193" s="1872"/>
      <c r="N193" s="1872"/>
      <c r="O193" s="1872"/>
      <c r="P193" s="1872"/>
      <c r="Q193" s="1872"/>
      <c r="R193" s="1872"/>
      <c r="S193" s="1872"/>
      <c r="T193" s="1872"/>
    </row>
    <row r="194" spans="1:20">
      <c r="A194" s="1872"/>
      <c r="B194" s="1872"/>
      <c r="C194" s="1872"/>
      <c r="D194" s="1872"/>
      <c r="E194" s="1872"/>
      <c r="F194" s="1872"/>
      <c r="G194" s="1872"/>
      <c r="H194" s="1872"/>
      <c r="I194" s="1872"/>
      <c r="J194" s="1872"/>
      <c r="K194" s="1877"/>
      <c r="L194" s="1878"/>
      <c r="M194" s="1872"/>
      <c r="N194" s="1872"/>
      <c r="O194" s="1872"/>
      <c r="P194" s="1872"/>
      <c r="Q194" s="1872"/>
      <c r="R194" s="1872"/>
      <c r="S194" s="1872"/>
      <c r="T194" s="1872"/>
    </row>
    <row r="195" spans="1:20">
      <c r="A195" s="1872"/>
      <c r="B195" s="1872"/>
      <c r="C195" s="1872"/>
      <c r="D195" s="1872"/>
      <c r="E195" s="1872"/>
      <c r="F195" s="1872"/>
      <c r="G195" s="1872"/>
      <c r="H195" s="1872"/>
      <c r="I195" s="1872"/>
      <c r="J195" s="1872"/>
      <c r="K195" s="1877"/>
      <c r="L195" s="1878"/>
      <c r="M195" s="1872"/>
      <c r="N195" s="1872"/>
      <c r="O195" s="1872"/>
      <c r="P195" s="1872"/>
      <c r="Q195" s="1872"/>
      <c r="R195" s="1872"/>
      <c r="S195" s="1872"/>
      <c r="T195" s="1872"/>
    </row>
    <row r="196" spans="1:20">
      <c r="A196" s="1872"/>
      <c r="B196" s="1872"/>
      <c r="C196" s="1872"/>
      <c r="D196" s="1872"/>
      <c r="E196" s="1872"/>
      <c r="F196" s="1872"/>
      <c r="G196" s="1872"/>
      <c r="H196" s="1872"/>
      <c r="I196" s="1872"/>
      <c r="J196" s="1872"/>
      <c r="K196" s="1877"/>
      <c r="L196" s="1878"/>
      <c r="M196" s="1872"/>
      <c r="N196" s="1872"/>
      <c r="O196" s="1872"/>
      <c r="P196" s="1872"/>
      <c r="Q196" s="1872"/>
      <c r="R196" s="1872"/>
      <c r="S196" s="1872"/>
      <c r="T196" s="1872"/>
    </row>
    <row r="197" spans="1:20">
      <c r="A197" s="1872"/>
      <c r="B197" s="1872"/>
      <c r="C197" s="1872"/>
      <c r="D197" s="1872"/>
      <c r="E197" s="1872"/>
      <c r="F197" s="1872"/>
      <c r="G197" s="1872"/>
      <c r="H197" s="1872"/>
      <c r="I197" s="1872"/>
      <c r="J197" s="1872"/>
      <c r="K197" s="1877"/>
      <c r="L197" s="1878"/>
      <c r="M197" s="1872"/>
      <c r="N197" s="1872"/>
      <c r="O197" s="1872"/>
      <c r="P197" s="1872"/>
      <c r="Q197" s="1872"/>
      <c r="R197" s="1872"/>
      <c r="S197" s="1872"/>
      <c r="T197" s="1872"/>
    </row>
    <row r="198" spans="1:20">
      <c r="A198" s="1872"/>
      <c r="B198" s="1872"/>
      <c r="C198" s="1872"/>
      <c r="D198" s="1872"/>
      <c r="E198" s="1872"/>
      <c r="F198" s="1872"/>
      <c r="G198" s="1872"/>
      <c r="H198" s="1872"/>
      <c r="I198" s="1872"/>
      <c r="J198" s="1872"/>
      <c r="K198" s="1877"/>
      <c r="L198" s="1878"/>
      <c r="M198" s="1872"/>
      <c r="N198" s="1872"/>
      <c r="O198" s="1872"/>
      <c r="P198" s="1872"/>
      <c r="Q198" s="1872"/>
      <c r="R198" s="1872"/>
      <c r="S198" s="1872"/>
      <c r="T198" s="1872"/>
    </row>
    <row r="199" spans="1:20">
      <c r="A199" s="1872"/>
      <c r="B199" s="1872"/>
      <c r="C199" s="1872"/>
      <c r="D199" s="1872"/>
      <c r="E199" s="1872"/>
      <c r="F199" s="1872"/>
      <c r="G199" s="1872"/>
      <c r="H199" s="1872"/>
      <c r="I199" s="1872"/>
      <c r="J199" s="1872"/>
      <c r="K199" s="1877"/>
      <c r="L199" s="1878"/>
      <c r="M199" s="1872"/>
      <c r="N199" s="1872"/>
      <c r="O199" s="1872"/>
      <c r="P199" s="1872"/>
      <c r="Q199" s="1872"/>
      <c r="R199" s="1872"/>
      <c r="S199" s="1872"/>
      <c r="T199" s="1872"/>
    </row>
    <row r="200" spans="1:20">
      <c r="A200" s="1872"/>
      <c r="B200" s="1872"/>
      <c r="C200" s="1872"/>
      <c r="D200" s="1872"/>
      <c r="E200" s="1872"/>
      <c r="F200" s="1872"/>
      <c r="G200" s="1872"/>
      <c r="H200" s="1872"/>
      <c r="I200" s="1872"/>
      <c r="J200" s="1872"/>
      <c r="K200" s="1877"/>
      <c r="L200" s="1878"/>
      <c r="M200" s="1872"/>
      <c r="N200" s="1872"/>
      <c r="O200" s="1872"/>
      <c r="P200" s="1872"/>
      <c r="Q200" s="1872"/>
      <c r="R200" s="1872"/>
      <c r="S200" s="1872"/>
      <c r="T200" s="1872"/>
    </row>
    <row r="201" spans="1:20">
      <c r="A201" s="1872"/>
      <c r="B201" s="1872"/>
      <c r="C201" s="1872"/>
      <c r="D201" s="1872"/>
      <c r="E201" s="1872"/>
      <c r="F201" s="1872"/>
      <c r="G201" s="1872"/>
      <c r="H201" s="1872"/>
      <c r="I201" s="1872"/>
      <c r="J201" s="1872"/>
      <c r="K201" s="1877"/>
      <c r="L201" s="1878"/>
      <c r="M201" s="1872"/>
      <c r="N201" s="1872"/>
      <c r="O201" s="1872"/>
      <c r="P201" s="1872"/>
      <c r="Q201" s="1872"/>
      <c r="R201" s="1872"/>
      <c r="S201" s="1872"/>
      <c r="T201" s="1872"/>
    </row>
    <row r="202" spans="1:20">
      <c r="A202" s="1872"/>
      <c r="B202" s="1872"/>
      <c r="C202" s="1872"/>
      <c r="D202" s="1872"/>
      <c r="E202" s="1872"/>
      <c r="F202" s="1872"/>
      <c r="G202" s="1872"/>
      <c r="H202" s="1872"/>
      <c r="I202" s="1872"/>
      <c r="J202" s="1872"/>
      <c r="K202" s="1877"/>
      <c r="L202" s="1878"/>
      <c r="M202" s="1872"/>
      <c r="N202" s="1872"/>
      <c r="O202" s="1872"/>
      <c r="P202" s="1872"/>
      <c r="Q202" s="1872"/>
      <c r="R202" s="1872"/>
      <c r="S202" s="1872"/>
      <c r="T202" s="1872"/>
    </row>
    <row r="203" spans="1:20">
      <c r="A203" s="1872"/>
      <c r="B203" s="1872"/>
      <c r="C203" s="1872"/>
      <c r="D203" s="1872"/>
      <c r="E203" s="1872"/>
      <c r="F203" s="1872"/>
      <c r="G203" s="1872"/>
      <c r="H203" s="1872"/>
      <c r="I203" s="1872"/>
      <c r="J203" s="1872"/>
      <c r="K203" s="1877"/>
      <c r="L203" s="1878"/>
      <c r="M203" s="1872"/>
      <c r="N203" s="1872"/>
      <c r="O203" s="1872"/>
      <c r="P203" s="1872"/>
      <c r="Q203" s="1872"/>
      <c r="R203" s="1872"/>
      <c r="S203" s="1872"/>
      <c r="T203" s="1872"/>
    </row>
    <row r="204" spans="1:20">
      <c r="A204" s="1872"/>
      <c r="B204" s="1872"/>
      <c r="C204" s="1872"/>
      <c r="D204" s="1872"/>
      <c r="E204" s="1872"/>
      <c r="F204" s="1872"/>
      <c r="G204" s="1872"/>
      <c r="H204" s="1872"/>
      <c r="I204" s="1872"/>
      <c r="J204" s="1872"/>
      <c r="K204" s="1877"/>
      <c r="L204" s="1878"/>
      <c r="M204" s="1872"/>
      <c r="N204" s="1872"/>
      <c r="O204" s="1872"/>
      <c r="P204" s="1872"/>
      <c r="Q204" s="1872"/>
      <c r="R204" s="1872"/>
      <c r="S204" s="1872"/>
      <c r="T204" s="1872"/>
    </row>
    <row r="205" spans="1:20">
      <c r="A205" s="1872"/>
      <c r="B205" s="1872"/>
      <c r="C205" s="1872"/>
      <c r="D205" s="1872"/>
      <c r="E205" s="1872"/>
      <c r="F205" s="1872"/>
      <c r="G205" s="1872"/>
      <c r="H205" s="1872"/>
      <c r="I205" s="1872"/>
      <c r="J205" s="1872"/>
      <c r="K205" s="1877"/>
      <c r="L205" s="1878"/>
      <c r="M205" s="1872"/>
      <c r="N205" s="1872"/>
      <c r="O205" s="1872"/>
      <c r="P205" s="1872"/>
      <c r="Q205" s="1872"/>
      <c r="R205" s="1872"/>
      <c r="S205" s="1872"/>
      <c r="T205" s="1872"/>
    </row>
    <row r="206" spans="1:20">
      <c r="A206" s="1872"/>
      <c r="B206" s="1872"/>
      <c r="C206" s="1872"/>
      <c r="D206" s="1872"/>
      <c r="E206" s="1872"/>
      <c r="F206" s="1872"/>
      <c r="G206" s="1872"/>
      <c r="H206" s="1872"/>
      <c r="I206" s="1872"/>
      <c r="J206" s="1872"/>
      <c r="K206" s="1877"/>
      <c r="L206" s="1878"/>
      <c r="M206" s="1872"/>
      <c r="N206" s="1872"/>
      <c r="O206" s="1872"/>
      <c r="P206" s="1872"/>
      <c r="Q206" s="1872"/>
      <c r="R206" s="1872"/>
      <c r="S206" s="1872"/>
      <c r="T206" s="1872"/>
    </row>
    <row r="207" spans="1:20">
      <c r="A207" s="1872"/>
      <c r="B207" s="1872"/>
      <c r="C207" s="1872"/>
      <c r="D207" s="1872"/>
      <c r="E207" s="1872"/>
      <c r="F207" s="1872"/>
      <c r="G207" s="1872"/>
      <c r="H207" s="1872"/>
      <c r="I207" s="1872"/>
      <c r="J207" s="1872"/>
      <c r="K207" s="1877"/>
      <c r="L207" s="1878"/>
      <c r="M207" s="1872"/>
      <c r="N207" s="1872"/>
      <c r="O207" s="1872"/>
      <c r="P207" s="1872"/>
      <c r="Q207" s="1872"/>
      <c r="R207" s="1872"/>
      <c r="S207" s="1872"/>
      <c r="T207" s="1872"/>
    </row>
    <row r="208" spans="1:20">
      <c r="A208" s="1872"/>
      <c r="B208" s="1872"/>
      <c r="C208" s="1872"/>
      <c r="D208" s="1872"/>
      <c r="E208" s="1872"/>
      <c r="F208" s="1872"/>
      <c r="G208" s="1872"/>
      <c r="H208" s="1872"/>
      <c r="I208" s="1872"/>
      <c r="J208" s="1872"/>
      <c r="K208" s="1877"/>
      <c r="L208" s="1878"/>
      <c r="M208" s="1872"/>
      <c r="N208" s="1872"/>
      <c r="O208" s="1872"/>
      <c r="P208" s="1872"/>
      <c r="Q208" s="1872"/>
      <c r="R208" s="1872"/>
      <c r="S208" s="1872"/>
      <c r="T208" s="1872"/>
    </row>
    <row r="209" spans="1:20">
      <c r="A209" s="1872"/>
      <c r="B209" s="1872"/>
      <c r="C209" s="1872"/>
      <c r="D209" s="1872"/>
      <c r="E209" s="1872"/>
      <c r="F209" s="1872"/>
      <c r="G209" s="1872"/>
      <c r="H209" s="1872"/>
      <c r="I209" s="1872"/>
      <c r="J209" s="1872"/>
      <c r="K209" s="1877"/>
      <c r="L209" s="1878"/>
      <c r="M209" s="1872"/>
      <c r="N209" s="1872"/>
      <c r="O209" s="1872"/>
      <c r="P209" s="1872"/>
      <c r="Q209" s="1872"/>
      <c r="R209" s="1872"/>
      <c r="S209" s="1872"/>
      <c r="T209" s="1872"/>
    </row>
    <row r="210" spans="1:20">
      <c r="A210" s="1872"/>
      <c r="B210" s="1872"/>
      <c r="C210" s="1872"/>
      <c r="D210" s="1872"/>
      <c r="E210" s="1872"/>
      <c r="F210" s="1872"/>
      <c r="G210" s="1872"/>
      <c r="H210" s="1872"/>
      <c r="I210" s="1872"/>
      <c r="J210" s="1872"/>
      <c r="K210" s="1877"/>
      <c r="L210" s="1878"/>
      <c r="M210" s="1872"/>
      <c r="N210" s="1872"/>
      <c r="O210" s="1872"/>
      <c r="P210" s="1872"/>
      <c r="Q210" s="1872"/>
      <c r="R210" s="1872"/>
      <c r="S210" s="1872"/>
      <c r="T210" s="1872"/>
    </row>
    <row r="211" spans="1:20">
      <c r="A211" s="1872"/>
      <c r="B211" s="1872"/>
      <c r="C211" s="1872"/>
      <c r="D211" s="1872"/>
      <c r="E211" s="1872"/>
      <c r="F211" s="1872"/>
      <c r="G211" s="1872"/>
      <c r="H211" s="1872"/>
      <c r="I211" s="1872"/>
      <c r="J211" s="1872"/>
      <c r="K211" s="1877"/>
      <c r="L211" s="1878"/>
      <c r="M211" s="1872"/>
      <c r="N211" s="1872"/>
      <c r="O211" s="1872"/>
      <c r="P211" s="1872"/>
      <c r="Q211" s="1872"/>
      <c r="R211" s="1872"/>
      <c r="S211" s="1872"/>
      <c r="T211" s="1872"/>
    </row>
    <row r="212" spans="1:20">
      <c r="A212" s="1872"/>
      <c r="B212" s="1872"/>
      <c r="C212" s="1872"/>
      <c r="D212" s="1872"/>
      <c r="E212" s="1872"/>
      <c r="F212" s="1872"/>
      <c r="G212" s="1872"/>
      <c r="H212" s="1872"/>
      <c r="I212" s="1872"/>
      <c r="J212" s="1872"/>
      <c r="K212" s="1877"/>
      <c r="L212" s="1878"/>
      <c r="M212" s="1872"/>
      <c r="N212" s="1872"/>
      <c r="O212" s="1872"/>
      <c r="P212" s="1872"/>
      <c r="Q212" s="1872"/>
      <c r="R212" s="1872"/>
      <c r="S212" s="1872"/>
      <c r="T212" s="1872"/>
    </row>
    <row r="213" spans="1:20">
      <c r="A213" s="1872"/>
      <c r="B213" s="1872"/>
      <c r="C213" s="1872"/>
      <c r="D213" s="1872"/>
      <c r="E213" s="1872"/>
      <c r="F213" s="1872"/>
      <c r="G213" s="1872"/>
      <c r="H213" s="1872"/>
      <c r="I213" s="1872"/>
      <c r="J213" s="1872"/>
      <c r="K213" s="1877"/>
      <c r="L213" s="1878"/>
      <c r="M213" s="1872"/>
      <c r="N213" s="1872"/>
      <c r="O213" s="1872"/>
      <c r="P213" s="1872"/>
      <c r="Q213" s="1872"/>
      <c r="R213" s="1872"/>
      <c r="S213" s="1872"/>
      <c r="T213" s="1872"/>
    </row>
    <row r="214" spans="1:20">
      <c r="A214" s="1872"/>
      <c r="B214" s="1872"/>
      <c r="C214" s="1872"/>
      <c r="D214" s="1872"/>
      <c r="E214" s="1872"/>
      <c r="F214" s="1872"/>
      <c r="G214" s="1872"/>
      <c r="H214" s="1872"/>
      <c r="I214" s="1872"/>
      <c r="J214" s="1872"/>
      <c r="K214" s="1877"/>
      <c r="L214" s="1878"/>
      <c r="M214" s="1872"/>
      <c r="N214" s="1872"/>
      <c r="O214" s="1872"/>
      <c r="P214" s="1872"/>
      <c r="Q214" s="1872"/>
      <c r="R214" s="1872"/>
      <c r="S214" s="1872"/>
      <c r="T214" s="1872"/>
    </row>
    <row r="215" spans="1:20">
      <c r="A215" s="1872"/>
      <c r="B215" s="1872"/>
      <c r="C215" s="1872"/>
      <c r="D215" s="1872"/>
      <c r="E215" s="1872"/>
      <c r="F215" s="1872"/>
      <c r="G215" s="1872"/>
      <c r="H215" s="1872"/>
      <c r="I215" s="1872"/>
      <c r="J215" s="1872"/>
      <c r="K215" s="1877"/>
      <c r="L215" s="1878"/>
      <c r="M215" s="1872"/>
      <c r="N215" s="1872"/>
      <c r="O215" s="1872"/>
      <c r="P215" s="1872"/>
      <c r="Q215" s="1872"/>
      <c r="R215" s="1872"/>
      <c r="S215" s="1872"/>
      <c r="T215" s="1872"/>
    </row>
    <row r="216" spans="1:20">
      <c r="A216" s="1872"/>
      <c r="B216" s="1872"/>
      <c r="C216" s="1872"/>
      <c r="D216" s="1872"/>
      <c r="E216" s="1872"/>
      <c r="F216" s="1872"/>
      <c r="G216" s="1872"/>
      <c r="H216" s="1872"/>
      <c r="I216" s="1872"/>
      <c r="J216" s="1872"/>
      <c r="K216" s="1877"/>
      <c r="L216" s="1878"/>
      <c r="M216" s="1872"/>
      <c r="N216" s="1872"/>
      <c r="O216" s="1872"/>
      <c r="P216" s="1872"/>
      <c r="Q216" s="1872"/>
      <c r="R216" s="1872"/>
      <c r="S216" s="1872"/>
      <c r="T216" s="1872"/>
    </row>
    <row r="217" spans="1:20">
      <c r="A217" s="1872"/>
      <c r="B217" s="1872"/>
      <c r="C217" s="1872"/>
      <c r="D217" s="1872"/>
      <c r="E217" s="1872"/>
      <c r="F217" s="1872"/>
      <c r="G217" s="1872"/>
      <c r="H217" s="1872"/>
      <c r="I217" s="1872"/>
      <c r="J217" s="1872"/>
      <c r="K217" s="1877"/>
      <c r="L217" s="1878"/>
      <c r="M217" s="1872"/>
      <c r="N217" s="1872"/>
      <c r="O217" s="1872"/>
      <c r="P217" s="1872"/>
      <c r="Q217" s="1872"/>
      <c r="R217" s="1872"/>
      <c r="S217" s="1872"/>
      <c r="T217" s="1872"/>
    </row>
    <row r="218" spans="1:20">
      <c r="A218" s="1872"/>
      <c r="B218" s="1872"/>
      <c r="C218" s="1872"/>
      <c r="D218" s="1872"/>
      <c r="E218" s="1872"/>
      <c r="F218" s="1872"/>
      <c r="G218" s="1872"/>
      <c r="H218" s="1872"/>
      <c r="I218" s="1872"/>
      <c r="J218" s="1872"/>
      <c r="K218" s="1877"/>
      <c r="L218" s="1878"/>
      <c r="M218" s="1872"/>
      <c r="N218" s="1872"/>
      <c r="O218" s="1872"/>
      <c r="P218" s="1872"/>
      <c r="Q218" s="1872"/>
      <c r="R218" s="1872"/>
      <c r="S218" s="1872"/>
      <c r="T218" s="1872"/>
    </row>
    <row r="219" spans="1:20">
      <c r="A219" s="1872"/>
      <c r="B219" s="1872"/>
      <c r="C219" s="1872"/>
      <c r="D219" s="1872"/>
      <c r="E219" s="1872"/>
      <c r="F219" s="1872"/>
      <c r="G219" s="1872"/>
      <c r="H219" s="1872"/>
      <c r="I219" s="1872"/>
      <c r="J219" s="1872"/>
      <c r="K219" s="1877"/>
      <c r="L219" s="1878"/>
      <c r="M219" s="1872"/>
      <c r="N219" s="1872"/>
      <c r="O219" s="1872"/>
      <c r="P219" s="1872"/>
      <c r="Q219" s="1872"/>
      <c r="R219" s="1872"/>
      <c r="S219" s="1872"/>
      <c r="T219" s="1872"/>
    </row>
    <row r="220" spans="1:20">
      <c r="A220" s="1872"/>
      <c r="B220" s="1872"/>
      <c r="C220" s="1872"/>
      <c r="D220" s="1872"/>
      <c r="E220" s="1872"/>
      <c r="F220" s="1872"/>
      <c r="G220" s="1872"/>
      <c r="H220" s="1872"/>
      <c r="I220" s="1872"/>
      <c r="J220" s="1872"/>
      <c r="K220" s="1877"/>
      <c r="L220" s="1878"/>
      <c r="M220" s="1872"/>
      <c r="N220" s="1872"/>
      <c r="O220" s="1872"/>
      <c r="P220" s="1872"/>
      <c r="Q220" s="1872"/>
      <c r="R220" s="1872"/>
      <c r="S220" s="1872"/>
      <c r="T220" s="1872"/>
    </row>
    <row r="221" spans="1:20">
      <c r="A221" s="1872"/>
      <c r="B221" s="1872"/>
      <c r="C221" s="1872"/>
      <c r="D221" s="1872"/>
      <c r="E221" s="1872"/>
      <c r="F221" s="1872"/>
      <c r="G221" s="1872"/>
      <c r="H221" s="1872"/>
      <c r="I221" s="1872"/>
      <c r="J221" s="1872"/>
      <c r="K221" s="1877"/>
      <c r="L221" s="1878"/>
      <c r="M221" s="1872"/>
      <c r="N221" s="1872"/>
      <c r="O221" s="1872"/>
      <c r="P221" s="1872"/>
      <c r="Q221" s="1872"/>
      <c r="R221" s="1872"/>
      <c r="S221" s="1872"/>
      <c r="T221" s="1872"/>
    </row>
    <row r="222" spans="1:20">
      <c r="A222" s="1872"/>
      <c r="B222" s="1872"/>
      <c r="C222" s="1872"/>
      <c r="D222" s="1872"/>
      <c r="E222" s="1872"/>
      <c r="F222" s="1872"/>
      <c r="G222" s="1872"/>
      <c r="H222" s="1872"/>
      <c r="I222" s="1872"/>
      <c r="J222" s="1872"/>
      <c r="K222" s="1877"/>
      <c r="L222" s="1878"/>
      <c r="M222" s="1872"/>
      <c r="N222" s="1872"/>
      <c r="O222" s="1872"/>
      <c r="P222" s="1872"/>
      <c r="Q222" s="1872"/>
      <c r="R222" s="1872"/>
      <c r="S222" s="1872"/>
      <c r="T222" s="1872"/>
    </row>
    <row r="223" spans="1:20">
      <c r="A223" s="1872"/>
      <c r="B223" s="1872"/>
      <c r="C223" s="1872"/>
      <c r="D223" s="1872"/>
      <c r="E223" s="1872"/>
      <c r="F223" s="1872"/>
      <c r="G223" s="1872"/>
      <c r="H223" s="1872"/>
      <c r="I223" s="1872"/>
      <c r="J223" s="1872"/>
      <c r="K223" s="1877"/>
      <c r="L223" s="1878"/>
      <c r="M223" s="1872"/>
      <c r="N223" s="1872"/>
      <c r="O223" s="1872"/>
      <c r="P223" s="1872"/>
      <c r="Q223" s="1872"/>
      <c r="R223" s="1872"/>
      <c r="S223" s="1872"/>
      <c r="T223" s="1872"/>
    </row>
    <row r="224" spans="1:20">
      <c r="A224" s="1872"/>
      <c r="B224" s="1872"/>
      <c r="C224" s="1872"/>
      <c r="D224" s="1872"/>
      <c r="E224" s="1872"/>
      <c r="F224" s="1872"/>
      <c r="G224" s="1872"/>
      <c r="H224" s="1872"/>
      <c r="I224" s="1872"/>
      <c r="J224" s="1872"/>
      <c r="K224" s="1877"/>
      <c r="L224" s="1878"/>
      <c r="M224" s="1872"/>
      <c r="N224" s="1872"/>
      <c r="O224" s="1872"/>
      <c r="P224" s="1872"/>
      <c r="Q224" s="1872"/>
      <c r="R224" s="1872"/>
      <c r="S224" s="1872"/>
      <c r="T224" s="1872"/>
    </row>
    <row r="225" spans="1:20">
      <c r="A225" s="1872"/>
      <c r="B225" s="1872"/>
      <c r="C225" s="1872"/>
      <c r="D225" s="1872"/>
      <c r="E225" s="1872"/>
      <c r="F225" s="1872"/>
      <c r="G225" s="1872"/>
      <c r="H225" s="1872"/>
      <c r="I225" s="1872"/>
      <c r="J225" s="1872"/>
      <c r="K225" s="1877"/>
      <c r="L225" s="1878"/>
      <c r="M225" s="1872"/>
      <c r="N225" s="1872"/>
      <c r="O225" s="1872"/>
      <c r="P225" s="1872"/>
      <c r="Q225" s="1872"/>
      <c r="R225" s="1872"/>
      <c r="S225" s="1872"/>
      <c r="T225" s="1872"/>
    </row>
    <row r="226" spans="1:20">
      <c r="A226" s="1872"/>
      <c r="B226" s="1872"/>
      <c r="C226" s="1872"/>
      <c r="D226" s="1872"/>
      <c r="E226" s="1872"/>
      <c r="F226" s="1872"/>
      <c r="G226" s="1872"/>
      <c r="H226" s="1872"/>
      <c r="I226" s="1872"/>
      <c r="J226" s="1872"/>
      <c r="K226" s="1877"/>
      <c r="L226" s="1878"/>
      <c r="M226" s="1872"/>
      <c r="N226" s="1872"/>
      <c r="O226" s="1872"/>
      <c r="P226" s="1872"/>
      <c r="Q226" s="1872"/>
      <c r="R226" s="1872"/>
      <c r="S226" s="1872"/>
      <c r="T226" s="1872"/>
    </row>
    <row r="227" spans="1:20">
      <c r="A227" s="1872"/>
      <c r="B227" s="1872"/>
      <c r="C227" s="1872"/>
      <c r="D227" s="1872"/>
      <c r="E227" s="1872"/>
      <c r="F227" s="1872"/>
      <c r="G227" s="1872"/>
      <c r="H227" s="1872"/>
      <c r="I227" s="1872"/>
      <c r="J227" s="1872"/>
      <c r="K227" s="1877"/>
      <c r="L227" s="1878"/>
      <c r="M227" s="1872"/>
      <c r="N227" s="1872"/>
      <c r="O227" s="1872"/>
      <c r="P227" s="1872"/>
      <c r="Q227" s="1872"/>
      <c r="R227" s="1872"/>
      <c r="S227" s="1872"/>
      <c r="T227" s="1872"/>
    </row>
    <row r="228" spans="1:20">
      <c r="A228" s="1872"/>
      <c r="B228" s="1872"/>
      <c r="C228" s="1872"/>
      <c r="D228" s="1872"/>
      <c r="E228" s="1872"/>
      <c r="F228" s="1872"/>
      <c r="G228" s="1872"/>
      <c r="H228" s="1872"/>
      <c r="I228" s="1872"/>
      <c r="J228" s="1872"/>
      <c r="K228" s="1877"/>
      <c r="L228" s="1878"/>
      <c r="M228" s="1872"/>
      <c r="N228" s="1872"/>
      <c r="O228" s="1872"/>
      <c r="P228" s="1872"/>
      <c r="Q228" s="1872"/>
      <c r="R228" s="1872"/>
      <c r="S228" s="1872"/>
      <c r="T228" s="1872"/>
    </row>
    <row r="229" spans="1:20">
      <c r="A229" s="1872"/>
      <c r="B229" s="1872"/>
      <c r="C229" s="1872"/>
      <c r="D229" s="1872"/>
      <c r="E229" s="1872"/>
      <c r="F229" s="1872"/>
      <c r="G229" s="1872"/>
      <c r="H229" s="1872"/>
      <c r="I229" s="1872"/>
      <c r="J229" s="1872"/>
      <c r="K229" s="1877"/>
      <c r="L229" s="1878"/>
      <c r="M229" s="1872"/>
      <c r="N229" s="1872"/>
      <c r="O229" s="1872"/>
      <c r="P229" s="1872"/>
      <c r="Q229" s="1872"/>
      <c r="R229" s="1872"/>
      <c r="S229" s="1872"/>
      <c r="T229" s="1872"/>
    </row>
    <row r="230" spans="1:20">
      <c r="A230" s="1872"/>
      <c r="B230" s="1872"/>
      <c r="C230" s="1872"/>
      <c r="D230" s="1872"/>
      <c r="E230" s="1872"/>
      <c r="F230" s="1872"/>
      <c r="G230" s="1872"/>
      <c r="H230" s="1872"/>
      <c r="I230" s="1872"/>
      <c r="J230" s="1872"/>
      <c r="K230" s="1877"/>
      <c r="L230" s="1878"/>
      <c r="M230" s="1872"/>
      <c r="N230" s="1872"/>
      <c r="O230" s="1872"/>
      <c r="P230" s="1872"/>
      <c r="Q230" s="1872"/>
      <c r="R230" s="1872"/>
      <c r="S230" s="1872"/>
      <c r="T230" s="1872"/>
    </row>
    <row r="231" spans="1:20">
      <c r="A231" s="1872"/>
      <c r="B231" s="1872"/>
      <c r="C231" s="1872"/>
      <c r="D231" s="1872"/>
      <c r="E231" s="1872"/>
      <c r="F231" s="1872"/>
      <c r="G231" s="1872"/>
      <c r="H231" s="1872"/>
      <c r="I231" s="1872"/>
      <c r="J231" s="1872"/>
      <c r="K231" s="1877"/>
      <c r="L231" s="1878"/>
      <c r="M231" s="1872"/>
      <c r="N231" s="1872"/>
      <c r="O231" s="1872"/>
      <c r="P231" s="1872"/>
      <c r="Q231" s="1872"/>
      <c r="R231" s="1872"/>
      <c r="S231" s="1872"/>
      <c r="T231" s="1872"/>
    </row>
    <row r="232" spans="1:20">
      <c r="A232" s="1872"/>
      <c r="B232" s="1872"/>
      <c r="C232" s="1872"/>
      <c r="D232" s="1872"/>
      <c r="E232" s="1872"/>
      <c r="F232" s="1872"/>
      <c r="G232" s="1872"/>
      <c r="H232" s="1872"/>
      <c r="I232" s="1872"/>
      <c r="J232" s="1872"/>
      <c r="K232" s="1877"/>
      <c r="L232" s="1878"/>
      <c r="M232" s="1872"/>
      <c r="N232" s="1872"/>
      <c r="O232" s="1872"/>
      <c r="P232" s="1872"/>
      <c r="Q232" s="1872"/>
      <c r="R232" s="1872"/>
      <c r="S232" s="1872"/>
      <c r="T232" s="1872"/>
    </row>
    <row r="233" spans="1:20">
      <c r="A233" s="1872"/>
      <c r="B233" s="1872"/>
      <c r="C233" s="1872"/>
      <c r="D233" s="1872"/>
      <c r="E233" s="1872"/>
      <c r="F233" s="1872"/>
      <c r="G233" s="1872"/>
      <c r="H233" s="1872"/>
      <c r="I233" s="1872"/>
      <c r="J233" s="1872"/>
      <c r="K233" s="1877"/>
      <c r="L233" s="1878"/>
      <c r="M233" s="1872"/>
      <c r="N233" s="1872"/>
      <c r="O233" s="1872"/>
      <c r="P233" s="1872"/>
      <c r="Q233" s="1872"/>
      <c r="R233" s="1872"/>
      <c r="S233" s="1872"/>
      <c r="T233" s="1872"/>
    </row>
    <row r="234" spans="1:20">
      <c r="A234" s="1872"/>
      <c r="B234" s="1872"/>
      <c r="C234" s="1872"/>
      <c r="D234" s="1872"/>
      <c r="E234" s="1872"/>
      <c r="F234" s="1872"/>
      <c r="G234" s="1872"/>
      <c r="H234" s="1872"/>
      <c r="I234" s="1872"/>
      <c r="J234" s="1872"/>
      <c r="K234" s="1877"/>
      <c r="L234" s="1878"/>
      <c r="M234" s="1872"/>
      <c r="N234" s="1872"/>
      <c r="O234" s="1872"/>
      <c r="P234" s="1872"/>
      <c r="Q234" s="1872"/>
      <c r="R234" s="1872"/>
      <c r="S234" s="1872"/>
      <c r="T234" s="1872"/>
    </row>
    <row r="235" spans="1:20">
      <c r="A235" s="1872"/>
      <c r="B235" s="1872"/>
      <c r="C235" s="1872"/>
      <c r="D235" s="1872"/>
      <c r="E235" s="1872"/>
      <c r="F235" s="1872"/>
      <c r="G235" s="1872"/>
      <c r="H235" s="1872"/>
      <c r="I235" s="1872"/>
      <c r="J235" s="1872"/>
      <c r="K235" s="1877"/>
      <c r="L235" s="1878"/>
      <c r="M235" s="1872"/>
      <c r="N235" s="1872"/>
      <c r="O235" s="1872"/>
      <c r="P235" s="1872"/>
      <c r="Q235" s="1872"/>
      <c r="R235" s="1872"/>
      <c r="S235" s="1872"/>
      <c r="T235" s="1872"/>
    </row>
    <row r="236" spans="1:20">
      <c r="A236" s="1872"/>
      <c r="B236" s="1872"/>
      <c r="C236" s="1872"/>
      <c r="D236" s="1872"/>
      <c r="E236" s="1872"/>
      <c r="F236" s="1872"/>
      <c r="G236" s="1872"/>
      <c r="H236" s="1872"/>
      <c r="I236" s="1872"/>
      <c r="J236" s="1872"/>
      <c r="K236" s="1877"/>
      <c r="L236" s="1878"/>
      <c r="M236" s="1872"/>
      <c r="N236" s="1872"/>
      <c r="O236" s="1872"/>
      <c r="P236" s="1872"/>
      <c r="Q236" s="1872"/>
      <c r="R236" s="1872"/>
      <c r="S236" s="1872"/>
      <c r="T236" s="1872"/>
    </row>
    <row r="237" spans="1:20">
      <c r="A237" s="1872"/>
      <c r="B237" s="1872"/>
      <c r="C237" s="1872"/>
      <c r="D237" s="1872"/>
      <c r="E237" s="1872"/>
      <c r="F237" s="1872"/>
      <c r="G237" s="1872"/>
      <c r="H237" s="1872"/>
      <c r="I237" s="1872"/>
      <c r="J237" s="1872"/>
      <c r="K237" s="1877"/>
      <c r="L237" s="1878"/>
      <c r="M237" s="1872"/>
      <c r="N237" s="1872"/>
      <c r="O237" s="1872"/>
      <c r="P237" s="1872"/>
      <c r="Q237" s="1872"/>
      <c r="R237" s="1872"/>
      <c r="S237" s="1872"/>
      <c r="T237" s="1872"/>
    </row>
    <row r="238" spans="1:20">
      <c r="A238" s="1872"/>
      <c r="B238" s="1872"/>
      <c r="C238" s="1872"/>
      <c r="D238" s="1872"/>
      <c r="E238" s="1872"/>
      <c r="F238" s="1872"/>
      <c r="G238" s="1872"/>
      <c r="H238" s="1872"/>
      <c r="I238" s="1872"/>
      <c r="J238" s="1872"/>
      <c r="K238" s="1877"/>
      <c r="L238" s="1878"/>
      <c r="M238" s="1872"/>
      <c r="N238" s="1872"/>
      <c r="O238" s="1872"/>
      <c r="P238" s="1872"/>
      <c r="Q238" s="1872"/>
      <c r="R238" s="1872"/>
      <c r="S238" s="1872"/>
      <c r="T238" s="1872"/>
    </row>
    <row r="239" spans="1:20">
      <c r="A239" s="1872"/>
      <c r="B239" s="1872"/>
      <c r="C239" s="1872"/>
      <c r="D239" s="1872"/>
      <c r="E239" s="1872"/>
      <c r="F239" s="1872"/>
      <c r="G239" s="1872"/>
      <c r="H239" s="1872"/>
      <c r="I239" s="1872"/>
      <c r="J239" s="1872"/>
      <c r="K239" s="1877"/>
      <c r="L239" s="1878"/>
      <c r="M239" s="1872"/>
      <c r="N239" s="1872"/>
      <c r="O239" s="1872"/>
      <c r="P239" s="1872"/>
      <c r="Q239" s="1872"/>
      <c r="R239" s="1872"/>
      <c r="S239" s="1872"/>
      <c r="T239" s="1872"/>
    </row>
    <row r="240" spans="1:20">
      <c r="A240" s="1872"/>
      <c r="B240" s="1872"/>
      <c r="C240" s="1872"/>
      <c r="D240" s="1872"/>
      <c r="E240" s="1872"/>
      <c r="F240" s="1872"/>
      <c r="G240" s="1872"/>
      <c r="H240" s="1872"/>
      <c r="I240" s="1872"/>
      <c r="J240" s="1872"/>
      <c r="K240" s="1877"/>
      <c r="L240" s="1878"/>
      <c r="M240" s="1872"/>
      <c r="N240" s="1872"/>
      <c r="O240" s="1872"/>
      <c r="P240" s="1872"/>
      <c r="Q240" s="1872"/>
      <c r="R240" s="1872"/>
      <c r="S240" s="1872"/>
      <c r="T240" s="1872"/>
    </row>
    <row r="241" spans="1:20">
      <c r="A241" s="1872"/>
      <c r="B241" s="1872"/>
      <c r="C241" s="1872"/>
      <c r="D241" s="1872"/>
      <c r="E241" s="1872"/>
      <c r="F241" s="1872"/>
      <c r="G241" s="1872"/>
      <c r="H241" s="1872"/>
      <c r="I241" s="1872"/>
      <c r="J241" s="1872"/>
      <c r="K241" s="1877"/>
      <c r="L241" s="1878"/>
      <c r="M241" s="1872"/>
      <c r="N241" s="1872"/>
      <c r="O241" s="1872"/>
      <c r="P241" s="1872"/>
      <c r="Q241" s="1872"/>
      <c r="R241" s="1872"/>
      <c r="S241" s="1872"/>
      <c r="T241" s="187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topLeftCell="A21" workbookViewId="0">
      <selection activeCell="Y56" sqref="Y56"/>
    </sheetView>
  </sheetViews>
  <sheetFormatPr defaultColWidth="9" defaultRowHeight="14"/>
  <cols>
    <col min="1" max="1" width="14.3727272727273" style="573" customWidth="1"/>
    <col min="2" max="2" width="15.7545454545455" style="573" customWidth="1"/>
    <col min="3" max="3" width="14.3727272727273" style="573" customWidth="1"/>
    <col min="4" max="4" width="14.1272727272727" style="573" customWidth="1"/>
    <col min="5" max="5" width="14.3727272727273" style="573" customWidth="1"/>
    <col min="6" max="6" width="12.2545454545455" style="573" customWidth="1"/>
    <col min="7" max="7" width="14.5" style="573" customWidth="1"/>
    <col min="8" max="8" width="12.2545454545455" style="573" customWidth="1"/>
    <col min="9" max="9" width="14.5" style="573" customWidth="1"/>
    <col min="10" max="10" width="12.2545454545455" style="573" customWidth="1"/>
    <col min="11" max="11" width="12.2545454545455" style="574" customWidth="1"/>
    <col min="12" max="12" width="12.2545454545455" style="575" customWidth="1"/>
    <col min="13" max="15" width="12.2545454545455" style="573" customWidth="1"/>
    <col min="16" max="16" width="4.75454545454545" style="573" customWidth="1"/>
    <col min="17" max="17" width="19.5" style="573" customWidth="1"/>
    <col min="18" max="22" width="6.12727272727273" style="573" customWidth="1"/>
    <col min="23" max="23" width="5.75454545454545" style="573" customWidth="1"/>
    <col min="24" max="24" width="4.25454545454545" style="573" customWidth="1"/>
    <col min="25" max="25" width="3.5" style="573" customWidth="1"/>
    <col min="26" max="26" width="19.7545454545455" style="573" customWidth="1"/>
    <col min="27" max="28" width="9.37272727272727" style="573" customWidth="1"/>
    <col min="29" max="16384" width="9" style="573"/>
  </cols>
  <sheetData>
    <row r="1" s="567" customFormat="1" ht="28.5" customHeight="1" spans="1:30">
      <c r="A1" s="1495" t="s">
        <v>1513</v>
      </c>
      <c r="B1" s="1496"/>
      <c r="C1" s="1497" t="s">
        <v>1514</v>
      </c>
      <c r="D1" s="1498"/>
      <c r="E1" s="1498"/>
      <c r="F1" s="1499" t="s">
        <v>1157</v>
      </c>
      <c r="G1" s="1498"/>
      <c r="H1" s="1498"/>
      <c r="I1" s="1498"/>
      <c r="J1" s="1498"/>
      <c r="K1" s="1572"/>
      <c r="L1" s="1573"/>
      <c r="M1" s="1574"/>
      <c r="N1" s="1574"/>
      <c r="O1" s="1574"/>
      <c r="P1" s="751"/>
      <c r="Q1" s="751"/>
      <c r="R1" s="751"/>
      <c r="S1" s="751"/>
      <c r="T1" s="751"/>
      <c r="U1" s="751"/>
      <c r="V1" s="751"/>
      <c r="W1" s="751"/>
      <c r="X1" s="751"/>
      <c r="Y1" s="751"/>
      <c r="Z1" s="751"/>
      <c r="AA1" s="751"/>
      <c r="AB1" s="751"/>
      <c r="AC1" s="847"/>
      <c r="AD1" s="1849"/>
    </row>
    <row r="2" s="567" customFormat="1" ht="28.5" customHeight="1" spans="1:30">
      <c r="A2" s="393" t="s">
        <v>995</v>
      </c>
      <c r="B2" s="1500" t="e">
        <f>F65</f>
        <v>#REF!</v>
      </c>
      <c r="C2" s="1821"/>
      <c r="D2" s="1821"/>
      <c r="E2" s="591"/>
      <c r="F2" s="596"/>
      <c r="G2" s="591"/>
      <c r="H2" s="591"/>
      <c r="I2" s="591"/>
      <c r="J2" s="591"/>
      <c r="K2" s="752"/>
      <c r="L2" s="749"/>
      <c r="M2" s="750"/>
      <c r="N2" s="750"/>
      <c r="O2" s="750"/>
      <c r="P2" s="751"/>
      <c r="Q2" s="751"/>
      <c r="R2" s="751"/>
      <c r="S2" s="751"/>
      <c r="T2" s="751"/>
      <c r="U2" s="751"/>
      <c r="V2" s="751"/>
      <c r="W2" s="751"/>
      <c r="X2" s="751"/>
      <c r="Y2" s="751"/>
      <c r="Z2" s="751"/>
      <c r="AA2" s="751"/>
      <c r="AB2" s="751"/>
      <c r="AC2" s="847"/>
      <c r="AD2" s="1849"/>
    </row>
    <row r="3" s="567" customFormat="1" ht="28.5" customHeight="1" spans="1:29">
      <c r="A3" s="396" t="s">
        <v>997</v>
      </c>
      <c r="B3" s="592" t="e">
        <f>ROUND(IF(D3="",B2*10000/'数据-汇总表'!E3,B2*10000/D3),0)</f>
        <v>#REF!</v>
      </c>
      <c r="C3" s="396" t="s">
        <v>1158</v>
      </c>
      <c r="D3" s="1501"/>
      <c r="E3" s="591"/>
      <c r="F3" s="596"/>
      <c r="G3" s="591"/>
      <c r="H3" s="591"/>
      <c r="I3" s="591"/>
      <c r="J3" s="591"/>
      <c r="K3" s="752"/>
      <c r="L3" s="749"/>
      <c r="M3" s="750"/>
      <c r="N3" s="750"/>
      <c r="O3" s="750"/>
      <c r="P3" s="751"/>
      <c r="Q3" s="751"/>
      <c r="R3" s="751"/>
      <c r="S3" s="751"/>
      <c r="T3" s="751"/>
      <c r="U3" s="751"/>
      <c r="V3" s="751"/>
      <c r="W3" s="751"/>
      <c r="X3" s="751"/>
      <c r="Y3" s="751"/>
      <c r="Z3" s="751"/>
      <c r="AA3" s="751"/>
      <c r="AB3" s="1600"/>
      <c r="AC3" s="1601"/>
    </row>
    <row r="4" spans="1:29">
      <c r="A4" s="597" t="s">
        <v>1159</v>
      </c>
      <c r="B4" s="598"/>
      <c r="C4" s="599" t="s">
        <v>1160</v>
      </c>
      <c r="D4" s="600"/>
      <c r="E4" s="601" t="s">
        <v>1161</v>
      </c>
      <c r="F4" s="602"/>
      <c r="G4" s="599" t="s">
        <v>1162</v>
      </c>
      <c r="H4" s="600"/>
      <c r="I4" s="599" t="s">
        <v>1163</v>
      </c>
      <c r="J4" s="600"/>
      <c r="K4" s="753" t="s">
        <v>1164</v>
      </c>
      <c r="L4" s="754"/>
      <c r="M4" s="755"/>
      <c r="N4" s="755"/>
      <c r="O4" s="755"/>
      <c r="P4" s="1575" t="s">
        <v>1165</v>
      </c>
      <c r="Q4" s="1594"/>
      <c r="R4" s="1595" t="s">
        <v>1161</v>
      </c>
      <c r="S4" s="1596"/>
      <c r="T4" s="1595" t="s">
        <v>1162</v>
      </c>
      <c r="U4" s="1596"/>
      <c r="V4" s="820" t="s">
        <v>1163</v>
      </c>
      <c r="W4" s="820"/>
      <c r="X4" s="821"/>
      <c r="Y4" s="1595" t="s">
        <v>1165</v>
      </c>
      <c r="Z4" s="1596"/>
      <c r="AA4" s="1602" t="s">
        <v>1161</v>
      </c>
      <c r="AB4" s="821" t="s">
        <v>1162</v>
      </c>
      <c r="AC4" s="1602" t="s">
        <v>1163</v>
      </c>
    </row>
    <row r="5" spans="1:29">
      <c r="A5" s="603"/>
      <c r="B5" s="604"/>
      <c r="C5" s="605" t="s">
        <v>1166</v>
      </c>
      <c r="D5" s="606"/>
      <c r="E5" s="609" t="e">
        <f>#REF!</f>
        <v>#REF!</v>
      </c>
      <c r="F5" s="608"/>
      <c r="G5" s="605" t="e">
        <f>#REF!</f>
        <v>#REF!</v>
      </c>
      <c r="H5" s="606"/>
      <c r="I5" s="605" t="e">
        <f>#REF!</f>
        <v>#REF!</v>
      </c>
      <c r="J5" s="606"/>
      <c r="K5" s="753"/>
      <c r="L5" s="754"/>
      <c r="M5" s="755"/>
      <c r="N5" s="755"/>
      <c r="O5" s="755"/>
      <c r="P5" s="1576"/>
      <c r="Q5" s="817"/>
      <c r="R5" s="818"/>
      <c r="S5" s="819"/>
      <c r="T5" s="818"/>
      <c r="U5" s="819"/>
      <c r="V5" s="820"/>
      <c r="W5" s="820"/>
      <c r="X5" s="821"/>
      <c r="Y5" s="818"/>
      <c r="Z5" s="819"/>
      <c r="AA5" s="821"/>
      <c r="AB5" s="821"/>
      <c r="AC5" s="821"/>
    </row>
    <row r="6" ht="14.75" spans="1:29">
      <c r="A6" s="610"/>
      <c r="B6" s="611"/>
      <c r="C6" s="612" t="s">
        <v>1170</v>
      </c>
      <c r="D6" s="613"/>
      <c r="E6" s="614" t="s">
        <v>1170</v>
      </c>
      <c r="F6" s="615"/>
      <c r="G6" s="612" t="s">
        <v>1170</v>
      </c>
      <c r="H6" s="613"/>
      <c r="I6" s="612" t="s">
        <v>1170</v>
      </c>
      <c r="J6" s="613"/>
      <c r="K6" s="753" t="s">
        <v>1171</v>
      </c>
      <c r="L6" s="754"/>
      <c r="M6" s="755"/>
      <c r="N6" s="755"/>
      <c r="O6" s="755"/>
      <c r="P6" s="1577"/>
      <c r="Q6" s="822"/>
      <c r="R6" s="818"/>
      <c r="S6" s="819"/>
      <c r="T6" s="823"/>
      <c r="U6" s="824"/>
      <c r="V6" s="820"/>
      <c r="W6" s="820"/>
      <c r="X6" s="821"/>
      <c r="Y6" s="823"/>
      <c r="Z6" s="824"/>
      <c r="AA6" s="850"/>
      <c r="AB6" s="850"/>
      <c r="AC6" s="850"/>
    </row>
    <row r="7" s="568" customFormat="1" ht="14.75" spans="1:29">
      <c r="A7" s="616" t="s">
        <v>1172</v>
      </c>
      <c r="B7" s="617"/>
      <c r="C7" s="618">
        <f>'数据-取费表'!B2</f>
        <v>45538</v>
      </c>
      <c r="D7" s="619">
        <v>100</v>
      </c>
      <c r="E7" s="620" t="e">
        <f>#REF!</f>
        <v>#REF!</v>
      </c>
      <c r="F7" s="621">
        <f>SUMIF(69:69,YEAR(E7)&amp;"-"&amp;INT((MONTH(E7)+2)/3),70:70)</f>
        <v>0</v>
      </c>
      <c r="G7" s="1506" t="e">
        <f>#REF!</f>
        <v>#REF!</v>
      </c>
      <c r="H7" s="619">
        <f>SUMIF(69:69,YEAR(G7)&amp;"-"&amp;INT((MONTH(G7)+2)/3),70:70)</f>
        <v>0</v>
      </c>
      <c r="I7" s="1506" t="e">
        <f>#REF!</f>
        <v>#REF!</v>
      </c>
      <c r="J7" s="619">
        <f>SUMIF(69:69,YEAR(I7)&amp;"-"&amp;INT((MONTH(I7)+2)/3),70:70)</f>
        <v>0</v>
      </c>
      <c r="K7" s="759"/>
      <c r="L7" s="760"/>
      <c r="M7" s="761"/>
      <c r="N7" s="761"/>
      <c r="O7" s="761"/>
      <c r="P7" s="852" t="s">
        <v>1173</v>
      </c>
      <c r="Q7" s="825"/>
      <c r="R7" s="826" t="s">
        <v>1174</v>
      </c>
      <c r="S7" s="827">
        <f t="shared" ref="S7:S15" si="0">F7</f>
        <v>0</v>
      </c>
      <c r="T7" s="826" t="s">
        <v>1174</v>
      </c>
      <c r="U7" s="827">
        <f t="shared" ref="U7:U15" si="1">H7</f>
        <v>0</v>
      </c>
      <c r="V7" s="826" t="s">
        <v>1174</v>
      </c>
      <c r="W7" s="827">
        <f t="shared" ref="W7:W15" si="2">J7</f>
        <v>0</v>
      </c>
      <c r="X7" s="828"/>
      <c r="Y7" s="852" t="s">
        <v>1173</v>
      </c>
      <c r="Z7" s="829"/>
      <c r="AA7" s="853" t="e">
        <f>D7/F7</f>
        <v>#DIV/0!</v>
      </c>
      <c r="AB7" s="853" t="e">
        <f>D7/H7</f>
        <v>#DIV/0!</v>
      </c>
      <c r="AC7" s="853" t="e">
        <f>D7/J7</f>
        <v>#DIV/0!</v>
      </c>
    </row>
    <row r="8" s="568" customFormat="1" ht="14.75" spans="1:29">
      <c r="A8" s="616" t="s">
        <v>1175</v>
      </c>
      <c r="B8" s="617"/>
      <c r="C8" s="622" t="s">
        <v>1223</v>
      </c>
      <c r="D8" s="619">
        <v>100</v>
      </c>
      <c r="E8" s="622" t="s">
        <v>881</v>
      </c>
      <c r="F8" s="621">
        <f>SUMIF(72:72,E8,73:73)-SUMIF(72:72,C8,73:73)+100</f>
        <v>100</v>
      </c>
      <c r="G8" s="622" t="s">
        <v>881</v>
      </c>
      <c r="H8" s="619">
        <f>SUMIF(72:72,G8,73:73)-SUMIF(72:72,C8,73:73)+100</f>
        <v>100</v>
      </c>
      <c r="I8" s="622" t="s">
        <v>881</v>
      </c>
      <c r="J8" s="619">
        <f>SUMIF(72:72,I8,73:73)-SUMIF(72:72,C8,73:73)+100</f>
        <v>100</v>
      </c>
      <c r="K8" s="759"/>
      <c r="L8" s="760"/>
      <c r="M8" s="761"/>
      <c r="N8" s="761"/>
      <c r="O8" s="761"/>
      <c r="P8" s="852" t="s">
        <v>1177</v>
      </c>
      <c r="Q8" s="829"/>
      <c r="R8" s="826" t="s">
        <v>1174</v>
      </c>
      <c r="S8" s="827">
        <f t="shared" si="0"/>
        <v>100</v>
      </c>
      <c r="T8" s="826" t="s">
        <v>1174</v>
      </c>
      <c r="U8" s="827">
        <f t="shared" si="1"/>
        <v>100</v>
      </c>
      <c r="V8" s="826" t="s">
        <v>1174</v>
      </c>
      <c r="W8" s="827">
        <f t="shared" si="2"/>
        <v>100</v>
      </c>
      <c r="X8" s="828"/>
      <c r="Y8" s="852" t="s">
        <v>1177</v>
      </c>
      <c r="Z8" s="829"/>
      <c r="AA8" s="853">
        <f t="shared" ref="AA8:AA45" si="3">D8/F8</f>
        <v>1</v>
      </c>
      <c r="AB8" s="853">
        <f t="shared" ref="AB8:AB45" si="4">D8/H8</f>
        <v>1</v>
      </c>
      <c r="AC8" s="853">
        <f t="shared" ref="AC8:AC45" si="5">D8/J8</f>
        <v>1</v>
      </c>
    </row>
    <row r="9" s="568" customFormat="1" spans="1:29">
      <c r="A9" s="623" t="s">
        <v>1178</v>
      </c>
      <c r="B9" s="624" t="s">
        <v>1179</v>
      </c>
      <c r="C9" s="1507"/>
      <c r="D9" s="626">
        <v>100</v>
      </c>
      <c r="E9" s="1507"/>
      <c r="F9" s="626">
        <f>SUMIF(74:74,E9,75:75)-SUMIF(74:74,C9,75:75)+100</f>
        <v>100</v>
      </c>
      <c r="G9" s="1507"/>
      <c r="H9" s="626">
        <f>SUMIF(74:74,G9,75:75)-SUMIF(74:74,C9,75:75)+100</f>
        <v>100</v>
      </c>
      <c r="I9" s="1507"/>
      <c r="J9" s="626">
        <f>SUMIF(74:74,I9,75:75)-SUMIF(74:74,C9,75:75)+100</f>
        <v>100</v>
      </c>
      <c r="K9" s="759"/>
      <c r="L9" s="760"/>
      <c r="M9" s="761"/>
      <c r="N9" s="761"/>
      <c r="O9" s="1578"/>
      <c r="P9" s="831" t="s">
        <v>1182</v>
      </c>
      <c r="Q9" s="830" t="str">
        <f t="shared" ref="Q9:Q15" si="6">B9</f>
        <v>用途</v>
      </c>
      <c r="R9" s="826" t="s">
        <v>1174</v>
      </c>
      <c r="S9" s="827">
        <f t="shared" si="0"/>
        <v>100</v>
      </c>
      <c r="T9" s="826" t="s">
        <v>1174</v>
      </c>
      <c r="U9" s="827">
        <f t="shared" si="1"/>
        <v>100</v>
      </c>
      <c r="V9" s="826" t="s">
        <v>1174</v>
      </c>
      <c r="W9" s="827">
        <f t="shared" si="2"/>
        <v>100</v>
      </c>
      <c r="X9" s="828"/>
      <c r="Y9" s="830" t="s">
        <v>1183</v>
      </c>
      <c r="Z9" s="855" t="str">
        <f t="shared" ref="Z9:Z15" si="7">Q9</f>
        <v>用途</v>
      </c>
      <c r="AA9" s="853">
        <f t="shared" si="3"/>
        <v>1</v>
      </c>
      <c r="AB9" s="853">
        <f t="shared" si="4"/>
        <v>1</v>
      </c>
      <c r="AC9" s="853">
        <f t="shared" si="5"/>
        <v>1</v>
      </c>
    </row>
    <row r="10" s="569" customFormat="1" ht="28" spans="1:29">
      <c r="A10" s="629"/>
      <c r="B10" s="630" t="s">
        <v>1184</v>
      </c>
      <c r="C10" s="639"/>
      <c r="D10" s="632">
        <v>100</v>
      </c>
      <c r="E10" s="1822"/>
      <c r="F10" s="632">
        <f>ROUND(100/'数据-取费表'!G16,0)</f>
        <v>119</v>
      </c>
      <c r="G10" s="1823"/>
      <c r="H10" s="632">
        <f>ROUND(100/'数据-取费表'!G16,0)</f>
        <v>119</v>
      </c>
      <c r="I10" s="1823"/>
      <c r="J10" s="632">
        <f>ROUND(100/'数据-取费表'!G16,0)</f>
        <v>119</v>
      </c>
      <c r="K10" s="1579"/>
      <c r="L10" s="764"/>
      <c r="M10" s="765"/>
      <c r="N10" s="765"/>
      <c r="O10" s="1580"/>
      <c r="P10" s="831"/>
      <c r="Q10" s="830" t="str">
        <f t="shared" si="6"/>
        <v>土地使用年限（年）</v>
      </c>
      <c r="R10" s="826" t="s">
        <v>1174</v>
      </c>
      <c r="S10" s="827">
        <f t="shared" si="0"/>
        <v>119</v>
      </c>
      <c r="T10" s="826" t="s">
        <v>1174</v>
      </c>
      <c r="U10" s="827">
        <f t="shared" si="1"/>
        <v>119</v>
      </c>
      <c r="V10" s="826" t="s">
        <v>1174</v>
      </c>
      <c r="W10" s="827">
        <f t="shared" si="2"/>
        <v>119</v>
      </c>
      <c r="X10" s="828"/>
      <c r="Y10" s="830"/>
      <c r="Z10" s="855" t="str">
        <f t="shared" si="7"/>
        <v>土地使用年限（年）</v>
      </c>
      <c r="AA10" s="853">
        <f t="shared" si="3"/>
        <v>0.840336134453782</v>
      </c>
      <c r="AB10" s="853">
        <f t="shared" si="4"/>
        <v>0.840336134453782</v>
      </c>
      <c r="AC10" s="853">
        <f t="shared" si="5"/>
        <v>0.840336134453782</v>
      </c>
    </row>
    <row r="11" ht="15.5" spans="1:29">
      <c r="A11" s="634"/>
      <c r="B11" s="630" t="s">
        <v>1185</v>
      </c>
      <c r="C11" s="635" t="e">
        <f>'数据-汇总表'!I6</f>
        <v>#DIV/0!</v>
      </c>
      <c r="D11" s="632">
        <v>100</v>
      </c>
      <c r="E11" s="635">
        <v>1.3</v>
      </c>
      <c r="F11" s="632" t="e">
        <f>LOOKUP(E11,79:79,80:80)-LOOKUP(C11,79:79,80:80)+100</f>
        <v>#DIV/0!</v>
      </c>
      <c r="G11" s="636">
        <v>2.6</v>
      </c>
      <c r="H11" s="632" t="e">
        <f>LOOKUP(G11,79:79,80:80)-LOOKUP(C11,79:79,80:80)+100</f>
        <v>#DIV/0!</v>
      </c>
      <c r="I11" s="635">
        <v>3.5</v>
      </c>
      <c r="J11" s="632" t="e">
        <f>LOOKUP(I11,79:79,80:80)-LOOKUP(C11,79:79,80:80)+100</f>
        <v>#DIV/0!</v>
      </c>
      <c r="K11" s="1581">
        <v>2</v>
      </c>
      <c r="L11" s="767"/>
      <c r="M11" s="755"/>
      <c r="N11" s="755"/>
      <c r="O11" s="1582"/>
      <c r="P11" s="831"/>
      <c r="Q11" s="830" t="str">
        <f t="shared" si="6"/>
        <v>容积率</v>
      </c>
      <c r="R11" s="826" t="s">
        <v>1174</v>
      </c>
      <c r="S11" s="827" t="e">
        <f t="shared" si="0"/>
        <v>#DIV/0!</v>
      </c>
      <c r="T11" s="826" t="s">
        <v>1174</v>
      </c>
      <c r="U11" s="827" t="e">
        <f t="shared" si="1"/>
        <v>#DIV/0!</v>
      </c>
      <c r="V11" s="826" t="s">
        <v>1174</v>
      </c>
      <c r="W11" s="827" t="e">
        <f t="shared" si="2"/>
        <v>#DIV/0!</v>
      </c>
      <c r="X11" s="828"/>
      <c r="Y11" s="830"/>
      <c r="Z11" s="855" t="str">
        <f t="shared" si="7"/>
        <v>容积率</v>
      </c>
      <c r="AA11" s="853" t="e">
        <f t="shared" si="3"/>
        <v>#DIV/0!</v>
      </c>
      <c r="AB11" s="853" t="e">
        <f t="shared" si="4"/>
        <v>#DIV/0!</v>
      </c>
      <c r="AC11" s="853" t="e">
        <f t="shared" si="5"/>
        <v>#DIV/0!</v>
      </c>
    </row>
    <row r="12" s="568" customFormat="1" ht="15.5" spans="1:29">
      <c r="A12" s="637"/>
      <c r="B12" s="638" t="s">
        <v>1515</v>
      </c>
      <c r="C12" s="639"/>
      <c r="D12" s="640">
        <v>100</v>
      </c>
      <c r="E12" s="1822"/>
      <c r="F12" s="632">
        <f>SUMIF(81:81,E12,82:82)-SUMIF(81:81,C12,82:82)+100</f>
        <v>100</v>
      </c>
      <c r="G12" s="1823"/>
      <c r="H12" s="632">
        <f>SUMIF(81:81,G12,82:82)-SUMIF(81:81,C12,82:82)+100</f>
        <v>100</v>
      </c>
      <c r="I12" s="1822"/>
      <c r="J12" s="632">
        <f>SUMIF(81:81,I12,82:82)-SUMIF(81:81,C12,82:82)+100</f>
        <v>100</v>
      </c>
      <c r="K12" s="1579"/>
      <c r="L12" s="760"/>
      <c r="M12" s="761"/>
      <c r="N12" s="761"/>
      <c r="O12" s="1578"/>
      <c r="P12" s="831"/>
      <c r="Q12" s="830" t="str">
        <f t="shared" si="6"/>
        <v>配建</v>
      </c>
      <c r="R12" s="826" t="s">
        <v>1174</v>
      </c>
      <c r="S12" s="827">
        <f t="shared" si="0"/>
        <v>100</v>
      </c>
      <c r="T12" s="826" t="s">
        <v>1174</v>
      </c>
      <c r="U12" s="827">
        <f t="shared" si="1"/>
        <v>100</v>
      </c>
      <c r="V12" s="826" t="s">
        <v>1174</v>
      </c>
      <c r="W12" s="827">
        <f t="shared" si="2"/>
        <v>100</v>
      </c>
      <c r="X12" s="828"/>
      <c r="Y12" s="830"/>
      <c r="Z12" s="855" t="str">
        <f t="shared" si="7"/>
        <v>配建</v>
      </c>
      <c r="AA12" s="853">
        <f t="shared" si="3"/>
        <v>1</v>
      </c>
      <c r="AB12" s="853">
        <f t="shared" si="4"/>
        <v>1</v>
      </c>
      <c r="AC12" s="853">
        <f t="shared" si="5"/>
        <v>1</v>
      </c>
    </row>
    <row r="13" ht="15.5" spans="1:29">
      <c r="A13" s="634"/>
      <c r="B13" s="1824" t="s">
        <v>1516</v>
      </c>
      <c r="C13" s="1825" t="s">
        <v>1388</v>
      </c>
      <c r="D13" s="643">
        <v>100</v>
      </c>
      <c r="E13" s="1826" t="s">
        <v>558</v>
      </c>
      <c r="F13" s="632">
        <f>SUMIF(83:83,E13,84:84)-SUMIF(83:83,C13,84:84)+100</f>
        <v>103</v>
      </c>
      <c r="G13" s="1827" t="s">
        <v>1388</v>
      </c>
      <c r="H13" s="643">
        <f>SUMIF(83:83,G13,84:84)-SUMIF(83:83,C13,84:84)+100</f>
        <v>100</v>
      </c>
      <c r="I13" s="1827" t="s">
        <v>1388</v>
      </c>
      <c r="J13" s="643">
        <f>SUMIF(83:83,I13,84:84)-SUMIF(83:83,C13,84:84)+100</f>
        <v>100</v>
      </c>
      <c r="K13" s="1579"/>
      <c r="L13" s="769"/>
      <c r="M13" s="755"/>
      <c r="N13" s="755"/>
      <c r="O13" s="1582"/>
      <c r="P13" s="831"/>
      <c r="Q13" s="830" t="str">
        <f t="shared" si="6"/>
        <v>溢价</v>
      </c>
      <c r="R13" s="826" t="s">
        <v>1174</v>
      </c>
      <c r="S13" s="827">
        <f t="shared" si="0"/>
        <v>103</v>
      </c>
      <c r="T13" s="826" t="s">
        <v>1174</v>
      </c>
      <c r="U13" s="827">
        <f t="shared" si="1"/>
        <v>100</v>
      </c>
      <c r="V13" s="826" t="s">
        <v>1174</v>
      </c>
      <c r="W13" s="827">
        <f t="shared" si="2"/>
        <v>100</v>
      </c>
      <c r="X13" s="828"/>
      <c r="Y13" s="830"/>
      <c r="Z13" s="855" t="str">
        <f t="shared" si="7"/>
        <v>溢价</v>
      </c>
      <c r="AA13" s="853">
        <f t="shared" si="3"/>
        <v>0.970873786407767</v>
      </c>
      <c r="AB13" s="853">
        <f t="shared" si="4"/>
        <v>1</v>
      </c>
      <c r="AC13" s="853">
        <f t="shared" si="5"/>
        <v>1</v>
      </c>
    </row>
    <row r="14" ht="16.25" spans="1:29">
      <c r="A14" s="644"/>
      <c r="B14" s="645">
        <v>111</v>
      </c>
      <c r="C14" s="646"/>
      <c r="D14" s="647">
        <v>100</v>
      </c>
      <c r="E14" s="873" t="s">
        <v>1517</v>
      </c>
      <c r="F14" s="647">
        <f>SUMIF(85:85,E14,86:86)-SUMIF(85:85,C14,86:86)+100</f>
        <v>100</v>
      </c>
      <c r="G14" s="1508"/>
      <c r="H14" s="647">
        <f>SUMIF(85:85,G14,86:86)-SUMIF(85:85,C14,86:86)+100</f>
        <v>100</v>
      </c>
      <c r="I14" s="1508"/>
      <c r="J14" s="647">
        <f>SUMIF(85:85,I14,86:86)-SUMIF(85:85,C14,86:86)+100</f>
        <v>100</v>
      </c>
      <c r="K14" s="1579"/>
      <c r="L14" s="769"/>
      <c r="M14" s="755"/>
      <c r="N14" s="755"/>
      <c r="O14" s="1582"/>
      <c r="P14" s="831"/>
      <c r="Q14" s="830">
        <f t="shared" si="6"/>
        <v>111</v>
      </c>
      <c r="R14" s="826" t="s">
        <v>1174</v>
      </c>
      <c r="S14" s="827">
        <f t="shared" si="0"/>
        <v>100</v>
      </c>
      <c r="T14" s="826" t="s">
        <v>1174</v>
      </c>
      <c r="U14" s="827">
        <f t="shared" si="1"/>
        <v>100</v>
      </c>
      <c r="V14" s="826" t="s">
        <v>1174</v>
      </c>
      <c r="W14" s="827">
        <f t="shared" si="2"/>
        <v>100</v>
      </c>
      <c r="X14" s="828"/>
      <c r="Y14" s="830"/>
      <c r="Z14" s="855">
        <f t="shared" si="7"/>
        <v>111</v>
      </c>
      <c r="AA14" s="853">
        <f t="shared" si="3"/>
        <v>1</v>
      </c>
      <c r="AB14" s="853">
        <f t="shared" si="4"/>
        <v>1</v>
      </c>
      <c r="AC14" s="853">
        <f t="shared" si="5"/>
        <v>1</v>
      </c>
    </row>
    <row r="15" ht="98" hidden="1" spans="1:29">
      <c r="A15" s="649" t="s">
        <v>1186</v>
      </c>
      <c r="B15" s="1828" t="s">
        <v>1456</v>
      </c>
      <c r="C15" s="1829" t="str">
        <f>估价对象房地状况!C15</f>
        <v>估价对象周边居住用地比例、居住小区规模和社区发展完善程度，综合评价居住社区成熟度一般</v>
      </c>
      <c r="D15" s="652">
        <v>100</v>
      </c>
      <c r="E15" s="654"/>
      <c r="F15" s="652">
        <f>SUMIF(87:87,E16,88:88)-SUMIF(87:87,C16,88:88)+100</f>
        <v>100</v>
      </c>
      <c r="G15" s="654"/>
      <c r="H15" s="652">
        <f>SUMIF(87:87,G16,88:88)-SUMIF(87:87,C16,88:88)+100</f>
        <v>100</v>
      </c>
      <c r="I15" s="653"/>
      <c r="J15" s="652">
        <f>SUMIF(87:87,I16,88:88)-SUMIF(87:87,C16,88:88)+100</f>
        <v>100</v>
      </c>
      <c r="K15" s="1581"/>
      <c r="L15" s="769"/>
      <c r="M15" s="755"/>
      <c r="N15" s="755"/>
      <c r="O15" s="1582"/>
      <c r="P15" s="856" t="s">
        <v>1189</v>
      </c>
      <c r="Q15" s="831" t="str">
        <f t="shared" si="6"/>
        <v>居住社区成熟度</v>
      </c>
      <c r="R15" s="832" t="s">
        <v>1174</v>
      </c>
      <c r="S15" s="833">
        <f t="shared" si="0"/>
        <v>100</v>
      </c>
      <c r="T15" s="832" t="s">
        <v>1174</v>
      </c>
      <c r="U15" s="833">
        <f t="shared" si="1"/>
        <v>100</v>
      </c>
      <c r="V15" s="832" t="s">
        <v>1174</v>
      </c>
      <c r="W15" s="833">
        <f t="shared" si="2"/>
        <v>100</v>
      </c>
      <c r="X15" s="821"/>
      <c r="Y15" s="856" t="s">
        <v>1189</v>
      </c>
      <c r="Z15" s="820" t="str">
        <f t="shared" si="7"/>
        <v>居住社区成熟度</v>
      </c>
      <c r="AA15" s="838">
        <f t="shared" si="3"/>
        <v>1</v>
      </c>
      <c r="AB15" s="838">
        <f t="shared" si="4"/>
        <v>1</v>
      </c>
      <c r="AC15" s="838">
        <f t="shared" si="5"/>
        <v>1</v>
      </c>
    </row>
    <row r="16" ht="15.5" hidden="1" spans="1:29">
      <c r="A16" s="634"/>
      <c r="B16" s="839"/>
      <c r="C16" s="669"/>
      <c r="D16" s="657"/>
      <c r="E16" s="1511"/>
      <c r="F16" s="657"/>
      <c r="G16" s="1511"/>
      <c r="H16" s="658"/>
      <c r="I16" s="1583"/>
      <c r="J16" s="657"/>
      <c r="K16" s="1579"/>
      <c r="L16" s="769"/>
      <c r="M16" s="755"/>
      <c r="N16" s="755"/>
      <c r="O16" s="1582"/>
      <c r="P16" s="858"/>
      <c r="Q16" s="831"/>
      <c r="R16" s="832"/>
      <c r="S16" s="833"/>
      <c r="T16" s="832"/>
      <c r="U16" s="833"/>
      <c r="V16" s="832"/>
      <c r="W16" s="833"/>
      <c r="X16" s="821"/>
      <c r="Y16" s="858"/>
      <c r="Z16" s="820"/>
      <c r="AA16" s="838">
        <v>1</v>
      </c>
      <c r="AB16" s="838">
        <v>1</v>
      </c>
      <c r="AC16" s="838">
        <v>1</v>
      </c>
    </row>
    <row r="17" ht="84" spans="1:29">
      <c r="A17" s="634"/>
      <c r="B17" s="1830" t="s">
        <v>1483</v>
      </c>
      <c r="C17" s="1081" t="str">
        <f>估价对象房地状况!C16</f>
        <v>估价对象位于XX商圈，周边商业氛围成熟，人流量大，商业繁华度好</v>
      </c>
      <c r="D17" s="658">
        <v>100</v>
      </c>
      <c r="E17" s="662"/>
      <c r="F17" s="658">
        <f>SUMIF(89:89,E18,90:90)-SUMIF(89:89,C18,90:90)+100</f>
        <v>100</v>
      </c>
      <c r="G17" s="662"/>
      <c r="H17" s="663">
        <f>SUMIF(89:89,G18,90:90)-SUMIF(89:89,C18,90:90)+100</f>
        <v>98</v>
      </c>
      <c r="I17" s="661"/>
      <c r="J17" s="663">
        <f>SUMIF(89:89,I18,90:90)-SUMIF(89:89,C18,90:90)+100</f>
        <v>98</v>
      </c>
      <c r="K17" s="1581">
        <v>2</v>
      </c>
      <c r="L17" s="769"/>
      <c r="M17" s="755"/>
      <c r="N17" s="755"/>
      <c r="O17" s="1582"/>
      <c r="P17" s="858"/>
      <c r="Q17" s="831" t="str">
        <f>B17</f>
        <v>商业繁华度</v>
      </c>
      <c r="R17" s="832" t="s">
        <v>1174</v>
      </c>
      <c r="S17" s="833">
        <f>F17</f>
        <v>100</v>
      </c>
      <c r="T17" s="832" t="s">
        <v>1174</v>
      </c>
      <c r="U17" s="833">
        <f>H17</f>
        <v>98</v>
      </c>
      <c r="V17" s="832" t="s">
        <v>1174</v>
      </c>
      <c r="W17" s="833">
        <f>J17</f>
        <v>98</v>
      </c>
      <c r="X17" s="821"/>
      <c r="Y17" s="858"/>
      <c r="Z17" s="820" t="str">
        <f>Q17</f>
        <v>商业繁华度</v>
      </c>
      <c r="AA17" s="838">
        <f t="shared" si="3"/>
        <v>1</v>
      </c>
      <c r="AB17" s="838">
        <f t="shared" si="4"/>
        <v>1.02040816326531</v>
      </c>
      <c r="AC17" s="838">
        <f t="shared" si="5"/>
        <v>1.02040816326531</v>
      </c>
    </row>
    <row r="18" ht="15.5" spans="1:29">
      <c r="A18" s="634"/>
      <c r="B18" s="1526"/>
      <c r="C18" s="1831" t="s">
        <v>1190</v>
      </c>
      <c r="D18" s="658"/>
      <c r="E18" s="1832" t="s">
        <v>1190</v>
      </c>
      <c r="F18" s="658"/>
      <c r="G18" s="1832" t="s">
        <v>1518</v>
      </c>
      <c r="H18" s="657"/>
      <c r="I18" s="1840" t="s">
        <v>1518</v>
      </c>
      <c r="J18" s="657"/>
      <c r="K18" s="1579"/>
      <c r="L18" s="769"/>
      <c r="M18" s="755"/>
      <c r="N18" s="755"/>
      <c r="O18" s="1582"/>
      <c r="P18" s="858"/>
      <c r="Q18" s="831"/>
      <c r="R18" s="832"/>
      <c r="S18" s="833"/>
      <c r="T18" s="832"/>
      <c r="U18" s="833"/>
      <c r="V18" s="832"/>
      <c r="W18" s="833"/>
      <c r="X18" s="821"/>
      <c r="Y18" s="858"/>
      <c r="Z18" s="820"/>
      <c r="AA18" s="838">
        <v>1</v>
      </c>
      <c r="AB18" s="838">
        <v>1</v>
      </c>
      <c r="AC18" s="838">
        <v>1</v>
      </c>
    </row>
    <row r="19" ht="84" hidden="1" spans="1:29">
      <c r="A19" s="634"/>
      <c r="B19" s="1830" t="s">
        <v>1187</v>
      </c>
      <c r="C19" s="1081" t="str">
        <f>估价对象房地状况!C17</f>
        <v>估价对象位于XX商圈，周边办公楼项目较多，入驻率高，办公集聚程度较好</v>
      </c>
      <c r="D19" s="663">
        <v>100</v>
      </c>
      <c r="E19" s="666"/>
      <c r="F19" s="663">
        <f>SUMIF(91:91,E20,92:92)-SUMIF(91:91,C20,92:92)+100</f>
        <v>100</v>
      </c>
      <c r="G19" s="666"/>
      <c r="H19" s="658">
        <f>SUMIF(91:91,G20,92:92)-SUMIF(91:91,C20,92:92)+100</f>
        <v>100</v>
      </c>
      <c r="I19" s="665"/>
      <c r="J19" s="658">
        <f>SUMIF(91:91,I20,92:92)-SUMIF(91:91,C20,92:92)+100</f>
        <v>100</v>
      </c>
      <c r="K19" s="1581"/>
      <c r="L19" s="769"/>
      <c r="M19" s="755"/>
      <c r="N19" s="755"/>
      <c r="O19" s="1582"/>
      <c r="P19" s="858"/>
      <c r="Q19" s="831" t="str">
        <f>B19</f>
        <v>办公集聚程度</v>
      </c>
      <c r="R19" s="832" t="s">
        <v>1174</v>
      </c>
      <c r="S19" s="833">
        <f>F19</f>
        <v>100</v>
      </c>
      <c r="T19" s="832" t="s">
        <v>1174</v>
      </c>
      <c r="U19" s="833">
        <f>H19</f>
        <v>100</v>
      </c>
      <c r="V19" s="832" t="s">
        <v>1174</v>
      </c>
      <c r="W19" s="833">
        <f>J19</f>
        <v>100</v>
      </c>
      <c r="X19" s="821"/>
      <c r="Y19" s="858"/>
      <c r="Z19" s="820" t="str">
        <f>Q19</f>
        <v>办公集聚程度</v>
      </c>
      <c r="AA19" s="838">
        <f t="shared" si="3"/>
        <v>1</v>
      </c>
      <c r="AB19" s="838">
        <f t="shared" si="4"/>
        <v>1</v>
      </c>
      <c r="AC19" s="838">
        <f t="shared" si="5"/>
        <v>1</v>
      </c>
    </row>
    <row r="20" ht="15.5" hidden="1" spans="1:29">
      <c r="A20" s="634"/>
      <c r="B20" s="1526"/>
      <c r="C20" s="669"/>
      <c r="D20" s="657"/>
      <c r="E20" s="1511"/>
      <c r="F20" s="657"/>
      <c r="G20" s="1511"/>
      <c r="H20" s="657"/>
      <c r="I20" s="1583"/>
      <c r="J20" s="657"/>
      <c r="K20" s="1579"/>
      <c r="L20" s="769"/>
      <c r="M20" s="755"/>
      <c r="N20" s="755"/>
      <c r="O20" s="1582"/>
      <c r="P20" s="858"/>
      <c r="Q20" s="831"/>
      <c r="R20" s="832"/>
      <c r="S20" s="833"/>
      <c r="T20" s="832"/>
      <c r="U20" s="833"/>
      <c r="V20" s="832"/>
      <c r="W20" s="833"/>
      <c r="X20" s="821"/>
      <c r="Y20" s="858"/>
      <c r="Z20" s="820"/>
      <c r="AA20" s="838">
        <v>1</v>
      </c>
      <c r="AB20" s="838">
        <v>1</v>
      </c>
      <c r="AC20" s="838">
        <v>1</v>
      </c>
    </row>
    <row r="21" ht="98" spans="1:29">
      <c r="A21" s="634"/>
      <c r="B21" s="1830" t="s">
        <v>1191</v>
      </c>
      <c r="C21" s="1510" t="str">
        <f>估价对象房地状况!C18</f>
        <v>估价对象周边道路状况、公共交通通达情况、停车便捷程度，综合评价交通便捷度较好</v>
      </c>
      <c r="D21" s="658">
        <v>100</v>
      </c>
      <c r="E21" s="662"/>
      <c r="F21" s="663">
        <f>SUMIF(93:93,E22,94:94)-SUMIF(93:93,C22,94:94)+100</f>
        <v>100</v>
      </c>
      <c r="G21" s="662"/>
      <c r="H21" s="658">
        <f>SUMIF(93:93,G22,94:94)-SUMIF(93:93,C22,94:94)+100</f>
        <v>98</v>
      </c>
      <c r="I21" s="661"/>
      <c r="J21" s="658">
        <f>SUMIF(93:93,I22,94:94)-SUMIF(93:93,C22,94:94)+100</f>
        <v>98</v>
      </c>
      <c r="K21" s="1581">
        <v>2</v>
      </c>
      <c r="L21" s="769"/>
      <c r="M21" s="755"/>
      <c r="N21" s="755"/>
      <c r="O21" s="1582"/>
      <c r="P21" s="858"/>
      <c r="Q21" s="831" t="str">
        <f>B21</f>
        <v>交通便捷度</v>
      </c>
      <c r="R21" s="832" t="s">
        <v>1174</v>
      </c>
      <c r="S21" s="833">
        <f>F21</f>
        <v>100</v>
      </c>
      <c r="T21" s="832" t="s">
        <v>1174</v>
      </c>
      <c r="U21" s="833">
        <f>H21</f>
        <v>98</v>
      </c>
      <c r="V21" s="832" t="s">
        <v>1174</v>
      </c>
      <c r="W21" s="833">
        <f>J21</f>
        <v>98</v>
      </c>
      <c r="X21" s="821"/>
      <c r="Y21" s="858"/>
      <c r="Z21" s="820" t="str">
        <f>Q21</f>
        <v>交通便捷度</v>
      </c>
      <c r="AA21" s="838">
        <f t="shared" si="3"/>
        <v>1</v>
      </c>
      <c r="AB21" s="838">
        <f t="shared" si="4"/>
        <v>1.02040816326531</v>
      </c>
      <c r="AC21" s="838">
        <f t="shared" si="5"/>
        <v>1.02040816326531</v>
      </c>
    </row>
    <row r="22" ht="15.5" spans="1:29">
      <c r="A22" s="634"/>
      <c r="B22" s="1833"/>
      <c r="C22" s="669" t="s">
        <v>1190</v>
      </c>
      <c r="D22" s="658"/>
      <c r="E22" s="669" t="s">
        <v>1190</v>
      </c>
      <c r="F22" s="657"/>
      <c r="G22" s="1511" t="s">
        <v>1518</v>
      </c>
      <c r="H22" s="657"/>
      <c r="I22" s="1511" t="s">
        <v>1518</v>
      </c>
      <c r="J22" s="657"/>
      <c r="K22" s="1579"/>
      <c r="L22" s="769"/>
      <c r="M22" s="755"/>
      <c r="N22" s="755"/>
      <c r="O22" s="1582"/>
      <c r="P22" s="858"/>
      <c r="Q22" s="831"/>
      <c r="R22" s="832"/>
      <c r="S22" s="833"/>
      <c r="T22" s="832"/>
      <c r="U22" s="833"/>
      <c r="V22" s="832"/>
      <c r="W22" s="833"/>
      <c r="X22" s="821"/>
      <c r="Y22" s="858"/>
      <c r="Z22" s="820"/>
      <c r="AA22" s="838">
        <v>1</v>
      </c>
      <c r="AB22" s="838">
        <v>1</v>
      </c>
      <c r="AC22" s="838">
        <v>1</v>
      </c>
    </row>
    <row r="23" ht="28" spans="1:29">
      <c r="A23" s="603"/>
      <c r="B23" s="1830" t="s">
        <v>1519</v>
      </c>
      <c r="C23" s="1517">
        <f>估价对象房地状况!C19</f>
        <v>0</v>
      </c>
      <c r="D23" s="663">
        <v>100</v>
      </c>
      <c r="E23" s="662"/>
      <c r="F23" s="663">
        <f>SUMIF(95:95,E24,96:96)-SUMIF(95:95,C24,96:96)+100</f>
        <v>100</v>
      </c>
      <c r="G23" s="661"/>
      <c r="H23" s="663">
        <f>SUMIF(95:95,G24,96:96)-SUMIF(95:95,C24,96:96)+100</f>
        <v>100</v>
      </c>
      <c r="I23" s="661"/>
      <c r="J23" s="663">
        <f>SUMIF(95:95,I24,96:96)-SUMIF(95:95,C24,96:96)+100</f>
        <v>100</v>
      </c>
      <c r="K23" s="1581">
        <v>2</v>
      </c>
      <c r="L23" s="769"/>
      <c r="M23" s="755"/>
      <c r="N23" s="755"/>
      <c r="O23" s="1582"/>
      <c r="P23" s="858"/>
      <c r="Q23" s="831" t="str">
        <f t="shared" ref="Q23:Q38" si="8">B23</f>
        <v>区域土地利用方向</v>
      </c>
      <c r="R23" s="832" t="s">
        <v>1174</v>
      </c>
      <c r="S23" s="833">
        <f>F23</f>
        <v>100</v>
      </c>
      <c r="T23" s="832" t="s">
        <v>1174</v>
      </c>
      <c r="U23" s="833">
        <f>H23</f>
        <v>100</v>
      </c>
      <c r="V23" s="832" t="s">
        <v>1174</v>
      </c>
      <c r="W23" s="833">
        <f>J23</f>
        <v>100</v>
      </c>
      <c r="X23" s="821"/>
      <c r="Y23" s="858"/>
      <c r="Z23" s="820" t="str">
        <f>Q23</f>
        <v>区域土地利用方向</v>
      </c>
      <c r="AA23" s="838">
        <f t="shared" si="3"/>
        <v>1</v>
      </c>
      <c r="AB23" s="838">
        <f t="shared" si="4"/>
        <v>1</v>
      </c>
      <c r="AC23" s="838">
        <f t="shared" si="5"/>
        <v>1</v>
      </c>
    </row>
    <row r="24" ht="15.5" spans="1:29">
      <c r="A24" s="603"/>
      <c r="B24" s="1526"/>
      <c r="C24" s="672"/>
      <c r="D24" s="657"/>
      <c r="E24" s="1511"/>
      <c r="F24" s="657"/>
      <c r="G24" s="1583"/>
      <c r="H24" s="657"/>
      <c r="I24" s="1583"/>
      <c r="J24" s="657"/>
      <c r="K24" s="1584"/>
      <c r="L24" s="769"/>
      <c r="M24" s="755"/>
      <c r="N24" s="755"/>
      <c r="O24" s="1582"/>
      <c r="P24" s="858"/>
      <c r="Q24" s="831"/>
      <c r="R24" s="832"/>
      <c r="S24" s="833"/>
      <c r="T24" s="832"/>
      <c r="U24" s="833"/>
      <c r="V24" s="832"/>
      <c r="W24" s="833"/>
      <c r="X24" s="821"/>
      <c r="Y24" s="858"/>
      <c r="Z24" s="820"/>
      <c r="AA24" s="838"/>
      <c r="AB24" s="838"/>
      <c r="AC24" s="838"/>
    </row>
    <row r="25" ht="56" spans="1:29">
      <c r="A25" s="603"/>
      <c r="B25" s="1833" t="s">
        <v>1520</v>
      </c>
      <c r="C25" s="1081" t="str">
        <f>估价对象房地状况!C20</f>
        <v>区域自然环境：；人文环境；综合评价环境状况一般</v>
      </c>
      <c r="D25" s="658">
        <v>100</v>
      </c>
      <c r="E25" s="662"/>
      <c r="F25" s="658">
        <f>SUMIF(97:97,E26,98:98)-SUMIF(97:97,C26,98:98)+100</f>
        <v>100</v>
      </c>
      <c r="G25" s="662"/>
      <c r="H25" s="658">
        <f>SUMIF(97:97,G26,98:98)-SUMIF(97:97,C26,98:98)+100</f>
        <v>100</v>
      </c>
      <c r="I25" s="661"/>
      <c r="J25" s="658">
        <f>SUMIF(97:97,I26,98:98)-SUMIF(97:97,C26,98:98)+100</f>
        <v>100</v>
      </c>
      <c r="K25" s="1581">
        <v>2</v>
      </c>
      <c r="L25" s="769"/>
      <c r="M25" s="755"/>
      <c r="N25" s="755"/>
      <c r="O25" s="1582"/>
      <c r="P25" s="858"/>
      <c r="Q25" s="831" t="str">
        <f t="shared" si="8"/>
        <v>自然及人文环境状况</v>
      </c>
      <c r="R25" s="832" t="s">
        <v>1174</v>
      </c>
      <c r="S25" s="833">
        <f>F25</f>
        <v>100</v>
      </c>
      <c r="T25" s="832" t="s">
        <v>1174</v>
      </c>
      <c r="U25" s="833">
        <f>H25</f>
        <v>100</v>
      </c>
      <c r="V25" s="832" t="s">
        <v>1174</v>
      </c>
      <c r="W25" s="833">
        <f>J25</f>
        <v>100</v>
      </c>
      <c r="X25" s="821"/>
      <c r="Y25" s="858"/>
      <c r="Z25" s="820" t="str">
        <f>Q25</f>
        <v>自然及人文环境状况</v>
      </c>
      <c r="AA25" s="838">
        <f t="shared" si="3"/>
        <v>1</v>
      </c>
      <c r="AB25" s="838">
        <f t="shared" si="4"/>
        <v>1</v>
      </c>
      <c r="AC25" s="838">
        <f t="shared" si="5"/>
        <v>1</v>
      </c>
    </row>
    <row r="26" ht="15.5" spans="1:29">
      <c r="A26" s="603"/>
      <c r="B26" s="1526"/>
      <c r="C26" s="1513" t="s">
        <v>1190</v>
      </c>
      <c r="D26" s="657"/>
      <c r="E26" s="1513" t="s">
        <v>1190</v>
      </c>
      <c r="F26" s="657"/>
      <c r="G26" s="1513" t="s">
        <v>1190</v>
      </c>
      <c r="H26" s="657"/>
      <c r="I26" s="1513" t="s">
        <v>1190</v>
      </c>
      <c r="J26" s="657"/>
      <c r="K26" s="1579"/>
      <c r="L26" s="769"/>
      <c r="M26" s="755"/>
      <c r="N26" s="755"/>
      <c r="O26" s="1582"/>
      <c r="P26" s="858"/>
      <c r="Q26" s="831"/>
      <c r="R26" s="832"/>
      <c r="S26" s="833"/>
      <c r="T26" s="832"/>
      <c r="U26" s="833"/>
      <c r="V26" s="832"/>
      <c r="W26" s="833"/>
      <c r="X26" s="821"/>
      <c r="Y26" s="858"/>
      <c r="Z26" s="820"/>
      <c r="AA26" s="838">
        <v>1</v>
      </c>
      <c r="AB26" s="838">
        <v>1</v>
      </c>
      <c r="AC26" s="838">
        <v>1</v>
      </c>
    </row>
    <row r="27" s="568" customFormat="1" ht="42" spans="1:29">
      <c r="A27" s="1512"/>
      <c r="B27" s="1833" t="s">
        <v>1192</v>
      </c>
      <c r="C27" s="1510" t="str">
        <f>估价对象房地状况!C21</f>
        <v>估价对象所在区域公共配套设施齐备情况</v>
      </c>
      <c r="D27" s="658">
        <v>100</v>
      </c>
      <c r="E27" s="662"/>
      <c r="F27" s="658">
        <f>SUMIF(99:99,E28,100:100)-SUMIF(99:99,C28,100:100)+100</f>
        <v>100</v>
      </c>
      <c r="G27" s="662"/>
      <c r="H27" s="658">
        <f>SUMIF(99:99,G28,100:100)-SUMIF(99:99,C28,100:100)+100</f>
        <v>98</v>
      </c>
      <c r="I27" s="661"/>
      <c r="J27" s="658">
        <f>SUMIF(99:99,I28,100:100)-SUMIF(99:99,C28,100:100)+100</f>
        <v>98</v>
      </c>
      <c r="K27" s="1581">
        <v>2</v>
      </c>
      <c r="L27" s="760"/>
      <c r="M27" s="761"/>
      <c r="N27" s="761"/>
      <c r="O27" s="1578"/>
      <c r="P27" s="858"/>
      <c r="Q27" s="830" t="str">
        <f t="shared" si="8"/>
        <v>公共配套设施</v>
      </c>
      <c r="R27" s="826" t="s">
        <v>1174</v>
      </c>
      <c r="S27" s="827">
        <f>F27</f>
        <v>100</v>
      </c>
      <c r="T27" s="826" t="s">
        <v>1174</v>
      </c>
      <c r="U27" s="827">
        <f>H27</f>
        <v>98</v>
      </c>
      <c r="V27" s="826" t="s">
        <v>1174</v>
      </c>
      <c r="W27" s="827">
        <f>J27</f>
        <v>98</v>
      </c>
      <c r="X27" s="828"/>
      <c r="Y27" s="858"/>
      <c r="Z27" s="855" t="str">
        <f>Q27</f>
        <v>公共配套设施</v>
      </c>
      <c r="AA27" s="838">
        <f>D27/F27</f>
        <v>1</v>
      </c>
      <c r="AB27" s="838">
        <f>D27/H27</f>
        <v>1.02040816326531</v>
      </c>
      <c r="AC27" s="838">
        <f>D27/J27</f>
        <v>1.02040816326531</v>
      </c>
    </row>
    <row r="28" s="568" customFormat="1" ht="15.5" spans="1:29">
      <c r="A28" s="1512"/>
      <c r="B28" s="1526"/>
      <c r="C28" s="1513" t="s">
        <v>1190</v>
      </c>
      <c r="D28" s="657"/>
      <c r="E28" s="1513" t="s">
        <v>1190</v>
      </c>
      <c r="F28" s="657"/>
      <c r="G28" s="1511" t="s">
        <v>1518</v>
      </c>
      <c r="H28" s="657"/>
      <c r="I28" s="1511" t="s">
        <v>1518</v>
      </c>
      <c r="J28" s="657"/>
      <c r="K28" s="1579"/>
      <c r="L28" s="760"/>
      <c r="M28" s="761"/>
      <c r="N28" s="761"/>
      <c r="O28" s="1578"/>
      <c r="P28" s="858"/>
      <c r="Q28" s="830"/>
      <c r="R28" s="826"/>
      <c r="S28" s="827"/>
      <c r="T28" s="826"/>
      <c r="U28" s="827"/>
      <c r="V28" s="826"/>
      <c r="W28" s="827"/>
      <c r="X28" s="828"/>
      <c r="Y28" s="858"/>
      <c r="Z28" s="855"/>
      <c r="AA28" s="838">
        <v>1</v>
      </c>
      <c r="AB28" s="838">
        <v>1</v>
      </c>
      <c r="AC28" s="838">
        <v>1</v>
      </c>
    </row>
    <row r="29" s="568" customFormat="1" ht="42" spans="1:29">
      <c r="A29" s="1512"/>
      <c r="B29" s="1833" t="s">
        <v>1193</v>
      </c>
      <c r="C29" s="1510" t="str">
        <f>估价对象房地状况!C22</f>
        <v>估价对象所在区域基础设施水平</v>
      </c>
      <c r="D29" s="658">
        <v>100</v>
      </c>
      <c r="E29" s="662"/>
      <c r="F29" s="658">
        <f>SUMIF(101:101,E30,102:102)-SUMIF(101:101,C30,102:102)+100</f>
        <v>100</v>
      </c>
      <c r="G29" s="662"/>
      <c r="H29" s="658">
        <f>SUMIF(101:101,G30,102:102)-SUMIF(101:101,C30,102:102)+100</f>
        <v>100</v>
      </c>
      <c r="I29" s="661"/>
      <c r="J29" s="658">
        <f>SUMIF(101:101,I30,102:102)-SUMIF(101:101,C30,102:102)+100</f>
        <v>100</v>
      </c>
      <c r="K29" s="1581">
        <v>2</v>
      </c>
      <c r="L29" s="760"/>
      <c r="M29" s="761"/>
      <c r="N29" s="761"/>
      <c r="O29" s="1578"/>
      <c r="P29" s="858"/>
      <c r="Q29" s="830" t="str">
        <f t="shared" ref="Q29" si="9">B29</f>
        <v>基础设施水平</v>
      </c>
      <c r="R29" s="826" t="s">
        <v>1174</v>
      </c>
      <c r="S29" s="827">
        <f>F29</f>
        <v>100</v>
      </c>
      <c r="T29" s="826" t="s">
        <v>1174</v>
      </c>
      <c r="U29" s="827">
        <f>H29</f>
        <v>100</v>
      </c>
      <c r="V29" s="826" t="s">
        <v>1174</v>
      </c>
      <c r="W29" s="827">
        <f>J29</f>
        <v>100</v>
      </c>
      <c r="X29" s="828"/>
      <c r="Y29" s="858"/>
      <c r="Z29" s="855" t="str">
        <f>Q29</f>
        <v>基础设施水平</v>
      </c>
      <c r="AA29" s="838">
        <f>D29/F29</f>
        <v>1</v>
      </c>
      <c r="AB29" s="838">
        <f>D29/H29</f>
        <v>1</v>
      </c>
      <c r="AC29" s="838">
        <f>D29/J29</f>
        <v>1</v>
      </c>
    </row>
    <row r="30" s="568" customFormat="1" ht="15.5" spans="1:29">
      <c r="A30" s="1512"/>
      <c r="B30" s="1526"/>
      <c r="C30" s="1513"/>
      <c r="D30" s="657"/>
      <c r="E30" s="1514"/>
      <c r="F30" s="657"/>
      <c r="G30" s="1514"/>
      <c r="H30" s="657"/>
      <c r="I30" s="1514"/>
      <c r="J30" s="657"/>
      <c r="K30" s="1579"/>
      <c r="L30" s="760"/>
      <c r="M30" s="761"/>
      <c r="N30" s="761"/>
      <c r="O30" s="1578"/>
      <c r="P30" s="858"/>
      <c r="Q30" s="830"/>
      <c r="R30" s="826"/>
      <c r="S30" s="827"/>
      <c r="T30" s="826"/>
      <c r="U30" s="827"/>
      <c r="V30" s="826"/>
      <c r="W30" s="827"/>
      <c r="X30" s="828"/>
      <c r="Y30" s="858"/>
      <c r="Z30" s="855"/>
      <c r="AA30" s="838">
        <v>1</v>
      </c>
      <c r="AB30" s="838">
        <v>1</v>
      </c>
      <c r="AC30" s="838">
        <v>1</v>
      </c>
    </row>
    <row r="31" ht="15.5" spans="1:29">
      <c r="A31" s="634"/>
      <c r="B31" s="1526" t="s">
        <v>1484</v>
      </c>
      <c r="C31" s="672"/>
      <c r="D31" s="643">
        <v>100</v>
      </c>
      <c r="E31" s="671"/>
      <c r="F31" s="643">
        <f>SUMIF(103:103,E31,104:104)-SUMIF(103:103,C31,104:104)+100</f>
        <v>100</v>
      </c>
      <c r="G31" s="671"/>
      <c r="H31" s="643">
        <f>SUMIF(103:103,G31,104:104)-SUMIF(103:103,C31,104:104)+100</f>
        <v>100</v>
      </c>
      <c r="I31" s="671"/>
      <c r="J31" s="643">
        <f>SUMIF(103:103,I31,104:104)-SUMIF(103:103,C31,104:104)+100</f>
        <v>100</v>
      </c>
      <c r="K31" s="1581"/>
      <c r="L31" s="769"/>
      <c r="M31" s="755"/>
      <c r="N31" s="755"/>
      <c r="O31" s="1582"/>
      <c r="P31" s="858"/>
      <c r="Q31" s="831" t="str">
        <f t="shared" si="8"/>
        <v>临街状况</v>
      </c>
      <c r="R31" s="832" t="s">
        <v>1174</v>
      </c>
      <c r="S31" s="833">
        <f t="shared" ref="S31:S45" si="10">F31</f>
        <v>100</v>
      </c>
      <c r="T31" s="832" t="s">
        <v>1174</v>
      </c>
      <c r="U31" s="833">
        <f t="shared" ref="U31:U45" si="11">H31</f>
        <v>100</v>
      </c>
      <c r="V31" s="832" t="s">
        <v>1174</v>
      </c>
      <c r="W31" s="833">
        <f t="shared" ref="W31:W45" si="12">J31</f>
        <v>100</v>
      </c>
      <c r="X31" s="821"/>
      <c r="Y31" s="858"/>
      <c r="Z31" s="820" t="str">
        <f t="shared" ref="Z31:Z45" si="13">Q31</f>
        <v>临街状况</v>
      </c>
      <c r="AA31" s="838">
        <f t="shared" si="3"/>
        <v>1</v>
      </c>
      <c r="AB31" s="838">
        <f t="shared" si="4"/>
        <v>1</v>
      </c>
      <c r="AC31" s="838">
        <f t="shared" si="5"/>
        <v>1</v>
      </c>
    </row>
    <row r="32" ht="28" spans="1:29">
      <c r="A32" s="634"/>
      <c r="B32" s="1833" t="s">
        <v>1195</v>
      </c>
      <c r="C32" s="661"/>
      <c r="D32" s="658">
        <v>100</v>
      </c>
      <c r="E32" s="662"/>
      <c r="F32" s="658">
        <f>SUMIF(105:105,E33,106:106)-SUMIF(105:105,C33,106:106)+100</f>
        <v>100</v>
      </c>
      <c r="G32" s="662"/>
      <c r="H32" s="658">
        <f>SUMIF(105:105,G33,106:106)-SUMIF(105:105,C33,106:106)+100</f>
        <v>100</v>
      </c>
      <c r="I32" s="661"/>
      <c r="J32" s="658">
        <f>SUMIF(105:105,I33,106:106)-SUMIF(105:105,C33,106:106)+100</f>
        <v>100</v>
      </c>
      <c r="K32" s="1581"/>
      <c r="L32" s="769"/>
      <c r="M32" s="755"/>
      <c r="N32" s="755"/>
      <c r="O32" s="1582"/>
      <c r="P32" s="858"/>
      <c r="Q32" s="831" t="str">
        <f t="shared" si="8"/>
        <v>毗邻道路的类型与等级</v>
      </c>
      <c r="R32" s="832" t="s">
        <v>1174</v>
      </c>
      <c r="S32" s="833">
        <f t="shared" si="10"/>
        <v>100</v>
      </c>
      <c r="T32" s="832" t="s">
        <v>1174</v>
      </c>
      <c r="U32" s="833">
        <f t="shared" si="11"/>
        <v>100</v>
      </c>
      <c r="V32" s="832" t="s">
        <v>1174</v>
      </c>
      <c r="W32" s="833">
        <f t="shared" si="12"/>
        <v>100</v>
      </c>
      <c r="X32" s="821"/>
      <c r="Y32" s="858"/>
      <c r="Z32" s="820" t="str">
        <f t="shared" si="13"/>
        <v>毗邻道路的类型与等级</v>
      </c>
      <c r="AA32" s="838">
        <f t="shared" si="3"/>
        <v>1</v>
      </c>
      <c r="AB32" s="838">
        <f t="shared" si="4"/>
        <v>1</v>
      </c>
      <c r="AC32" s="838">
        <f t="shared" si="5"/>
        <v>1</v>
      </c>
    </row>
    <row r="33" ht="15.5" spans="1:29">
      <c r="A33" s="634"/>
      <c r="B33" s="1526"/>
      <c r="C33" s="669"/>
      <c r="D33" s="657"/>
      <c r="E33" s="656"/>
      <c r="F33" s="657"/>
      <c r="G33" s="656"/>
      <c r="H33" s="657"/>
      <c r="I33" s="669"/>
      <c r="J33" s="657"/>
      <c r="K33" s="768"/>
      <c r="L33" s="769"/>
      <c r="M33" s="755"/>
      <c r="N33" s="755"/>
      <c r="O33" s="1582"/>
      <c r="P33" s="858"/>
      <c r="Q33" s="831"/>
      <c r="R33" s="832"/>
      <c r="S33" s="833"/>
      <c r="T33" s="832"/>
      <c r="U33" s="833"/>
      <c r="V33" s="832"/>
      <c r="W33" s="833"/>
      <c r="X33" s="821"/>
      <c r="Y33" s="858"/>
      <c r="Z33" s="820"/>
      <c r="AA33" s="838">
        <v>1</v>
      </c>
      <c r="AB33" s="838">
        <v>1</v>
      </c>
      <c r="AC33" s="838">
        <v>1</v>
      </c>
    </row>
    <row r="34" ht="15.5" spans="1:29">
      <c r="A34" s="634"/>
      <c r="B34" s="630" t="s">
        <v>1521</v>
      </c>
      <c r="C34" s="672"/>
      <c r="D34" s="643">
        <v>100</v>
      </c>
      <c r="E34" s="671"/>
      <c r="F34" s="643">
        <f>SUMIF(107:107,E34,108:108)-SUMIF(107:107,C34,108:108)+100</f>
        <v>100</v>
      </c>
      <c r="G34" s="671"/>
      <c r="H34" s="643">
        <f>SUMIF(107:107,G34,108:108)-SUMIF(107:107,C34,108:108)+100</f>
        <v>100</v>
      </c>
      <c r="I34" s="672"/>
      <c r="J34" s="643">
        <f>SUMIF(107:107,I34,108:108)-SUMIF(107:107,C34,108:108)+100</f>
        <v>100</v>
      </c>
      <c r="K34" s="766"/>
      <c r="L34" s="769"/>
      <c r="M34" s="755"/>
      <c r="N34" s="755"/>
      <c r="O34" s="1582"/>
      <c r="P34" s="858"/>
      <c r="Q34" s="831" t="str">
        <f t="shared" si="8"/>
        <v>土地级别</v>
      </c>
      <c r="R34" s="832" t="s">
        <v>1174</v>
      </c>
      <c r="S34" s="833">
        <f t="shared" si="10"/>
        <v>100</v>
      </c>
      <c r="T34" s="832" t="s">
        <v>1174</v>
      </c>
      <c r="U34" s="833">
        <f t="shared" si="11"/>
        <v>100</v>
      </c>
      <c r="V34" s="832" t="s">
        <v>1174</v>
      </c>
      <c r="W34" s="833">
        <f t="shared" si="12"/>
        <v>100</v>
      </c>
      <c r="X34" s="821"/>
      <c r="Y34" s="858"/>
      <c r="Z34" s="820" t="str">
        <f t="shared" si="13"/>
        <v>土地级别</v>
      </c>
      <c r="AA34" s="838">
        <f t="shared" si="3"/>
        <v>1</v>
      </c>
      <c r="AB34" s="838">
        <f t="shared" si="4"/>
        <v>1</v>
      </c>
      <c r="AC34" s="838">
        <f t="shared" si="5"/>
        <v>1</v>
      </c>
    </row>
    <row r="35" ht="15.5" spans="1:29">
      <c r="A35" s="603"/>
      <c r="B35" s="690">
        <v>111</v>
      </c>
      <c r="C35" s="1508"/>
      <c r="D35" s="643">
        <v>100</v>
      </c>
      <c r="E35" s="1518"/>
      <c r="F35" s="643">
        <f>SUMIF(109:109,E35,110:110)-SUMIF(109:109,C35,110:110)+100</f>
        <v>100</v>
      </c>
      <c r="G35" s="1518"/>
      <c r="H35" s="643">
        <f>SUMIF(109:109,G35,110:110)-SUMIF(109:109,C35,110:110)+100</f>
        <v>100</v>
      </c>
      <c r="I35" s="1508"/>
      <c r="J35" s="643">
        <f>SUMIF(109:109,I35,110:110)-SUMIF(109:109,C35,110:110)+100</f>
        <v>100</v>
      </c>
      <c r="K35" s="768"/>
      <c r="L35" s="769"/>
      <c r="M35" s="755"/>
      <c r="N35" s="755"/>
      <c r="O35" s="1582"/>
      <c r="P35" s="858"/>
      <c r="Q35" s="831">
        <f t="shared" si="8"/>
        <v>111</v>
      </c>
      <c r="R35" s="832" t="s">
        <v>1174</v>
      </c>
      <c r="S35" s="833">
        <f t="shared" si="10"/>
        <v>100</v>
      </c>
      <c r="T35" s="832" t="s">
        <v>1174</v>
      </c>
      <c r="U35" s="833">
        <f t="shared" si="11"/>
        <v>100</v>
      </c>
      <c r="V35" s="832" t="s">
        <v>1174</v>
      </c>
      <c r="W35" s="833">
        <f t="shared" si="12"/>
        <v>100</v>
      </c>
      <c r="X35" s="821"/>
      <c r="Y35" s="858"/>
      <c r="Z35" s="820">
        <f t="shared" si="13"/>
        <v>111</v>
      </c>
      <c r="AA35" s="838">
        <f t="shared" si="3"/>
        <v>1</v>
      </c>
      <c r="AB35" s="838">
        <f t="shared" si="4"/>
        <v>1</v>
      </c>
      <c r="AC35" s="838">
        <f t="shared" si="5"/>
        <v>1</v>
      </c>
    </row>
    <row r="36" ht="15.5" spans="1:29">
      <c r="A36" s="1519"/>
      <c r="B36" s="1530">
        <v>111</v>
      </c>
      <c r="C36" s="1508"/>
      <c r="D36" s="643">
        <v>100</v>
      </c>
      <c r="E36" s="1518"/>
      <c r="F36" s="643">
        <f>SUMIF(111:111,E37,112:112)-SUMIF(111:111,C37,112:112)+100</f>
        <v>100</v>
      </c>
      <c r="G36" s="1518"/>
      <c r="H36" s="643">
        <f>SUMIF(111:111,G36,112:112)-SUMIF(111:111,C36,112:112)+100</f>
        <v>100</v>
      </c>
      <c r="I36" s="1508"/>
      <c r="J36" s="643">
        <f>SUMIF(111:111,I36,112:112)-SUMIF(111:111,C36,112:112)+100</f>
        <v>100</v>
      </c>
      <c r="K36" s="768"/>
      <c r="L36" s="769"/>
      <c r="M36" s="755"/>
      <c r="N36" s="755"/>
      <c r="O36" s="1582"/>
      <c r="P36" s="1585" t="s">
        <v>1202</v>
      </c>
      <c r="Q36" s="831">
        <f t="shared" si="8"/>
        <v>111</v>
      </c>
      <c r="R36" s="832" t="s">
        <v>1174</v>
      </c>
      <c r="S36" s="833">
        <f t="shared" si="10"/>
        <v>100</v>
      </c>
      <c r="T36" s="832" t="s">
        <v>1174</v>
      </c>
      <c r="U36" s="833">
        <f t="shared" si="11"/>
        <v>100</v>
      </c>
      <c r="V36" s="832" t="s">
        <v>1174</v>
      </c>
      <c r="W36" s="833">
        <f t="shared" si="12"/>
        <v>100</v>
      </c>
      <c r="X36" s="821"/>
      <c r="Y36" s="859" t="s">
        <v>1202</v>
      </c>
      <c r="Z36" s="820">
        <f t="shared" si="13"/>
        <v>111</v>
      </c>
      <c r="AA36" s="838">
        <f t="shared" si="3"/>
        <v>1</v>
      </c>
      <c r="AB36" s="838">
        <f t="shared" si="4"/>
        <v>1</v>
      </c>
      <c r="AC36" s="838">
        <f t="shared" si="5"/>
        <v>1</v>
      </c>
    </row>
    <row r="37" s="570" customFormat="1" ht="16.25" spans="1:29">
      <c r="A37" s="1521"/>
      <c r="B37" s="1834">
        <v>111</v>
      </c>
      <c r="C37" s="1523"/>
      <c r="D37" s="1524">
        <v>100</v>
      </c>
      <c r="E37" s="1525"/>
      <c r="F37" s="647">
        <f>SUMIF(113:113,E37,114:114)-SUMIF(113:113,C37,114:114)+100</f>
        <v>100</v>
      </c>
      <c r="G37" s="1525"/>
      <c r="H37" s="647">
        <f>SUMIF(113:113,G37,114:114)-SUMIF(113:113,C37,114:114)+100</f>
        <v>100</v>
      </c>
      <c r="I37" s="1523"/>
      <c r="J37" s="647">
        <f>SUMIF(113:113,I37,114:114)-SUMIF(113:113,C37,114:114)+100</f>
        <v>100</v>
      </c>
      <c r="K37" s="768"/>
      <c r="L37" s="767"/>
      <c r="M37" s="777"/>
      <c r="N37" s="777"/>
      <c r="O37" s="1586"/>
      <c r="P37" s="859"/>
      <c r="Q37" s="831">
        <f t="shared" si="8"/>
        <v>111</v>
      </c>
      <c r="R37" s="835" t="s">
        <v>1174</v>
      </c>
      <c r="S37" s="836">
        <f t="shared" si="10"/>
        <v>100</v>
      </c>
      <c r="T37" s="835" t="s">
        <v>1174</v>
      </c>
      <c r="U37" s="836">
        <f t="shared" si="11"/>
        <v>100</v>
      </c>
      <c r="V37" s="835" t="s">
        <v>1174</v>
      </c>
      <c r="W37" s="836">
        <f t="shared" si="12"/>
        <v>100</v>
      </c>
      <c r="X37" s="837"/>
      <c r="Y37" s="859"/>
      <c r="Z37" s="860">
        <f t="shared" si="13"/>
        <v>111</v>
      </c>
      <c r="AA37" s="838">
        <f t="shared" si="3"/>
        <v>1</v>
      </c>
      <c r="AB37" s="838">
        <f t="shared" si="4"/>
        <v>1</v>
      </c>
      <c r="AC37" s="838">
        <f t="shared" si="5"/>
        <v>1</v>
      </c>
    </row>
    <row r="38" ht="15.5" spans="1:29">
      <c r="A38" s="685" t="s">
        <v>1198</v>
      </c>
      <c r="B38" s="1526" t="s">
        <v>1522</v>
      </c>
      <c r="C38" s="1527">
        <f>'数据-汇总表'!D3</f>
        <v>0</v>
      </c>
      <c r="D38" s="680">
        <v>100</v>
      </c>
      <c r="E38" s="1527" t="e">
        <f>#REF!</f>
        <v>#REF!</v>
      </c>
      <c r="F38" s="680" t="e">
        <f>LOOKUP(E38,116:116,117:117)-LOOKUP(C38,116:116,117:117)+100</f>
        <v>#REF!</v>
      </c>
      <c r="G38" s="1527" t="e">
        <f>#REF!</f>
        <v>#REF!</v>
      </c>
      <c r="H38" s="680" t="e">
        <f>LOOKUP(G38,116:116,117:117)-LOOKUP(C38,116:116,117:117)+100</f>
        <v>#REF!</v>
      </c>
      <c r="I38" s="745" t="e">
        <f>#REF!</f>
        <v>#REF!</v>
      </c>
      <c r="J38" s="680" t="e">
        <f>LOOKUP(I38,116:116,117:117)-LOOKUP(C38,116:116,117:117)+100</f>
        <v>#REF!</v>
      </c>
      <c r="K38" s="768"/>
      <c r="L38" s="769"/>
      <c r="M38" s="755"/>
      <c r="N38" s="755"/>
      <c r="O38" s="1582"/>
      <c r="P38" s="859"/>
      <c r="Q38" s="831" t="str">
        <f t="shared" si="8"/>
        <v>宗地面积</v>
      </c>
      <c r="R38" s="832" t="s">
        <v>1174</v>
      </c>
      <c r="S38" s="833" t="e">
        <f t="shared" si="10"/>
        <v>#REF!</v>
      </c>
      <c r="T38" s="832" t="s">
        <v>1174</v>
      </c>
      <c r="U38" s="833" t="e">
        <f t="shared" si="11"/>
        <v>#REF!</v>
      </c>
      <c r="V38" s="832" t="s">
        <v>1174</v>
      </c>
      <c r="W38" s="833" t="e">
        <f t="shared" si="12"/>
        <v>#REF!</v>
      </c>
      <c r="X38" s="821"/>
      <c r="Y38" s="859"/>
      <c r="Z38" s="820" t="str">
        <f t="shared" si="13"/>
        <v>宗地面积</v>
      </c>
      <c r="AA38" s="838" t="e">
        <f t="shared" si="3"/>
        <v>#REF!</v>
      </c>
      <c r="AB38" s="838" t="e">
        <f t="shared" si="4"/>
        <v>#REF!</v>
      </c>
      <c r="AC38" s="838" t="e">
        <f t="shared" si="5"/>
        <v>#REF!</v>
      </c>
    </row>
    <row r="39" ht="15.5" spans="1:29">
      <c r="A39" s="685"/>
      <c r="B39" s="630" t="s">
        <v>1523</v>
      </c>
      <c r="C39" s="1528" t="s">
        <v>1524</v>
      </c>
      <c r="D39" s="643">
        <v>100</v>
      </c>
      <c r="E39" s="1528" t="s">
        <v>1525</v>
      </c>
      <c r="F39" s="643">
        <f>SUMIF(118:118,E39,119:119)-SUMIF(118:118,C39,119:119)+100</f>
        <v>97</v>
      </c>
      <c r="G39" s="1528" t="s">
        <v>1524</v>
      </c>
      <c r="H39" s="643">
        <f>SUMIF(118:118,G39,119:119)-SUMIF(118:118,C39,119:119)+100</f>
        <v>100</v>
      </c>
      <c r="I39" s="1528" t="s">
        <v>1524</v>
      </c>
      <c r="J39" s="643">
        <f>SUMIF(118:118,I39,119:119)-SUMIF(118:118,C39,119:119)+100</f>
        <v>100</v>
      </c>
      <c r="K39" s="766">
        <v>3</v>
      </c>
      <c r="L39" s="769"/>
      <c r="M39" s="755"/>
      <c r="N39" s="755"/>
      <c r="O39" s="1582"/>
      <c r="P39" s="859"/>
      <c r="Q39" s="831" t="str">
        <f t="shared" ref="Q39:Q45" si="14">B39</f>
        <v>宗地形状</v>
      </c>
      <c r="R39" s="832" t="s">
        <v>1174</v>
      </c>
      <c r="S39" s="833">
        <f t="shared" si="10"/>
        <v>97</v>
      </c>
      <c r="T39" s="832" t="s">
        <v>1174</v>
      </c>
      <c r="U39" s="833">
        <f t="shared" si="11"/>
        <v>100</v>
      </c>
      <c r="V39" s="832" t="s">
        <v>1174</v>
      </c>
      <c r="W39" s="833">
        <f t="shared" si="12"/>
        <v>100</v>
      </c>
      <c r="X39" s="821"/>
      <c r="Y39" s="859"/>
      <c r="Z39" s="820" t="str">
        <f t="shared" si="13"/>
        <v>宗地形状</v>
      </c>
      <c r="AA39" s="838">
        <f t="shared" si="3"/>
        <v>1.03092783505155</v>
      </c>
      <c r="AB39" s="838">
        <f t="shared" si="4"/>
        <v>1</v>
      </c>
      <c r="AC39" s="838">
        <f t="shared" si="5"/>
        <v>1</v>
      </c>
    </row>
    <row r="40" ht="15.5" spans="1:29">
      <c r="A40" s="685"/>
      <c r="B40" s="630" t="s">
        <v>1526</v>
      </c>
      <c r="C40" s="1528"/>
      <c r="D40" s="643">
        <v>100</v>
      </c>
      <c r="E40" s="1528"/>
      <c r="F40" s="643">
        <f>SUMIF(120:120,E40,121:121)-SUMIF(120:120,C40,121:121)+100</f>
        <v>100</v>
      </c>
      <c r="G40" s="1528"/>
      <c r="H40" s="643">
        <f>SUMIF(120:120,G40,121:121)-SUMIF(120:120,C40,121:121)+100</f>
        <v>100</v>
      </c>
      <c r="I40" s="1528"/>
      <c r="J40" s="643">
        <f>SUMIF(120:120,I40,121:121)-SUMIF(120:120,C40,121:121)+100</f>
        <v>100</v>
      </c>
      <c r="K40" s="766"/>
      <c r="L40" s="769"/>
      <c r="M40" s="755"/>
      <c r="N40" s="755"/>
      <c r="O40" s="1582"/>
      <c r="P40" s="859"/>
      <c r="Q40" s="831" t="str">
        <f t="shared" si="14"/>
        <v>临街宽度及深度</v>
      </c>
      <c r="R40" s="832" t="s">
        <v>1174</v>
      </c>
      <c r="S40" s="833">
        <f t="shared" si="10"/>
        <v>100</v>
      </c>
      <c r="T40" s="832" t="s">
        <v>1174</v>
      </c>
      <c r="U40" s="833">
        <f t="shared" si="11"/>
        <v>100</v>
      </c>
      <c r="V40" s="832" t="s">
        <v>1174</v>
      </c>
      <c r="W40" s="833">
        <f t="shared" si="12"/>
        <v>100</v>
      </c>
      <c r="X40" s="821"/>
      <c r="Y40" s="859"/>
      <c r="Z40" s="820" t="str">
        <f t="shared" si="13"/>
        <v>临街宽度及深度</v>
      </c>
      <c r="AA40" s="838">
        <f t="shared" si="3"/>
        <v>1</v>
      </c>
      <c r="AB40" s="838">
        <f t="shared" si="4"/>
        <v>1</v>
      </c>
      <c r="AC40" s="838">
        <f t="shared" si="5"/>
        <v>1</v>
      </c>
    </row>
    <row r="41" s="568" customFormat="1" ht="15.5" spans="1:29">
      <c r="A41" s="688"/>
      <c r="B41" s="630" t="s">
        <v>1527</v>
      </c>
      <c r="C41" s="1529"/>
      <c r="D41" s="632">
        <v>100</v>
      </c>
      <c r="E41" s="1529"/>
      <c r="F41" s="643">
        <f>SUMIF(122:122,E41,123:123)-SUMIF(122:122,C41,123:123)+100</f>
        <v>100</v>
      </c>
      <c r="G41" s="1529"/>
      <c r="H41" s="643">
        <f>SUMIF(122:122,G41,123:123)-SUMIF(122:122,C41,123:123)+100</f>
        <v>100</v>
      </c>
      <c r="I41" s="1529"/>
      <c r="J41" s="643">
        <f>SUMIF(122:122,I41,123:123)-SUMIF(122:122,C41,123:123)+100</f>
        <v>100</v>
      </c>
      <c r="K41" s="766"/>
      <c r="L41" s="760"/>
      <c r="M41" s="761"/>
      <c r="N41" s="761"/>
      <c r="O41" s="1578"/>
      <c r="P41" s="859"/>
      <c r="Q41" s="831" t="str">
        <f t="shared" si="14"/>
        <v>宗地开发程度</v>
      </c>
      <c r="R41" s="826" t="s">
        <v>1174</v>
      </c>
      <c r="S41" s="827">
        <f t="shared" si="10"/>
        <v>100</v>
      </c>
      <c r="T41" s="826" t="s">
        <v>1174</v>
      </c>
      <c r="U41" s="827">
        <f t="shared" si="11"/>
        <v>100</v>
      </c>
      <c r="V41" s="826" t="s">
        <v>1174</v>
      </c>
      <c r="W41" s="827">
        <f t="shared" si="12"/>
        <v>100</v>
      </c>
      <c r="X41" s="828"/>
      <c r="Y41" s="859"/>
      <c r="Z41" s="855" t="str">
        <f t="shared" si="13"/>
        <v>宗地开发程度</v>
      </c>
      <c r="AA41" s="853">
        <f t="shared" si="3"/>
        <v>1</v>
      </c>
      <c r="AB41" s="853">
        <f t="shared" si="4"/>
        <v>1</v>
      </c>
      <c r="AC41" s="853">
        <f t="shared" si="5"/>
        <v>1</v>
      </c>
    </row>
    <row r="42" ht="15.5" spans="1:29">
      <c r="A42" s="685"/>
      <c r="B42" s="630" t="s">
        <v>1528</v>
      </c>
      <c r="C42" s="1528"/>
      <c r="D42" s="643">
        <v>100</v>
      </c>
      <c r="E42" s="1528"/>
      <c r="F42" s="643">
        <f>SUMIF(124:124,E42,125:125)-SUMIF(124:124,C42,125:125)+100</f>
        <v>100</v>
      </c>
      <c r="G42" s="1528"/>
      <c r="H42" s="643">
        <f>SUMIF(124:124,G42,125:125)-SUMIF(124:124,C42,125:125)+100</f>
        <v>100</v>
      </c>
      <c r="I42" s="1528"/>
      <c r="J42" s="643">
        <f>SUMIF(124:124,I42,125:125)-SUMIF(124:124,C42,125:125)+100</f>
        <v>100</v>
      </c>
      <c r="K42" s="766"/>
      <c r="L42" s="769"/>
      <c r="M42" s="755"/>
      <c r="N42" s="755"/>
      <c r="O42" s="1582"/>
      <c r="P42" s="859" t="s">
        <v>1202</v>
      </c>
      <c r="Q42" s="831" t="str">
        <f t="shared" si="14"/>
        <v>工程地质条件</v>
      </c>
      <c r="R42" s="832" t="s">
        <v>1174</v>
      </c>
      <c r="S42" s="833">
        <f t="shared" si="10"/>
        <v>100</v>
      </c>
      <c r="T42" s="832" t="s">
        <v>1174</v>
      </c>
      <c r="U42" s="833">
        <f t="shared" si="11"/>
        <v>100</v>
      </c>
      <c r="V42" s="832" t="s">
        <v>1174</v>
      </c>
      <c r="W42" s="833">
        <f t="shared" si="12"/>
        <v>100</v>
      </c>
      <c r="X42" s="821"/>
      <c r="Y42" s="859" t="s">
        <v>1202</v>
      </c>
      <c r="Z42" s="820" t="str">
        <f t="shared" si="13"/>
        <v>工程地质条件</v>
      </c>
      <c r="AA42" s="838">
        <f t="shared" si="3"/>
        <v>1</v>
      </c>
      <c r="AB42" s="838">
        <f t="shared" si="4"/>
        <v>1</v>
      </c>
      <c r="AC42" s="838">
        <f t="shared" si="5"/>
        <v>1</v>
      </c>
    </row>
    <row r="43" ht="15.5" spans="1:29">
      <c r="A43" s="685"/>
      <c r="B43" s="1530">
        <v>111</v>
      </c>
      <c r="C43" s="1508"/>
      <c r="D43" s="643">
        <v>100</v>
      </c>
      <c r="E43" s="1508"/>
      <c r="F43" s="643">
        <f>SUMIF(126:126,E43,127:127)-SUMIF(126:126,C43,127:127)+100</f>
        <v>100</v>
      </c>
      <c r="G43" s="1508"/>
      <c r="H43" s="643">
        <f>SUMIF(126:126,G43,127:127)-SUMIF(126:126,C43,127:127)+100</f>
        <v>100</v>
      </c>
      <c r="I43" s="873"/>
      <c r="J43" s="643">
        <f>SUMIF(126:126,I43,127:127)-SUMIF(126:126,C43,127:127)+100</f>
        <v>100</v>
      </c>
      <c r="K43" s="768"/>
      <c r="L43" s="769"/>
      <c r="M43" s="755"/>
      <c r="N43" s="755"/>
      <c r="O43" s="1582"/>
      <c r="P43" s="859"/>
      <c r="Q43" s="831">
        <f t="shared" si="14"/>
        <v>111</v>
      </c>
      <c r="R43" s="832" t="s">
        <v>1174</v>
      </c>
      <c r="S43" s="833">
        <f t="shared" si="10"/>
        <v>100</v>
      </c>
      <c r="T43" s="832" t="s">
        <v>1174</v>
      </c>
      <c r="U43" s="833">
        <f t="shared" si="11"/>
        <v>100</v>
      </c>
      <c r="V43" s="832" t="s">
        <v>1174</v>
      </c>
      <c r="W43" s="833">
        <f t="shared" si="12"/>
        <v>100</v>
      </c>
      <c r="X43" s="821"/>
      <c r="Y43" s="859"/>
      <c r="Z43" s="820">
        <f t="shared" si="13"/>
        <v>111</v>
      </c>
      <c r="AA43" s="838">
        <f t="shared" si="3"/>
        <v>1</v>
      </c>
      <c r="AB43" s="838">
        <f t="shared" si="4"/>
        <v>1</v>
      </c>
      <c r="AC43" s="838">
        <f t="shared" si="5"/>
        <v>1</v>
      </c>
    </row>
    <row r="44" ht="15.5" spans="1:29">
      <c r="A44" s="685"/>
      <c r="B44" s="1530">
        <v>111</v>
      </c>
      <c r="C44" s="1508"/>
      <c r="D44" s="643">
        <v>100</v>
      </c>
      <c r="E44" s="1508"/>
      <c r="F44" s="643">
        <f>SUMIF(128:128,E44,129:129)-SUMIF(128:128,C44,129:129)+100</f>
        <v>100</v>
      </c>
      <c r="G44" s="1508"/>
      <c r="H44" s="643">
        <f>SUMIF(128:128,G44,129:129)-SUMIF(128:128,C44,129:129)+100</f>
        <v>100</v>
      </c>
      <c r="I44" s="873"/>
      <c r="J44" s="643">
        <f>SUMIF(128:128,I44,129:129)-SUMIF(128:128,C44,129:129)+100</f>
        <v>100</v>
      </c>
      <c r="K44" s="768"/>
      <c r="L44" s="769"/>
      <c r="M44" s="755"/>
      <c r="N44" s="755"/>
      <c r="O44" s="1582"/>
      <c r="P44" s="859"/>
      <c r="Q44" s="831">
        <f t="shared" si="14"/>
        <v>111</v>
      </c>
      <c r="R44" s="832" t="s">
        <v>1174</v>
      </c>
      <c r="S44" s="833">
        <f t="shared" si="10"/>
        <v>100</v>
      </c>
      <c r="T44" s="832" t="s">
        <v>1174</v>
      </c>
      <c r="U44" s="833">
        <f t="shared" si="11"/>
        <v>100</v>
      </c>
      <c r="V44" s="832" t="s">
        <v>1174</v>
      </c>
      <c r="W44" s="833">
        <f t="shared" si="12"/>
        <v>100</v>
      </c>
      <c r="X44" s="821"/>
      <c r="Y44" s="859"/>
      <c r="Z44" s="820">
        <f t="shared" si="13"/>
        <v>111</v>
      </c>
      <c r="AA44" s="838">
        <f t="shared" si="3"/>
        <v>1</v>
      </c>
      <c r="AB44" s="838">
        <f t="shared" si="4"/>
        <v>1</v>
      </c>
      <c r="AC44" s="838">
        <f t="shared" si="5"/>
        <v>1</v>
      </c>
    </row>
    <row r="45" s="570" customFormat="1" ht="16.25" spans="1:29">
      <c r="A45" s="682"/>
      <c r="B45" s="1530">
        <v>111</v>
      </c>
      <c r="C45" s="1531"/>
      <c r="D45" s="1835">
        <v>100</v>
      </c>
      <c r="E45" s="1508"/>
      <c r="F45" s="647">
        <f>SUMIF(130:130,E45,131:131)-SUMIF(130:130,C45,131:131)+100</f>
        <v>100</v>
      </c>
      <c r="G45" s="1508"/>
      <c r="H45" s="647">
        <f>SUMIF(130:130,G45,131:131)-SUMIF(130:130,C45,131:131)+100</f>
        <v>100</v>
      </c>
      <c r="I45" s="1508"/>
      <c r="J45" s="647">
        <f>SUMIF(130:130,I45,131:131)-SUMIF(130:130,C45,131:131)+100</f>
        <v>100</v>
      </c>
      <c r="K45" s="1587"/>
      <c r="L45" s="767"/>
      <c r="M45" s="777"/>
      <c r="N45" s="777"/>
      <c r="O45" s="1586"/>
      <c r="P45" s="859"/>
      <c r="Q45" s="831">
        <f t="shared" si="14"/>
        <v>111</v>
      </c>
      <c r="R45" s="835" t="s">
        <v>1174</v>
      </c>
      <c r="S45" s="836">
        <f t="shared" si="10"/>
        <v>100</v>
      </c>
      <c r="T45" s="835" t="s">
        <v>1174</v>
      </c>
      <c r="U45" s="836">
        <f t="shared" si="11"/>
        <v>100</v>
      </c>
      <c r="V45" s="835" t="s">
        <v>1174</v>
      </c>
      <c r="W45" s="836">
        <f t="shared" si="12"/>
        <v>100</v>
      </c>
      <c r="X45" s="837"/>
      <c r="Y45" s="859"/>
      <c r="Z45" s="860">
        <f t="shared" si="13"/>
        <v>111</v>
      </c>
      <c r="AA45" s="838">
        <f t="shared" si="3"/>
        <v>1</v>
      </c>
      <c r="AB45" s="838">
        <f t="shared" si="4"/>
        <v>1</v>
      </c>
      <c r="AC45" s="838">
        <f t="shared" si="5"/>
        <v>1</v>
      </c>
    </row>
    <row r="46" spans="1:29">
      <c r="A46" s="693" t="s">
        <v>1505</v>
      </c>
      <c r="B46" s="1532" t="s">
        <v>1529</v>
      </c>
      <c r="C46" s="1533" t="s">
        <v>124</v>
      </c>
      <c r="D46" s="1534"/>
      <c r="E46" s="1535" t="e">
        <f>#REF!</f>
        <v>#REF!</v>
      </c>
      <c r="F46" s="1536"/>
      <c r="G46" s="1537" t="e">
        <f>#REF!</f>
        <v>#REF!</v>
      </c>
      <c r="H46" s="780"/>
      <c r="I46" s="1535" t="e">
        <f>#REF!</f>
        <v>#REF!</v>
      </c>
      <c r="J46" s="780"/>
      <c r="K46" s="781"/>
      <c r="L46" s="782"/>
      <c r="M46" s="710"/>
      <c r="N46" s="755"/>
      <c r="O46" s="710"/>
      <c r="P46" s="831" t="str">
        <f>A46</f>
        <v>成交单价</v>
      </c>
      <c r="Q46" s="831"/>
      <c r="R46" s="820" t="e">
        <f>E46</f>
        <v>#REF!</v>
      </c>
      <c r="S46" s="820"/>
      <c r="T46" s="820" t="e">
        <f>G46</f>
        <v>#REF!</v>
      </c>
      <c r="U46" s="820"/>
      <c r="V46" s="820" t="e">
        <f>I46</f>
        <v>#REF!</v>
      </c>
      <c r="W46" s="820"/>
      <c r="X46" s="721"/>
      <c r="Y46" s="862"/>
      <c r="Z46" s="721"/>
      <c r="AA46" s="721"/>
      <c r="AB46" s="721"/>
      <c r="AC46" s="721"/>
    </row>
    <row r="47" ht="14.75" spans="1:29">
      <c r="A47" s="701" t="s">
        <v>1215</v>
      </c>
      <c r="B47" s="1538"/>
      <c r="C47" s="1539" t="e">
        <f>R48</f>
        <v>#REF!</v>
      </c>
      <c r="D47" s="704" t="s">
        <v>1216</v>
      </c>
      <c r="E47" s="1539" t="e">
        <f>R47</f>
        <v>#REF!</v>
      </c>
      <c r="F47" s="706"/>
      <c r="G47" s="1540" t="e">
        <f>T47</f>
        <v>#REF!</v>
      </c>
      <c r="H47" s="706"/>
      <c r="I47" s="1539" t="e">
        <f>V47</f>
        <v>#REF!</v>
      </c>
      <c r="J47" s="706"/>
      <c r="K47" s="783">
        <f>F47+H47+J47</f>
        <v>0</v>
      </c>
      <c r="L47" s="782"/>
      <c r="M47" s="710"/>
      <c r="N47" s="710"/>
      <c r="O47" s="710"/>
      <c r="P47" s="831" t="str">
        <f>A47</f>
        <v>比较价值（元/平方米）</v>
      </c>
      <c r="Q47" s="831"/>
      <c r="R47" s="1597" t="e">
        <f>ROUND(PRODUCT(R46,AA7:AA45),0)</f>
        <v>#REF!</v>
      </c>
      <c r="S47" s="1597"/>
      <c r="T47" s="1597" t="e">
        <f>ROUND(PRODUCT(T46,AB7:AB45),0)</f>
        <v>#REF!</v>
      </c>
      <c r="U47" s="1597"/>
      <c r="V47" s="1597" t="e">
        <f>ROUND(PRODUCT(V46,AC7:AC45),0)</f>
        <v>#REF!</v>
      </c>
      <c r="W47" s="1597"/>
      <c r="X47" s="721"/>
      <c r="Y47" s="721"/>
      <c r="Z47" s="721"/>
      <c r="AA47" s="721"/>
      <c r="AB47" s="721"/>
      <c r="AC47" s="721"/>
    </row>
    <row r="48" ht="14.75" spans="1:29">
      <c r="A48" s="707" t="s">
        <v>1530</v>
      </c>
      <c r="B48" s="708"/>
      <c r="C48" s="784" t="e">
        <f>R48</f>
        <v>#REF!</v>
      </c>
      <c r="D48" s="784"/>
      <c r="E48" s="784"/>
      <c r="F48" s="784"/>
      <c r="G48" s="784"/>
      <c r="H48" s="784"/>
      <c r="I48" s="784"/>
      <c r="J48" s="784"/>
      <c r="K48" s="785"/>
      <c r="L48" s="1841">
        <f>0.54*17000+0.3983*7000</f>
        <v>11968.1</v>
      </c>
      <c r="M48" s="710"/>
      <c r="N48" s="710"/>
      <c r="O48" s="710"/>
      <c r="P48" s="689" t="str">
        <f>A48</f>
        <v>估价对象XX用房的比较价值（楼面单价，元/平方米）</v>
      </c>
      <c r="Q48" s="1598"/>
      <c r="R48" s="1599" t="e">
        <f>ROUND(IF(D47="简单平均",AVERAGE(R47:W47),R47*F47+T47*H47+V47*J47),0)</f>
        <v>#REF!</v>
      </c>
      <c r="S48" s="1599"/>
      <c r="T48" s="1599"/>
      <c r="U48" s="1599"/>
      <c r="V48" s="1599"/>
      <c r="W48" s="1599"/>
      <c r="X48" s="721"/>
      <c r="Y48" s="721"/>
      <c r="Z48" s="721"/>
      <c r="AA48" s="721"/>
      <c r="AB48" s="721"/>
      <c r="AC48" s="721"/>
    </row>
    <row r="49" spans="1:29">
      <c r="A49" s="710"/>
      <c r="B49" s="710"/>
      <c r="C49" s="710"/>
      <c r="D49" s="710"/>
      <c r="E49" s="710"/>
      <c r="F49" s="710"/>
      <c r="G49" s="711">
        <v>0.5378</v>
      </c>
      <c r="H49" s="1836"/>
      <c r="I49" s="710" t="s">
        <v>1531</v>
      </c>
      <c r="J49" s="710"/>
      <c r="K49" s="787"/>
      <c r="L49" s="788"/>
      <c r="M49" s="710"/>
      <c r="N49" s="710"/>
      <c r="O49" s="710"/>
      <c r="P49" s="710"/>
      <c r="Q49" s="710"/>
      <c r="R49" s="710"/>
      <c r="S49" s="710"/>
      <c r="T49" s="710"/>
      <c r="U49" s="710"/>
      <c r="V49" s="710"/>
      <c r="W49" s="710"/>
      <c r="X49" s="710"/>
      <c r="Y49" s="710"/>
      <c r="Z49" s="710"/>
      <c r="AA49" s="710"/>
      <c r="AB49" s="710"/>
      <c r="AC49" s="710"/>
    </row>
    <row r="50" spans="1:29">
      <c r="A50" s="710"/>
      <c r="B50" s="710"/>
      <c r="C50" s="710"/>
      <c r="D50" s="710"/>
      <c r="E50" s="710"/>
      <c r="F50" s="710"/>
      <c r="G50" s="1837">
        <v>0.3983</v>
      </c>
      <c r="H50" s="710"/>
      <c r="I50" s="710" t="s">
        <v>1532</v>
      </c>
      <c r="J50" s="710"/>
      <c r="K50" s="787"/>
      <c r="L50" s="788"/>
      <c r="M50" s="710"/>
      <c r="N50" s="710"/>
      <c r="O50" s="710"/>
      <c r="P50" s="710"/>
      <c r="Q50" s="710"/>
      <c r="R50" s="710"/>
      <c r="S50" s="710"/>
      <c r="T50" s="710"/>
      <c r="U50" s="710"/>
      <c r="V50" s="710"/>
      <c r="W50" s="710"/>
      <c r="X50" s="710"/>
      <c r="Y50" s="710"/>
      <c r="Z50" s="710"/>
      <c r="AA50" s="710"/>
      <c r="AB50" s="710"/>
      <c r="AC50" s="710"/>
    </row>
    <row r="51" ht="13.5" customHeight="1" spans="1:29">
      <c r="A51" s="710"/>
      <c r="B51" s="710"/>
      <c r="C51" s="712" t="s">
        <v>1218</v>
      </c>
      <c r="D51" s="713"/>
      <c r="E51" s="714" t="e">
        <f>IF(E46&lt;E47,E47/E46-1,E46/E47-1)</f>
        <v>#REF!</v>
      </c>
      <c r="F51" s="715" t="e">
        <f>IF(OR(E51&gt;=0.3,E51&lt;=-0.3),"超过30%","")</f>
        <v>#REF!</v>
      </c>
      <c r="G51" s="714" t="e">
        <f>IF(G46&lt;G47,G47/G46-1,G46/G47-1)</f>
        <v>#REF!</v>
      </c>
      <c r="H51" s="715" t="e">
        <f>IF(OR(G51&gt;=0.3,G51&lt;=-0.3),"超过30%","")</f>
        <v>#REF!</v>
      </c>
      <c r="I51" s="714" t="e">
        <f>IF(I46&lt;I47,I47/I46-1,I46/I47-1)</f>
        <v>#REF!</v>
      </c>
      <c r="J51" s="715" t="e">
        <f>IF(OR(I51&gt;=0.3,I51&lt;=-0.3),"超过30%","")</f>
        <v>#REF!</v>
      </c>
      <c r="K51" s="787"/>
      <c r="L51" s="788"/>
      <c r="M51" s="710"/>
      <c r="N51" s="710"/>
      <c r="O51" s="710"/>
      <c r="P51" s="710"/>
      <c r="Q51" s="710"/>
      <c r="R51" s="710"/>
      <c r="S51" s="710"/>
      <c r="T51" s="710"/>
      <c r="U51" s="710"/>
      <c r="V51" s="710"/>
      <c r="W51" s="710"/>
      <c r="X51" s="710"/>
      <c r="Y51" s="710"/>
      <c r="Z51" s="710"/>
      <c r="AA51" s="710"/>
      <c r="AB51" s="710"/>
      <c r="AC51" s="710"/>
    </row>
    <row r="52" ht="13.5" customHeight="1" spans="1:29">
      <c r="A52" s="710"/>
      <c r="B52" s="710"/>
      <c r="C52" s="712" t="s">
        <v>1219</v>
      </c>
      <c r="D52" s="716"/>
      <c r="E52" s="714" t="e">
        <f>IF(E47&lt;G47,G47/E47-1,E47/G47-1)</f>
        <v>#REF!</v>
      </c>
      <c r="F52" s="715" t="e">
        <f>IF(OR(E52&gt;=0.2,E52&lt;=-0.2),"超过20%","")</f>
        <v>#REF!</v>
      </c>
      <c r="G52" s="714" t="e">
        <f>IF(G47&lt;I47,I47/G47-1,G47/I47-1)</f>
        <v>#REF!</v>
      </c>
      <c r="H52" s="715" t="e">
        <f>IF(OR(G52&gt;=0.2,G52&lt;=-0.2),"超过20%","")</f>
        <v>#REF!</v>
      </c>
      <c r="I52" s="714" t="e">
        <f>IF(I47&lt;E47,E47/I47-1,I47/E47-1)</f>
        <v>#REF!</v>
      </c>
      <c r="J52" s="715" t="e">
        <f>IF(OR(I52&gt;=0.2,I52&lt;=-0.2),"超过20%","")</f>
        <v>#REF!</v>
      </c>
      <c r="K52" s="787"/>
      <c r="L52" s="788"/>
      <c r="M52" s="710"/>
      <c r="N52" s="710"/>
      <c r="O52" s="710"/>
      <c r="P52" s="710"/>
      <c r="Q52" s="710"/>
      <c r="R52" s="710"/>
      <c r="S52" s="710"/>
      <c r="T52" s="710"/>
      <c r="U52" s="710"/>
      <c r="V52" s="710"/>
      <c r="W52" s="710"/>
      <c r="X52" s="710"/>
      <c r="Y52" s="710"/>
      <c r="Z52" s="710"/>
      <c r="AA52" s="710"/>
      <c r="AB52" s="710"/>
      <c r="AC52" s="710"/>
    </row>
    <row r="53" s="571" customFormat="1" ht="13.5" customHeight="1" spans="1:29">
      <c r="A53" s="717"/>
      <c r="B53" s="717"/>
      <c r="C53" s="712" t="s">
        <v>1220</v>
      </c>
      <c r="D53" s="716"/>
      <c r="E53" s="714" t="e">
        <f>IF(E46&lt;G46,G46/E46-1,E46/G46-1)</f>
        <v>#REF!</v>
      </c>
      <c r="F53" s="715" t="e">
        <f>IF(OR(E53&gt;=0.3,E53&lt;=-0.3),"超过30%","")</f>
        <v>#REF!</v>
      </c>
      <c r="G53" s="714" t="e">
        <f>IF(G46&lt;I46,I46/G46-1,G46/I46-1)</f>
        <v>#REF!</v>
      </c>
      <c r="H53" s="715" t="e">
        <f>IF(OR(G53&gt;=0.3,G53&lt;=-0.3),"超过30%","")</f>
        <v>#REF!</v>
      </c>
      <c r="I53" s="714" t="e">
        <f>IF(I46&lt;E46,E46/I46-1,I46/E46-1)</f>
        <v>#REF!</v>
      </c>
      <c r="J53" s="715" t="e">
        <f>IF(OR(I53&gt;=0.3,I53&lt;=-0.3),"超过30%","")</f>
        <v>#REF!</v>
      </c>
      <c r="K53" s="790"/>
      <c r="L53" s="791"/>
      <c r="M53" s="717"/>
      <c r="N53" s="717"/>
      <c r="O53" s="717"/>
      <c r="P53" s="717"/>
      <c r="Q53" s="717"/>
      <c r="R53" s="717"/>
      <c r="S53" s="717"/>
      <c r="T53" s="717"/>
      <c r="U53" s="717"/>
      <c r="V53" s="717"/>
      <c r="W53" s="717"/>
      <c r="X53" s="717"/>
      <c r="Y53" s="717"/>
      <c r="Z53" s="717"/>
      <c r="AA53" s="717"/>
      <c r="AB53" s="717"/>
      <c r="AC53" s="717"/>
    </row>
    <row r="54" s="571" customFormat="1" ht="14.75" spans="1:29">
      <c r="A54" s="717"/>
      <c r="B54" s="718"/>
      <c r="C54" s="1541"/>
      <c r="D54" s="1542"/>
      <c r="E54" s="1542"/>
      <c r="F54" s="1542"/>
      <c r="G54" s="1542"/>
      <c r="H54" s="1542"/>
      <c r="I54" s="1542"/>
      <c r="J54" s="1542"/>
      <c r="K54" s="790"/>
      <c r="L54" s="791"/>
      <c r="M54" s="717"/>
      <c r="N54" s="717"/>
      <c r="O54" s="717"/>
      <c r="P54" s="717"/>
      <c r="Q54" s="717"/>
      <c r="R54" s="717"/>
      <c r="S54" s="717"/>
      <c r="T54" s="717"/>
      <c r="U54" s="717"/>
      <c r="V54" s="717"/>
      <c r="W54" s="717"/>
      <c r="X54" s="717"/>
      <c r="Y54" s="717"/>
      <c r="Z54" s="717"/>
      <c r="AA54" s="717"/>
      <c r="AB54" s="717"/>
      <c r="AC54" s="717"/>
    </row>
    <row r="55" ht="27" customHeight="1" spans="1:29">
      <c r="A55" s="1543" t="s">
        <v>1533</v>
      </c>
      <c r="B55" s="1544" t="s">
        <v>1534</v>
      </c>
      <c r="C55" s="1545" t="s">
        <v>1535</v>
      </c>
      <c r="D55" s="1546" t="s">
        <v>1536</v>
      </c>
      <c r="E55" s="815" t="s">
        <v>1537</v>
      </c>
      <c r="F55" s="1838" t="s">
        <v>1538</v>
      </c>
      <c r="G55" s="599" t="s">
        <v>1539</v>
      </c>
      <c r="H55" s="1079"/>
      <c r="I55" s="1842" t="s">
        <v>1540</v>
      </c>
      <c r="J55" s="1843">
        <f>项目基本情况!F35</f>
        <v>0</v>
      </c>
      <c r="K55" s="1588" t="s">
        <v>1541</v>
      </c>
      <c r="L55" s="788"/>
      <c r="M55" s="710"/>
      <c r="N55" s="710"/>
      <c r="O55" s="710"/>
      <c r="P55" s="710"/>
      <c r="Q55" s="710"/>
      <c r="R55" s="710"/>
      <c r="S55" s="710"/>
      <c r="T55" s="710"/>
      <c r="U55" s="710"/>
      <c r="V55" s="710"/>
      <c r="W55" s="710"/>
      <c r="X55" s="710"/>
      <c r="Y55" s="710"/>
      <c r="Z55" s="710"/>
      <c r="AA55" s="710"/>
      <c r="AB55" s="710"/>
      <c r="AC55" s="710"/>
    </row>
    <row r="56" s="1494" customFormat="1" spans="1:29">
      <c r="A56" s="1548" t="s">
        <v>1542</v>
      </c>
      <c r="B56" s="1549" t="e">
        <f>C48</f>
        <v>#REF!</v>
      </c>
      <c r="C56" s="1550">
        <v>1</v>
      </c>
      <c r="D56" s="1551">
        <v>1</v>
      </c>
      <c r="E56" s="1550">
        <f>'数据-汇总表'!E8+'数据-汇总表'!E9</f>
        <v>3013</v>
      </c>
      <c r="F56" s="1839" t="e">
        <f t="shared" ref="F56:F64" si="15">ROUND(B56*E56/10000,0)</f>
        <v>#REF!</v>
      </c>
      <c r="G56" s="763"/>
      <c r="H56" s="831"/>
      <c r="I56" s="1844">
        <v>1</v>
      </c>
      <c r="J56" s="1845">
        <v>1</v>
      </c>
      <c r="K56" s="717"/>
      <c r="L56" s="1589"/>
      <c r="M56" s="1589"/>
      <c r="N56" s="1589"/>
      <c r="O56" s="1589"/>
      <c r="P56" s="1589"/>
      <c r="Q56" s="1589"/>
      <c r="R56" s="1589"/>
      <c r="S56" s="1589"/>
      <c r="T56" s="1589"/>
      <c r="U56" s="1589"/>
      <c r="V56" s="1589"/>
      <c r="W56" s="1589"/>
      <c r="X56" s="1589"/>
      <c r="Y56" s="1589"/>
      <c r="Z56" s="1589"/>
      <c r="AA56" s="1589"/>
      <c r="AB56" s="1589"/>
      <c r="AC56" s="1589"/>
    </row>
    <row r="57" s="1494" customFormat="1" spans="1:29">
      <c r="A57" s="1553" t="s">
        <v>1543</v>
      </c>
      <c r="B57" s="410" t="e">
        <f>ROUND($C$48*C57*D57,0)</f>
        <v>#REF!</v>
      </c>
      <c r="C57" s="998">
        <f t="shared" ref="C57:C64" si="16">IF($C$55="北京市系数",I57,J57)</f>
        <v>0</v>
      </c>
      <c r="D57" s="1554">
        <v>0.25</v>
      </c>
      <c r="E57" s="1555"/>
      <c r="F57" s="1839" t="e">
        <f t="shared" si="15"/>
        <v>#REF!</v>
      </c>
      <c r="G57" s="1556" t="s">
        <v>1544</v>
      </c>
      <c r="H57" s="1557">
        <f>项目基本情况!B37</f>
        <v>0</v>
      </c>
      <c r="I57" s="1844">
        <f>SUMIF(修正!A57:A68,H57,修正!B57:B68)</f>
        <v>0</v>
      </c>
      <c r="J57" s="1846"/>
      <c r="K57" s="710"/>
      <c r="L57" s="1589"/>
      <c r="M57" s="1589"/>
      <c r="N57" s="1589"/>
      <c r="O57" s="1589"/>
      <c r="P57" s="1589"/>
      <c r="Q57" s="1589"/>
      <c r="R57" s="1589"/>
      <c r="S57" s="1589"/>
      <c r="T57" s="1589"/>
      <c r="U57" s="1589"/>
      <c r="V57" s="1589"/>
      <c r="W57" s="1589"/>
      <c r="X57" s="1589"/>
      <c r="Y57" s="1589"/>
      <c r="Z57" s="1589"/>
      <c r="AA57" s="1589"/>
      <c r="AB57" s="1589"/>
      <c r="AC57" s="1589"/>
    </row>
    <row r="58" s="1494" customFormat="1" spans="1:29">
      <c r="A58" s="1553" t="s">
        <v>1545</v>
      </c>
      <c r="B58" s="410" t="e">
        <f t="shared" ref="B58:B64" si="17">ROUND($C$48*C58*D58,0)</f>
        <v>#REF!</v>
      </c>
      <c r="C58" s="998">
        <f t="shared" si="16"/>
        <v>0</v>
      </c>
      <c r="D58" s="1554">
        <v>0.25</v>
      </c>
      <c r="E58" s="1555"/>
      <c r="F58" s="1839" t="e">
        <f t="shared" si="15"/>
        <v>#REF!</v>
      </c>
      <c r="G58" s="1558"/>
      <c r="H58" s="1557">
        <f>项目基本情况!B37</f>
        <v>0</v>
      </c>
      <c r="I58" s="1844">
        <f>SUMIF(修正!A57:A68,H58,修正!C57:C68)</f>
        <v>0</v>
      </c>
      <c r="J58" s="1846"/>
      <c r="K58" s="717"/>
      <c r="L58" s="1589"/>
      <c r="M58" s="1589"/>
      <c r="N58" s="1589"/>
      <c r="O58" s="1589"/>
      <c r="P58" s="1589"/>
      <c r="Q58" s="1589"/>
      <c r="R58" s="1589"/>
      <c r="S58" s="1589"/>
      <c r="T58" s="1589"/>
      <c r="U58" s="1589"/>
      <c r="V58" s="1589"/>
      <c r="W58" s="1589"/>
      <c r="X58" s="1589"/>
      <c r="Y58" s="1589"/>
      <c r="Z58" s="1589"/>
      <c r="AA58" s="1589"/>
      <c r="AB58" s="1589"/>
      <c r="AC58" s="1589"/>
    </row>
    <row r="59" s="1494" customFormat="1" spans="1:29">
      <c r="A59" s="1553" t="s">
        <v>1546</v>
      </c>
      <c r="B59" s="410" t="e">
        <f t="shared" si="17"/>
        <v>#REF!</v>
      </c>
      <c r="C59" s="998">
        <f t="shared" si="16"/>
        <v>0</v>
      </c>
      <c r="D59" s="1554">
        <v>0.25</v>
      </c>
      <c r="E59" s="1555"/>
      <c r="F59" s="1839" t="e">
        <f t="shared" si="15"/>
        <v>#REF!</v>
      </c>
      <c r="G59" s="1558"/>
      <c r="H59" s="1557">
        <f>项目基本情况!B37</f>
        <v>0</v>
      </c>
      <c r="I59" s="1844">
        <f>SUMIF(修正!A57:A68,H59,修正!D57:D68)</f>
        <v>0</v>
      </c>
      <c r="J59" s="1846"/>
      <c r="K59" s="710"/>
      <c r="L59" s="1589"/>
      <c r="M59" s="1589"/>
      <c r="N59" s="1589"/>
      <c r="O59" s="1589"/>
      <c r="P59" s="1589"/>
      <c r="Q59" s="1589"/>
      <c r="R59" s="1589"/>
      <c r="S59" s="1589"/>
      <c r="T59" s="1589"/>
      <c r="U59" s="1589"/>
      <c r="V59" s="1589"/>
      <c r="W59" s="1589"/>
      <c r="X59" s="1589"/>
      <c r="Y59" s="1589"/>
      <c r="Z59" s="1589"/>
      <c r="AA59" s="1589"/>
      <c r="AB59" s="1589"/>
      <c r="AC59" s="1589"/>
    </row>
    <row r="60" s="1494" customFormat="1" spans="1:29">
      <c r="A60" s="1553" t="s">
        <v>1547</v>
      </c>
      <c r="B60" s="410" t="e">
        <f t="shared" si="17"/>
        <v>#REF!</v>
      </c>
      <c r="C60" s="998">
        <f t="shared" si="16"/>
        <v>0</v>
      </c>
      <c r="D60" s="1554">
        <v>0.25</v>
      </c>
      <c r="E60" s="409">
        <f>'数据-汇总表'!E11</f>
        <v>0</v>
      </c>
      <c r="F60" s="1839" t="e">
        <f t="shared" si="15"/>
        <v>#REF!</v>
      </c>
      <c r="G60" s="1560" t="s">
        <v>1548</v>
      </c>
      <c r="H60" s="1557">
        <f>项目基本情况!C37</f>
        <v>0</v>
      </c>
      <c r="I60" s="1844">
        <f>SUMIF(修正!A57:A68,H60,修正!E57:E68)</f>
        <v>0</v>
      </c>
      <c r="J60" s="1846"/>
      <c r="K60" s="710"/>
      <c r="L60" s="1589"/>
      <c r="M60" s="1589"/>
      <c r="N60" s="1589"/>
      <c r="O60" s="1589"/>
      <c r="P60" s="1589"/>
      <c r="Q60" s="1589"/>
      <c r="R60" s="1589"/>
      <c r="S60" s="1589"/>
      <c r="T60" s="1589"/>
      <c r="U60" s="1589"/>
      <c r="V60" s="1589"/>
      <c r="W60" s="1589"/>
      <c r="X60" s="1589"/>
      <c r="Y60" s="1589"/>
      <c r="Z60" s="1589"/>
      <c r="AA60" s="1589"/>
      <c r="AB60" s="1589"/>
      <c r="AC60" s="1589"/>
    </row>
    <row r="61" s="1494" customFormat="1" spans="1:29">
      <c r="A61" s="1553" t="s">
        <v>1549</v>
      </c>
      <c r="B61" s="410" t="e">
        <f t="shared" si="17"/>
        <v>#REF!</v>
      </c>
      <c r="C61" s="998">
        <f t="shared" si="16"/>
        <v>0</v>
      </c>
      <c r="D61" s="1554">
        <v>0.25</v>
      </c>
      <c r="E61" s="409">
        <f>'数据-汇总表'!E12</f>
        <v>0</v>
      </c>
      <c r="F61" s="1839" t="e">
        <f t="shared" si="15"/>
        <v>#REF!</v>
      </c>
      <c r="G61" s="1561" t="s">
        <v>1550</v>
      </c>
      <c r="H61" s="1557">
        <f>IF(G61="商业",项目基本情况!B37,IF(G61="办公",项目基本情况!C37,IF(G61="住宅",项目基本情况!D37,项目基本情况!E37)))</f>
        <v>0</v>
      </c>
      <c r="I61" s="1844">
        <f>SUMIF(修正!A57:A68,H61,修正!F57:F68)</f>
        <v>0</v>
      </c>
      <c r="J61" s="1846"/>
      <c r="K61" s="717"/>
      <c r="L61" s="1589"/>
      <c r="M61" s="1589"/>
      <c r="N61" s="1589"/>
      <c r="O61" s="1589"/>
      <c r="P61" s="1589"/>
      <c r="Q61" s="1589"/>
      <c r="R61" s="1589"/>
      <c r="S61" s="1589"/>
      <c r="T61" s="1589"/>
      <c r="U61" s="1589"/>
      <c r="V61" s="1589"/>
      <c r="W61" s="1589"/>
      <c r="X61" s="1589"/>
      <c r="Y61" s="1589"/>
      <c r="Z61" s="1589"/>
      <c r="AA61" s="1589"/>
      <c r="AB61" s="1589"/>
      <c r="AC61" s="1589"/>
    </row>
    <row r="62" s="1494" customFormat="1" spans="1:29">
      <c r="A62" s="1553" t="s">
        <v>1551</v>
      </c>
      <c r="B62" s="410" t="e">
        <f t="shared" si="17"/>
        <v>#REF!</v>
      </c>
      <c r="C62" s="998">
        <f t="shared" si="16"/>
        <v>0</v>
      </c>
      <c r="D62" s="1554">
        <v>0.25</v>
      </c>
      <c r="E62" s="409">
        <f>'数据-汇总表'!E13</f>
        <v>0</v>
      </c>
      <c r="F62" s="1839" t="e">
        <f t="shared" si="15"/>
        <v>#REF!</v>
      </c>
      <c r="G62" s="1561" t="s">
        <v>1552</v>
      </c>
      <c r="H62" s="1557">
        <f>IF(G62="商业",项目基本情况!B37,IF(G62="办公",项目基本情况!C37,IF(G62="住宅",项目基本情况!D37,项目基本情况!E37)))</f>
        <v>0</v>
      </c>
      <c r="I62" s="1844">
        <f>SUMIF(修正!A57:A68,H62,修正!G57:G68)</f>
        <v>0</v>
      </c>
      <c r="J62" s="1846"/>
      <c r="K62" s="710"/>
      <c r="L62" s="1589"/>
      <c r="M62" s="1589"/>
      <c r="N62" s="1589"/>
      <c r="O62" s="1589"/>
      <c r="P62" s="1589"/>
      <c r="Q62" s="1589"/>
      <c r="R62" s="1589"/>
      <c r="S62" s="1589"/>
      <c r="T62" s="1589"/>
      <c r="U62" s="1589"/>
      <c r="V62" s="1589"/>
      <c r="W62" s="1589"/>
      <c r="X62" s="1589"/>
      <c r="Y62" s="1589"/>
      <c r="Z62" s="1589"/>
      <c r="AA62" s="1589"/>
      <c r="AB62" s="1589"/>
      <c r="AC62" s="1589"/>
    </row>
    <row r="63" s="1494" customFormat="1" spans="1:29">
      <c r="A63" s="1553" t="s">
        <v>1553</v>
      </c>
      <c r="B63" s="410" t="e">
        <f t="shared" si="17"/>
        <v>#REF!</v>
      </c>
      <c r="C63" s="998">
        <f t="shared" si="16"/>
        <v>0</v>
      </c>
      <c r="D63" s="1554">
        <v>0.25</v>
      </c>
      <c r="E63" s="409">
        <f>'数据-汇总表'!E14</f>
        <v>0</v>
      </c>
      <c r="F63" s="1839" t="e">
        <f t="shared" si="15"/>
        <v>#REF!</v>
      </c>
      <c r="G63" s="1560" t="s">
        <v>1544</v>
      </c>
      <c r="H63" s="1557">
        <f>项目基本情况!B37</f>
        <v>0</v>
      </c>
      <c r="I63" s="1844">
        <f>SUMIF(修正!A57:A68,H63,修正!G57:G68)</f>
        <v>0</v>
      </c>
      <c r="J63" s="1846"/>
      <c r="K63" s="717"/>
      <c r="L63" s="1589"/>
      <c r="M63" s="1589"/>
      <c r="N63" s="1589"/>
      <c r="O63" s="1589"/>
      <c r="P63" s="1589"/>
      <c r="Q63" s="1589"/>
      <c r="R63" s="1589"/>
      <c r="S63" s="1589"/>
      <c r="T63" s="1589"/>
      <c r="U63" s="1589"/>
      <c r="V63" s="1589"/>
      <c r="W63" s="1589"/>
      <c r="X63" s="1589"/>
      <c r="Y63" s="1589"/>
      <c r="Z63" s="1589"/>
      <c r="AA63" s="1589"/>
      <c r="AB63" s="1589"/>
      <c r="AC63" s="1589"/>
    </row>
    <row r="64" s="1494" customFormat="1" ht="14.75" spans="1:29">
      <c r="A64" s="1553" t="s">
        <v>1554</v>
      </c>
      <c r="B64" s="410" t="e">
        <f t="shared" si="17"/>
        <v>#REF!</v>
      </c>
      <c r="C64" s="998">
        <f t="shared" si="16"/>
        <v>0</v>
      </c>
      <c r="D64" s="1554">
        <v>0.25</v>
      </c>
      <c r="E64" s="409">
        <f>'数据-汇总表'!E15</f>
        <v>0</v>
      </c>
      <c r="F64" s="1839" t="e">
        <f t="shared" si="15"/>
        <v>#REF!</v>
      </c>
      <c r="G64" s="1562" t="s">
        <v>1548</v>
      </c>
      <c r="H64" s="1563">
        <f>项目基本情况!C37</f>
        <v>0</v>
      </c>
      <c r="I64" s="1847">
        <f>SUMIF(修正!A57:A68,H64,修正!G57:G68)</f>
        <v>0</v>
      </c>
      <c r="J64" s="1848"/>
      <c r="K64" s="710"/>
      <c r="L64" s="1589"/>
      <c r="M64" s="1589"/>
      <c r="N64" s="1589"/>
      <c r="O64" s="1589"/>
      <c r="P64" s="1589"/>
      <c r="Q64" s="1589"/>
      <c r="R64" s="1589"/>
      <c r="S64" s="1589"/>
      <c r="T64" s="1589"/>
      <c r="U64" s="1589"/>
      <c r="V64" s="1589"/>
      <c r="W64" s="1589"/>
      <c r="X64" s="1589"/>
      <c r="Y64" s="1589"/>
      <c r="Z64" s="1589"/>
      <c r="AA64" s="1589"/>
      <c r="AB64" s="1589"/>
      <c r="AC64" s="1589"/>
    </row>
    <row r="65" s="1494" customFormat="1" ht="13.75" spans="1:29">
      <c r="A65" s="1564" t="s">
        <v>1555</v>
      </c>
      <c r="B65" s="1565" t="s">
        <v>1556</v>
      </c>
      <c r="C65" s="1565" t="s">
        <v>1556</v>
      </c>
      <c r="D65" s="1565" t="s">
        <v>1556</v>
      </c>
      <c r="E65" s="1565">
        <f>IF(B46="楼面地价",SUM(E56:E64),'数据-汇总表'!D3)</f>
        <v>3013</v>
      </c>
      <c r="F65" s="1566" t="e">
        <f>IF(B46="楼面地价",SUM(F56:F64),ROUND(C48*E65/10000,0))</f>
        <v>#REF!</v>
      </c>
      <c r="G65" s="1850"/>
      <c r="H65" s="1850"/>
      <c r="I65" s="1850"/>
      <c r="J65" s="1850"/>
      <c r="K65" s="1852"/>
      <c r="L65" s="1589"/>
      <c r="M65" s="1589"/>
      <c r="N65" s="1589"/>
      <c r="O65" s="1589"/>
      <c r="P65" s="1589"/>
      <c r="Q65" s="1589"/>
      <c r="R65" s="1589"/>
      <c r="S65" s="1589"/>
      <c r="T65" s="1589"/>
      <c r="U65" s="1589"/>
      <c r="V65" s="1589"/>
      <c r="W65" s="1589"/>
      <c r="X65" s="1589"/>
      <c r="Y65" s="1589"/>
      <c r="Z65" s="1589"/>
      <c r="AA65" s="1589"/>
      <c r="AB65" s="1589"/>
      <c r="AC65" s="1589"/>
    </row>
    <row r="66" spans="1:29">
      <c r="A66" s="721"/>
      <c r="B66" s="1571"/>
      <c r="C66" s="1541"/>
      <c r="D66" s="721"/>
      <c r="E66" s="721"/>
      <c r="F66" s="721"/>
      <c r="G66" s="721"/>
      <c r="H66" s="721"/>
      <c r="I66" s="721"/>
      <c r="J66" s="1568"/>
      <c r="K66" s="1591"/>
      <c r="L66" s="1592"/>
      <c r="M66" s="1568"/>
      <c r="N66" s="1568"/>
      <c r="O66" s="1568"/>
      <c r="P66" s="710"/>
      <c r="Q66" s="710"/>
      <c r="R66" s="710"/>
      <c r="S66" s="710"/>
      <c r="T66" s="710"/>
      <c r="U66" s="710"/>
      <c r="V66" s="710"/>
      <c r="W66" s="710"/>
      <c r="X66" s="710"/>
      <c r="Y66" s="710"/>
      <c r="Z66" s="710"/>
      <c r="AA66" s="710"/>
      <c r="AB66" s="710"/>
      <c r="AC66" s="710"/>
    </row>
    <row r="67" spans="1:29">
      <c r="A67" s="721"/>
      <c r="B67" s="1571"/>
      <c r="C67" s="1571" t="str">
        <f>YEAR(C7)&amp;"-"&amp;MONTH(C7)&amp;"-1"</f>
        <v>2024-9-1</v>
      </c>
      <c r="D67" s="1571">
        <f>EDATE(C67,-3)</f>
        <v>45444</v>
      </c>
      <c r="E67" s="1571">
        <f>EDATE(D67,-3)</f>
        <v>45352</v>
      </c>
      <c r="F67" s="1571">
        <f t="shared" ref="F67:O67" si="18">EDATE(E67,-3)</f>
        <v>45261</v>
      </c>
      <c r="G67" s="1571">
        <f t="shared" si="18"/>
        <v>45170</v>
      </c>
      <c r="H67" s="1571">
        <f t="shared" si="18"/>
        <v>45078</v>
      </c>
      <c r="I67" s="1571">
        <f t="shared" si="18"/>
        <v>44986</v>
      </c>
      <c r="J67" s="1571">
        <f t="shared" si="18"/>
        <v>44896</v>
      </c>
      <c r="K67" s="1571">
        <f t="shared" si="18"/>
        <v>44805</v>
      </c>
      <c r="L67" s="1571">
        <f t="shared" si="18"/>
        <v>44713</v>
      </c>
      <c r="M67" s="1571">
        <f t="shared" si="18"/>
        <v>44621</v>
      </c>
      <c r="N67" s="1571">
        <f t="shared" si="18"/>
        <v>44531</v>
      </c>
      <c r="O67" s="1571">
        <f t="shared" si="18"/>
        <v>44440</v>
      </c>
      <c r="P67" s="710"/>
      <c r="Q67" s="710"/>
      <c r="R67" s="710"/>
      <c r="S67" s="710"/>
      <c r="T67" s="710"/>
      <c r="U67" s="710"/>
      <c r="V67" s="710"/>
      <c r="W67" s="710"/>
      <c r="X67" s="710"/>
      <c r="Y67" s="710"/>
      <c r="Z67" s="710"/>
      <c r="AA67" s="710"/>
      <c r="AB67" s="710"/>
      <c r="AC67" s="710"/>
    </row>
    <row r="68" ht="21.75" spans="1:29">
      <c r="A68" s="720" t="s">
        <v>1221</v>
      </c>
      <c r="B68" s="721"/>
      <c r="C68" s="722"/>
      <c r="D68" s="722"/>
      <c r="E68" s="722"/>
      <c r="F68" s="723"/>
      <c r="G68" s="723"/>
      <c r="H68" s="722"/>
      <c r="I68" s="722"/>
      <c r="J68" s="795"/>
      <c r="K68" s="1853"/>
      <c r="L68" s="794"/>
      <c r="M68" s="795"/>
      <c r="N68" s="796"/>
      <c r="O68" s="796"/>
      <c r="P68" s="796"/>
      <c r="Q68" s="843"/>
      <c r="R68" s="710"/>
      <c r="S68" s="710"/>
      <c r="T68" s="710"/>
      <c r="U68" s="710"/>
      <c r="V68" s="710"/>
      <c r="W68" s="710"/>
      <c r="X68" s="710"/>
      <c r="Y68" s="710"/>
      <c r="Z68" s="710"/>
      <c r="AA68" s="710"/>
      <c r="AB68" s="710"/>
      <c r="AC68" s="710"/>
    </row>
    <row r="69" s="572" customFormat="1" spans="1:29">
      <c r="A69" s="1603" t="s">
        <v>1557</v>
      </c>
      <c r="B69" s="1604"/>
      <c r="C69" s="1605" t="str">
        <f>YEAR(C67)&amp;"-"&amp;ROUNDUP(MONTH(C67)/3,0)</f>
        <v>2024-3</v>
      </c>
      <c r="D69" s="1605" t="str">
        <f>YEAR(D67)&amp;"-"&amp;ROUNDUP(MONTH(D67)/3,0)</f>
        <v>2024-2</v>
      </c>
      <c r="E69" s="1605" t="str">
        <f t="shared" ref="E69:O69" si="19">YEAR(E67)&amp;"-"&amp;ROUNDUP(MONTH(E67)/3,0)</f>
        <v>2024-1</v>
      </c>
      <c r="F69" s="1605" t="str">
        <f t="shared" si="19"/>
        <v>2023-4</v>
      </c>
      <c r="G69" s="1605" t="str">
        <f t="shared" si="19"/>
        <v>2023-3</v>
      </c>
      <c r="H69" s="1605" t="str">
        <f t="shared" si="19"/>
        <v>2023-2</v>
      </c>
      <c r="I69" s="1605" t="str">
        <f t="shared" si="19"/>
        <v>2023-1</v>
      </c>
      <c r="J69" s="1605" t="str">
        <f t="shared" si="19"/>
        <v>2022-4</v>
      </c>
      <c r="K69" s="1605" t="str">
        <f t="shared" si="19"/>
        <v>2022-3</v>
      </c>
      <c r="L69" s="1605" t="str">
        <f t="shared" si="19"/>
        <v>2022-2</v>
      </c>
      <c r="M69" s="1605" t="str">
        <f t="shared" si="19"/>
        <v>2022-1</v>
      </c>
      <c r="N69" s="1605" t="str">
        <f t="shared" si="19"/>
        <v>2021-4</v>
      </c>
      <c r="O69" s="1605" t="str">
        <f t="shared" si="19"/>
        <v>2021-3</v>
      </c>
      <c r="P69" s="1613"/>
      <c r="Q69" s="844"/>
      <c r="R69" s="844"/>
      <c r="S69" s="844"/>
      <c r="T69" s="844"/>
      <c r="U69" s="844"/>
      <c r="V69" s="844"/>
      <c r="W69" s="844"/>
      <c r="X69" s="844"/>
      <c r="Y69" s="844"/>
      <c r="Z69" s="844"/>
      <c r="AA69" s="844"/>
      <c r="AB69" s="844"/>
      <c r="AC69" s="844"/>
    </row>
    <row r="70" s="568" customFormat="1" ht="30" customHeight="1" spans="1:29">
      <c r="A70" s="1851" t="s">
        <v>1558</v>
      </c>
      <c r="B70" s="1607" t="str">
        <f>"北京市平均增长率"&amp;TEXT(SUMIF(基准地价修正!N25:N29,A70,基准地价修正!P25:P29),"0.00%")</f>
        <v>北京市平均增长率0.00%</v>
      </c>
      <c r="C70" s="899">
        <v>100</v>
      </c>
      <c r="D70" s="897">
        <v>100</v>
      </c>
      <c r="E70" s="897">
        <v>100</v>
      </c>
      <c r="F70" s="897">
        <v>100</v>
      </c>
      <c r="G70" s="897">
        <v>100</v>
      </c>
      <c r="H70" s="897">
        <v>100</v>
      </c>
      <c r="I70" s="897">
        <v>100</v>
      </c>
      <c r="J70" s="897">
        <v>100</v>
      </c>
      <c r="K70" s="897">
        <v>100</v>
      </c>
      <c r="L70" s="897">
        <v>100</v>
      </c>
      <c r="M70" s="897">
        <v>100</v>
      </c>
      <c r="N70" s="897">
        <v>100</v>
      </c>
      <c r="O70" s="897">
        <v>100</v>
      </c>
      <c r="P70" s="843"/>
      <c r="Q70" s="845"/>
      <c r="R70" s="845"/>
      <c r="S70" s="845"/>
      <c r="T70" s="845"/>
      <c r="U70" s="845"/>
      <c r="V70" s="845"/>
      <c r="W70" s="845"/>
      <c r="X70" s="845"/>
      <c r="Y70" s="845"/>
      <c r="Z70" s="845"/>
      <c r="AA70" s="845"/>
      <c r="AB70" s="845"/>
      <c r="AC70" s="845"/>
    </row>
    <row r="71" s="568" customFormat="1" ht="14.75" spans="1:29">
      <c r="A71" s="732" t="s">
        <v>1222</v>
      </c>
      <c r="B71" s="733"/>
      <c r="C71" s="734"/>
      <c r="D71" s="735"/>
      <c r="E71" s="735"/>
      <c r="F71" s="735"/>
      <c r="G71" s="735"/>
      <c r="H71" s="735"/>
      <c r="I71" s="735"/>
      <c r="J71" s="735"/>
      <c r="K71" s="735"/>
      <c r="L71" s="735"/>
      <c r="M71" s="801"/>
      <c r="N71" s="735"/>
      <c r="O71" s="1854"/>
      <c r="P71" s="843"/>
      <c r="Q71" s="843"/>
      <c r="R71" s="845"/>
      <c r="S71" s="845"/>
      <c r="T71" s="845"/>
      <c r="U71" s="845"/>
      <c r="V71" s="845"/>
      <c r="W71" s="845"/>
      <c r="X71" s="845"/>
      <c r="Y71" s="845"/>
      <c r="Z71" s="845"/>
      <c r="AA71" s="845"/>
      <c r="AB71" s="845"/>
      <c r="AC71" s="845"/>
    </row>
    <row r="72" s="568" customFormat="1" spans="1:29">
      <c r="A72" s="736" t="s">
        <v>1175</v>
      </c>
      <c r="B72" s="729"/>
      <c r="C72" s="737" t="s">
        <v>1223</v>
      </c>
      <c r="D72" s="739"/>
      <c r="E72" s="739"/>
      <c r="F72" s="739"/>
      <c r="G72" s="739"/>
      <c r="H72" s="739"/>
      <c r="I72" s="739"/>
      <c r="J72" s="739"/>
      <c r="K72" s="739"/>
      <c r="L72" s="802"/>
      <c r="M72" s="803"/>
      <c r="N72" s="804"/>
      <c r="O72" s="804"/>
      <c r="P72" s="1617"/>
      <c r="Q72" s="843"/>
      <c r="R72" s="845"/>
      <c r="S72" s="845"/>
      <c r="T72" s="845"/>
      <c r="U72" s="845"/>
      <c r="V72" s="845"/>
      <c r="W72" s="845"/>
      <c r="X72" s="845"/>
      <c r="Y72" s="845"/>
      <c r="Z72" s="845"/>
      <c r="AA72" s="845"/>
      <c r="AB72" s="845"/>
      <c r="AC72" s="845"/>
    </row>
    <row r="73" s="568" customFormat="1" ht="14.75" spans="1:29">
      <c r="A73" s="736"/>
      <c r="B73" s="729"/>
      <c r="C73" s="1608">
        <v>100</v>
      </c>
      <c r="D73" s="731"/>
      <c r="E73" s="731"/>
      <c r="F73" s="731"/>
      <c r="G73" s="731"/>
      <c r="H73" s="731"/>
      <c r="I73" s="731"/>
      <c r="J73" s="731"/>
      <c r="K73" s="731"/>
      <c r="L73" s="731"/>
      <c r="M73" s="806"/>
      <c r="N73" s="804"/>
      <c r="O73" s="804"/>
      <c r="P73" s="843"/>
      <c r="Q73" s="843"/>
      <c r="R73" s="845"/>
      <c r="S73" s="845"/>
      <c r="T73" s="845"/>
      <c r="U73" s="845"/>
      <c r="V73" s="845"/>
      <c r="W73" s="845"/>
      <c r="X73" s="845"/>
      <c r="Y73" s="845"/>
      <c r="Z73" s="845"/>
      <c r="AA73" s="845"/>
      <c r="AB73" s="845"/>
      <c r="AC73" s="845"/>
    </row>
    <row r="74" spans="1:29">
      <c r="A74" s="741" t="s">
        <v>1224</v>
      </c>
      <c r="B74" s="742" t="s">
        <v>1179</v>
      </c>
      <c r="C74" s="745"/>
      <c r="D74" s="745"/>
      <c r="E74" s="745"/>
      <c r="F74" s="745"/>
      <c r="G74" s="745"/>
      <c r="H74" s="745"/>
      <c r="I74" s="745"/>
      <c r="J74" s="745"/>
      <c r="K74" s="807"/>
      <c r="L74" s="808"/>
      <c r="M74" s="809"/>
      <c r="N74" s="810"/>
      <c r="O74" s="810"/>
      <c r="P74" s="1618"/>
      <c r="Q74" s="843"/>
      <c r="R74" s="710"/>
      <c r="S74" s="710"/>
      <c r="T74" s="710"/>
      <c r="U74" s="710"/>
      <c r="V74" s="710"/>
      <c r="W74" s="710"/>
      <c r="X74" s="710"/>
      <c r="Y74" s="710"/>
      <c r="Z74" s="710"/>
      <c r="AA74" s="710"/>
      <c r="AB74" s="710"/>
      <c r="AC74" s="710"/>
    </row>
    <row r="75" ht="14.75" spans="1:29">
      <c r="A75" s="864"/>
      <c r="B75" s="865"/>
      <c r="C75" s="866"/>
      <c r="D75" s="866"/>
      <c r="E75" s="866"/>
      <c r="F75" s="866"/>
      <c r="G75" s="866"/>
      <c r="H75" s="866"/>
      <c r="I75" s="866"/>
      <c r="J75" s="866"/>
      <c r="K75" s="866"/>
      <c r="L75" s="866"/>
      <c r="M75" s="903"/>
      <c r="N75" s="904"/>
      <c r="O75" s="904"/>
      <c r="P75" s="1618"/>
      <c r="Q75" s="843"/>
      <c r="R75" s="710"/>
      <c r="S75" s="710"/>
      <c r="T75" s="710"/>
      <c r="U75" s="710"/>
      <c r="V75" s="710"/>
      <c r="W75" s="710"/>
      <c r="X75" s="710"/>
      <c r="Y75" s="710"/>
      <c r="Z75" s="710"/>
      <c r="AA75" s="710"/>
      <c r="AB75" s="710"/>
      <c r="AC75" s="710"/>
    </row>
    <row r="76" ht="28.75" spans="1:29">
      <c r="A76" s="864"/>
      <c r="B76" s="867" t="s">
        <v>1184</v>
      </c>
      <c r="C76" s="887"/>
      <c r="D76" s="887"/>
      <c r="E76" s="887"/>
      <c r="F76" s="887"/>
      <c r="G76" s="887"/>
      <c r="H76" s="887"/>
      <c r="I76" s="887"/>
      <c r="J76" s="887"/>
      <c r="K76" s="926"/>
      <c r="L76" s="927"/>
      <c r="M76" s="928"/>
      <c r="N76" s="810"/>
      <c r="O76" s="810"/>
      <c r="P76" s="1618"/>
      <c r="Q76" s="843"/>
      <c r="R76" s="710"/>
      <c r="S76" s="710"/>
      <c r="T76" s="710"/>
      <c r="U76" s="710"/>
      <c r="V76" s="710"/>
      <c r="W76" s="710"/>
      <c r="X76" s="710"/>
      <c r="Y76" s="710"/>
      <c r="Z76" s="710"/>
      <c r="AA76" s="710"/>
      <c r="AB76" s="710"/>
      <c r="AC76" s="710"/>
    </row>
    <row r="77" ht="14.75" spans="1:29">
      <c r="A77" s="864"/>
      <c r="B77" s="869"/>
      <c r="C77" s="874"/>
      <c r="D77" s="874"/>
      <c r="E77" s="874"/>
      <c r="F77" s="874"/>
      <c r="G77" s="874"/>
      <c r="H77" s="874"/>
      <c r="I77" s="874"/>
      <c r="J77" s="874"/>
      <c r="K77" s="874"/>
      <c r="L77" s="874"/>
      <c r="M77" s="911"/>
      <c r="N77" s="904"/>
      <c r="O77" s="904"/>
      <c r="P77" s="1618"/>
      <c r="Q77" s="843"/>
      <c r="R77" s="710"/>
      <c r="S77" s="710"/>
      <c r="T77" s="710"/>
      <c r="U77" s="710"/>
      <c r="V77" s="710"/>
      <c r="W77" s="710"/>
      <c r="X77" s="710"/>
      <c r="Y77" s="710"/>
      <c r="Z77" s="710"/>
      <c r="AA77" s="710"/>
      <c r="AB77" s="710"/>
      <c r="AC77" s="710"/>
    </row>
    <row r="78" ht="14.75" spans="1:29">
      <c r="A78" s="864"/>
      <c r="B78" s="870" t="s">
        <v>1185</v>
      </c>
      <c r="C78" s="871" t="str">
        <f>C79&amp;"（含）"&amp;"-"&amp;D79</f>
        <v>0（含）-1</v>
      </c>
      <c r="D78" s="871" t="str">
        <f t="shared" ref="D78:L78" si="20">D79&amp;"（含）"&amp;"-"&amp;E79</f>
        <v>1（含）-2</v>
      </c>
      <c r="E78" s="871" t="str">
        <f t="shared" si="20"/>
        <v>2（含）-3</v>
      </c>
      <c r="F78" s="871" t="str">
        <f t="shared" si="20"/>
        <v>3（含）-4</v>
      </c>
      <c r="G78" s="871" t="str">
        <f t="shared" si="20"/>
        <v>4（含）-5</v>
      </c>
      <c r="H78" s="871" t="str">
        <f t="shared" si="20"/>
        <v>5（含）-</v>
      </c>
      <c r="I78" s="871" t="str">
        <f t="shared" si="20"/>
        <v>（含）-</v>
      </c>
      <c r="J78" s="871" t="str">
        <f t="shared" si="20"/>
        <v>（含）-</v>
      </c>
      <c r="K78" s="871" t="str">
        <f t="shared" si="20"/>
        <v>（含）-</v>
      </c>
      <c r="L78" s="871" t="str">
        <f t="shared" si="20"/>
        <v>（含）-</v>
      </c>
      <c r="M78" s="657" t="str">
        <f>M79&amp;"（含）"&amp;"-"&amp;P79</f>
        <v>（含）-</v>
      </c>
      <c r="N78" s="904"/>
      <c r="O78" s="904"/>
      <c r="P78" s="1618"/>
      <c r="Q78" s="843"/>
      <c r="R78" s="710"/>
      <c r="S78" s="710"/>
      <c r="T78" s="710"/>
      <c r="U78" s="710"/>
      <c r="V78" s="710"/>
      <c r="W78" s="710"/>
      <c r="X78" s="710"/>
      <c r="Y78" s="710"/>
      <c r="Z78" s="710"/>
      <c r="AA78" s="710"/>
      <c r="AB78" s="710"/>
      <c r="AC78" s="710"/>
    </row>
    <row r="79" spans="1:29">
      <c r="A79" s="864"/>
      <c r="B79" s="872"/>
      <c r="C79" s="873">
        <v>0</v>
      </c>
      <c r="D79" s="873">
        <v>1</v>
      </c>
      <c r="E79" s="873">
        <v>2</v>
      </c>
      <c r="F79" s="873">
        <v>3</v>
      </c>
      <c r="G79" s="873">
        <v>4</v>
      </c>
      <c r="H79" s="873">
        <v>5</v>
      </c>
      <c r="I79" s="873"/>
      <c r="J79" s="873"/>
      <c r="K79" s="908"/>
      <c r="L79" s="909"/>
      <c r="M79" s="910"/>
      <c r="N79" s="810"/>
      <c r="O79" s="810"/>
      <c r="P79" s="1618"/>
      <c r="Q79" s="843"/>
      <c r="R79" s="710"/>
      <c r="S79" s="710"/>
      <c r="T79" s="710"/>
      <c r="U79" s="710"/>
      <c r="V79" s="710"/>
      <c r="W79" s="710"/>
      <c r="X79" s="710"/>
      <c r="Y79" s="710"/>
      <c r="Z79" s="710"/>
      <c r="AA79" s="710"/>
      <c r="AB79" s="710"/>
      <c r="AC79" s="710"/>
    </row>
    <row r="80" ht="14.75" spans="1:29">
      <c r="A80" s="864"/>
      <c r="B80" s="865"/>
      <c r="C80" s="874">
        <v>100</v>
      </c>
      <c r="D80" s="874">
        <f t="shared" ref="D80:M80" si="21">IF($B$46="单位面积地价",C80+$K11,C80-$K11)</f>
        <v>98</v>
      </c>
      <c r="E80" s="874">
        <f t="shared" si="21"/>
        <v>96</v>
      </c>
      <c r="F80" s="874">
        <f t="shared" si="21"/>
        <v>94</v>
      </c>
      <c r="G80" s="874">
        <f t="shared" si="21"/>
        <v>92</v>
      </c>
      <c r="H80" s="874">
        <f t="shared" si="21"/>
        <v>90</v>
      </c>
      <c r="I80" s="874">
        <f t="shared" si="21"/>
        <v>88</v>
      </c>
      <c r="J80" s="874">
        <f t="shared" si="21"/>
        <v>86</v>
      </c>
      <c r="K80" s="874">
        <f t="shared" si="21"/>
        <v>84</v>
      </c>
      <c r="L80" s="874">
        <f t="shared" si="21"/>
        <v>82</v>
      </c>
      <c r="M80" s="874">
        <f t="shared" si="21"/>
        <v>80</v>
      </c>
      <c r="N80" s="904"/>
      <c r="O80" s="904"/>
      <c r="P80" s="1618"/>
      <c r="Q80" s="843"/>
      <c r="R80" s="710"/>
      <c r="S80" s="710"/>
      <c r="T80" s="710"/>
      <c r="U80" s="710"/>
      <c r="V80" s="710"/>
      <c r="W80" s="710"/>
      <c r="X80" s="710"/>
      <c r="Y80" s="710"/>
      <c r="Z80" s="710"/>
      <c r="AA80" s="710"/>
      <c r="AB80" s="710"/>
      <c r="AC80" s="710"/>
    </row>
    <row r="81" s="570" customFormat="1" ht="14.75" spans="1:29">
      <c r="A81" s="875"/>
      <c r="B81" s="867" t="str">
        <f>B12</f>
        <v>配建</v>
      </c>
      <c r="C81" s="876"/>
      <c r="D81" s="876"/>
      <c r="E81" s="876"/>
      <c r="F81" s="876"/>
      <c r="G81" s="876"/>
      <c r="H81" s="877"/>
      <c r="I81" s="877"/>
      <c r="J81" s="877"/>
      <c r="K81" s="877"/>
      <c r="L81" s="912"/>
      <c r="M81" s="913"/>
      <c r="N81" s="914"/>
      <c r="O81" s="914"/>
      <c r="P81" s="1619"/>
      <c r="Q81" s="947"/>
      <c r="R81" s="948"/>
      <c r="S81" s="948"/>
      <c r="T81" s="948"/>
      <c r="U81" s="948"/>
      <c r="V81" s="948"/>
      <c r="W81" s="948"/>
      <c r="X81" s="948"/>
      <c r="Y81" s="948"/>
      <c r="Z81" s="948"/>
      <c r="AA81" s="948"/>
      <c r="AB81" s="948"/>
      <c r="AC81" s="948"/>
    </row>
    <row r="82" s="570" customFormat="1" ht="14.75" spans="1:29">
      <c r="A82" s="875"/>
      <c r="B82" s="869"/>
      <c r="C82" s="878"/>
      <c r="D82" s="866"/>
      <c r="E82" s="866"/>
      <c r="F82" s="866"/>
      <c r="G82" s="866"/>
      <c r="H82" s="866"/>
      <c r="I82" s="866"/>
      <c r="J82" s="866"/>
      <c r="K82" s="866"/>
      <c r="L82" s="866"/>
      <c r="M82" s="903"/>
      <c r="N82" s="904"/>
      <c r="O82" s="904"/>
      <c r="P82" s="1619"/>
      <c r="Q82" s="947"/>
      <c r="R82" s="948"/>
      <c r="S82" s="948"/>
      <c r="T82" s="948"/>
      <c r="U82" s="948"/>
      <c r="V82" s="948"/>
      <c r="W82" s="948"/>
      <c r="X82" s="948"/>
      <c r="Y82" s="948"/>
      <c r="Z82" s="948"/>
      <c r="AA82" s="948"/>
      <c r="AB82" s="948"/>
      <c r="AC82" s="948"/>
    </row>
    <row r="83" s="570" customFormat="1" ht="14.75" spans="1:29">
      <c r="A83" s="875"/>
      <c r="B83" s="867" t="str">
        <f>B13</f>
        <v>溢价</v>
      </c>
      <c r="C83" s="901" t="s">
        <v>558</v>
      </c>
      <c r="D83" s="901" t="s">
        <v>1388</v>
      </c>
      <c r="E83" s="876"/>
      <c r="F83" s="876"/>
      <c r="G83" s="876"/>
      <c r="H83" s="877"/>
      <c r="I83" s="877"/>
      <c r="J83" s="877"/>
      <c r="K83" s="877"/>
      <c r="L83" s="912"/>
      <c r="M83" s="913"/>
      <c r="N83" s="914"/>
      <c r="O83" s="914"/>
      <c r="P83" s="777"/>
      <c r="Q83" s="949"/>
      <c r="R83" s="948"/>
      <c r="S83" s="948"/>
      <c r="T83" s="948"/>
      <c r="U83" s="948"/>
      <c r="V83" s="948"/>
      <c r="W83" s="948"/>
      <c r="X83" s="948"/>
      <c r="Y83" s="948"/>
      <c r="Z83" s="948"/>
      <c r="AA83" s="948"/>
      <c r="AB83" s="948"/>
      <c r="AC83" s="948"/>
    </row>
    <row r="84" s="570" customFormat="1" ht="14.75" spans="1:29">
      <c r="A84" s="875"/>
      <c r="B84" s="869"/>
      <c r="C84" s="878">
        <v>103</v>
      </c>
      <c r="D84" s="878">
        <v>100</v>
      </c>
      <c r="E84" s="878"/>
      <c r="F84" s="878"/>
      <c r="G84" s="878"/>
      <c r="H84" s="879"/>
      <c r="I84" s="879"/>
      <c r="J84" s="879"/>
      <c r="K84" s="879"/>
      <c r="L84" s="879"/>
      <c r="M84" s="917"/>
      <c r="N84" s="914"/>
      <c r="O84" s="914"/>
      <c r="P84" s="1619"/>
      <c r="Q84" s="947"/>
      <c r="R84" s="948"/>
      <c r="S84" s="948"/>
      <c r="T84" s="948"/>
      <c r="U84" s="948"/>
      <c r="V84" s="948"/>
      <c r="W84" s="948"/>
      <c r="X84" s="948"/>
      <c r="Y84" s="948"/>
      <c r="Z84" s="948"/>
      <c r="AA84" s="948"/>
      <c r="AB84" s="948"/>
      <c r="AC84" s="948"/>
    </row>
    <row r="85" s="570" customFormat="1" ht="14.75" spans="1:29">
      <c r="A85" s="875"/>
      <c r="B85" s="870">
        <f>B14</f>
        <v>111</v>
      </c>
      <c r="C85" s="739"/>
      <c r="D85" s="739"/>
      <c r="E85" s="739"/>
      <c r="F85" s="739"/>
      <c r="G85" s="739"/>
      <c r="H85" s="880"/>
      <c r="I85" s="880"/>
      <c r="J85" s="880"/>
      <c r="K85" s="880"/>
      <c r="L85" s="918"/>
      <c r="M85" s="919"/>
      <c r="N85" s="914"/>
      <c r="O85" s="914"/>
      <c r="P85" s="1620"/>
      <c r="Q85" s="947"/>
      <c r="R85" s="948"/>
      <c r="S85" s="948"/>
      <c r="T85" s="948"/>
      <c r="U85" s="948"/>
      <c r="V85" s="948"/>
      <c r="W85" s="948"/>
      <c r="X85" s="948"/>
      <c r="Y85" s="948"/>
      <c r="Z85" s="948"/>
      <c r="AA85" s="948"/>
      <c r="AB85" s="948"/>
      <c r="AC85" s="948"/>
    </row>
    <row r="86" s="570" customFormat="1" ht="14.75" spans="1:29">
      <c r="A86" s="881"/>
      <c r="B86" s="882"/>
      <c r="C86" s="883"/>
      <c r="D86" s="883"/>
      <c r="E86" s="883"/>
      <c r="F86" s="883"/>
      <c r="G86" s="883"/>
      <c r="H86" s="884"/>
      <c r="I86" s="884"/>
      <c r="J86" s="884"/>
      <c r="K86" s="884"/>
      <c r="L86" s="884"/>
      <c r="M86" s="921"/>
      <c r="N86" s="914"/>
      <c r="O86" s="914"/>
      <c r="P86" s="1619"/>
      <c r="Q86" s="947"/>
      <c r="R86" s="948"/>
      <c r="S86" s="948"/>
      <c r="T86" s="948"/>
      <c r="U86" s="948"/>
      <c r="V86" s="948"/>
      <c r="W86" s="948"/>
      <c r="X86" s="948"/>
      <c r="Y86" s="948"/>
      <c r="Z86" s="948"/>
      <c r="AA86" s="948"/>
      <c r="AB86" s="948"/>
      <c r="AC86" s="948"/>
    </row>
    <row r="87" spans="1:29">
      <c r="A87" s="741" t="s">
        <v>1186</v>
      </c>
      <c r="B87" s="742" t="s">
        <v>1456</v>
      </c>
      <c r="C87" s="885" t="s">
        <v>1225</v>
      </c>
      <c r="D87" s="885" t="s">
        <v>1226</v>
      </c>
      <c r="E87" s="885" t="s">
        <v>1227</v>
      </c>
      <c r="F87" s="885" t="s">
        <v>1228</v>
      </c>
      <c r="G87" s="885" t="s">
        <v>1229</v>
      </c>
      <c r="H87" s="743"/>
      <c r="I87" s="743"/>
      <c r="J87" s="743"/>
      <c r="K87" s="922"/>
      <c r="L87" s="923"/>
      <c r="M87" s="924"/>
      <c r="N87" s="810"/>
      <c r="O87" s="810"/>
      <c r="P87" s="1621"/>
      <c r="Q87" s="843"/>
      <c r="R87" s="710"/>
      <c r="S87" s="710"/>
      <c r="T87" s="710"/>
      <c r="U87" s="710"/>
      <c r="V87" s="710"/>
      <c r="W87" s="710"/>
      <c r="X87" s="710"/>
      <c r="Y87" s="710"/>
      <c r="Z87" s="710"/>
      <c r="AA87" s="710"/>
      <c r="AB87" s="710"/>
      <c r="AC87" s="710"/>
    </row>
    <row r="88" ht="14.75" spans="1:29">
      <c r="A88" s="864"/>
      <c r="B88" s="869"/>
      <c r="C88" s="874">
        <v>100</v>
      </c>
      <c r="D88" s="874">
        <f>C88-$K15</f>
        <v>100</v>
      </c>
      <c r="E88" s="874">
        <f>D88-$K15</f>
        <v>100</v>
      </c>
      <c r="F88" s="874">
        <f>E88-$K15</f>
        <v>100</v>
      </c>
      <c r="G88" s="874">
        <f>F88-$K15</f>
        <v>100</v>
      </c>
      <c r="H88" s="874"/>
      <c r="I88" s="874"/>
      <c r="J88" s="874"/>
      <c r="K88" s="874"/>
      <c r="L88" s="874"/>
      <c r="M88" s="911"/>
      <c r="N88" s="904"/>
      <c r="O88" s="904"/>
      <c r="P88" s="1618"/>
      <c r="Q88" s="843"/>
      <c r="R88" s="710"/>
      <c r="S88" s="710"/>
      <c r="T88" s="710"/>
      <c r="U88" s="710"/>
      <c r="V88" s="710"/>
      <c r="W88" s="710"/>
      <c r="X88" s="710"/>
      <c r="Y88" s="710"/>
      <c r="Z88" s="710"/>
      <c r="AA88" s="710"/>
      <c r="AB88" s="710"/>
      <c r="AC88" s="710"/>
    </row>
    <row r="89" ht="14.75" spans="1:29">
      <c r="A89" s="864"/>
      <c r="B89" s="867" t="s">
        <v>1483</v>
      </c>
      <c r="C89" s="886" t="s">
        <v>1225</v>
      </c>
      <c r="D89" s="886" t="s">
        <v>1226</v>
      </c>
      <c r="E89" s="886" t="s">
        <v>1227</v>
      </c>
      <c r="F89" s="886" t="s">
        <v>1228</v>
      </c>
      <c r="G89" s="886" t="s">
        <v>1229</v>
      </c>
      <c r="H89" s="887"/>
      <c r="I89" s="887"/>
      <c r="J89" s="887"/>
      <c r="K89" s="926"/>
      <c r="L89" s="927"/>
      <c r="M89" s="928"/>
      <c r="N89" s="810"/>
      <c r="O89" s="810"/>
      <c r="P89" s="1618"/>
      <c r="Q89" s="843"/>
      <c r="R89" s="710"/>
      <c r="S89" s="710"/>
      <c r="T89" s="710"/>
      <c r="U89" s="710"/>
      <c r="V89" s="710"/>
      <c r="W89" s="710"/>
      <c r="X89" s="710"/>
      <c r="Y89" s="710"/>
      <c r="Z89" s="710"/>
      <c r="AA89" s="710"/>
      <c r="AB89" s="710"/>
      <c r="AC89" s="710"/>
    </row>
    <row r="90" ht="14.75" spans="1:29">
      <c r="A90" s="864"/>
      <c r="B90" s="869"/>
      <c r="C90" s="874">
        <v>100</v>
      </c>
      <c r="D90" s="874">
        <f>C90-$K17</f>
        <v>98</v>
      </c>
      <c r="E90" s="874">
        <f>D90-$K17</f>
        <v>96</v>
      </c>
      <c r="F90" s="874">
        <f>E90-$K17</f>
        <v>94</v>
      </c>
      <c r="G90" s="874">
        <f>F90-$K17</f>
        <v>92</v>
      </c>
      <c r="H90" s="874"/>
      <c r="I90" s="874"/>
      <c r="J90" s="874"/>
      <c r="K90" s="874"/>
      <c r="L90" s="874"/>
      <c r="M90" s="911"/>
      <c r="N90" s="904"/>
      <c r="O90" s="904"/>
      <c r="P90" s="1618"/>
      <c r="Q90" s="843"/>
      <c r="R90" s="710"/>
      <c r="S90" s="710"/>
      <c r="T90" s="710"/>
      <c r="U90" s="710"/>
      <c r="V90" s="710"/>
      <c r="W90" s="710"/>
      <c r="X90" s="710"/>
      <c r="Y90" s="710"/>
      <c r="Z90" s="710"/>
      <c r="AA90" s="710"/>
      <c r="AB90" s="710"/>
      <c r="AC90" s="710"/>
    </row>
    <row r="91" ht="14.75" spans="1:29">
      <c r="A91" s="864"/>
      <c r="B91" s="867" t="s">
        <v>1187</v>
      </c>
      <c r="C91" s="886" t="s">
        <v>1225</v>
      </c>
      <c r="D91" s="886" t="s">
        <v>1226</v>
      </c>
      <c r="E91" s="886" t="s">
        <v>1227</v>
      </c>
      <c r="F91" s="886" t="s">
        <v>1228</v>
      </c>
      <c r="G91" s="886" t="s">
        <v>1229</v>
      </c>
      <c r="H91" s="887"/>
      <c r="I91" s="887"/>
      <c r="J91" s="887"/>
      <c r="K91" s="926"/>
      <c r="L91" s="927"/>
      <c r="M91" s="928"/>
      <c r="N91" s="810"/>
      <c r="O91" s="810"/>
      <c r="P91" s="1618"/>
      <c r="Q91" s="843"/>
      <c r="R91" s="710"/>
      <c r="S91" s="710"/>
      <c r="T91" s="710"/>
      <c r="U91" s="710"/>
      <c r="V91" s="710"/>
      <c r="W91" s="710"/>
      <c r="X91" s="710"/>
      <c r="Y91" s="710"/>
      <c r="Z91" s="710"/>
      <c r="AA91" s="710"/>
      <c r="AB91" s="710"/>
      <c r="AC91" s="710"/>
    </row>
    <row r="92" ht="14.75" spans="1:29">
      <c r="A92" s="864"/>
      <c r="B92" s="869"/>
      <c r="C92" s="874">
        <v>100</v>
      </c>
      <c r="D92" s="874">
        <f>C92-$K19</f>
        <v>100</v>
      </c>
      <c r="E92" s="874">
        <f>D92-$K19</f>
        <v>100</v>
      </c>
      <c r="F92" s="874">
        <f>E92-$K19</f>
        <v>100</v>
      </c>
      <c r="G92" s="874">
        <f>F92-$K19</f>
        <v>100</v>
      </c>
      <c r="H92" s="874"/>
      <c r="I92" s="874"/>
      <c r="J92" s="874"/>
      <c r="K92" s="874"/>
      <c r="L92" s="874"/>
      <c r="M92" s="911"/>
      <c r="N92" s="904"/>
      <c r="O92" s="904"/>
      <c r="P92" s="1618"/>
      <c r="Q92" s="843"/>
      <c r="R92" s="710"/>
      <c r="S92" s="710"/>
      <c r="T92" s="710"/>
      <c r="U92" s="710"/>
      <c r="V92" s="710"/>
      <c r="W92" s="710"/>
      <c r="X92" s="710"/>
      <c r="Y92" s="710"/>
      <c r="Z92" s="710"/>
      <c r="AA92" s="710"/>
      <c r="AB92" s="710"/>
      <c r="AC92" s="710"/>
    </row>
    <row r="93" ht="14.75" spans="1:29">
      <c r="A93" s="864"/>
      <c r="B93" s="867" t="s">
        <v>1191</v>
      </c>
      <c r="C93" s="886" t="s">
        <v>1225</v>
      </c>
      <c r="D93" s="886" t="s">
        <v>1226</v>
      </c>
      <c r="E93" s="886" t="s">
        <v>1227</v>
      </c>
      <c r="F93" s="886" t="s">
        <v>1228</v>
      </c>
      <c r="G93" s="886" t="s">
        <v>1229</v>
      </c>
      <c r="H93" s="887"/>
      <c r="I93" s="887"/>
      <c r="J93" s="887"/>
      <c r="K93" s="926"/>
      <c r="L93" s="927"/>
      <c r="M93" s="928"/>
      <c r="N93" s="810"/>
      <c r="O93" s="810"/>
      <c r="P93" s="1618"/>
      <c r="Q93" s="843"/>
      <c r="R93" s="710"/>
      <c r="S93" s="710"/>
      <c r="T93" s="710"/>
      <c r="U93" s="710"/>
      <c r="V93" s="710"/>
      <c r="W93" s="710"/>
      <c r="X93" s="710"/>
      <c r="Y93" s="710"/>
      <c r="Z93" s="710"/>
      <c r="AA93" s="710"/>
      <c r="AB93" s="710"/>
      <c r="AC93" s="710"/>
    </row>
    <row r="94" ht="14.75" spans="1:29">
      <c r="A94" s="864"/>
      <c r="B94" s="869"/>
      <c r="C94" s="874">
        <v>100</v>
      </c>
      <c r="D94" s="874">
        <f>C94-$K21</f>
        <v>98</v>
      </c>
      <c r="E94" s="874">
        <f>D94-$K21</f>
        <v>96</v>
      </c>
      <c r="F94" s="874">
        <f>E94-$K21</f>
        <v>94</v>
      </c>
      <c r="G94" s="874">
        <f>F94-$K21</f>
        <v>92</v>
      </c>
      <c r="H94" s="874"/>
      <c r="I94" s="874"/>
      <c r="J94" s="874"/>
      <c r="K94" s="874"/>
      <c r="L94" s="874"/>
      <c r="M94" s="911"/>
      <c r="N94" s="904"/>
      <c r="O94" s="904"/>
      <c r="P94" s="1618"/>
      <c r="Q94" s="843"/>
      <c r="R94" s="710"/>
      <c r="S94" s="710"/>
      <c r="T94" s="710"/>
      <c r="U94" s="710"/>
      <c r="V94" s="710"/>
      <c r="W94" s="710"/>
      <c r="X94" s="710"/>
      <c r="Y94" s="710"/>
      <c r="Z94" s="710"/>
      <c r="AA94" s="710"/>
      <c r="AB94" s="710"/>
      <c r="AC94" s="710"/>
    </row>
    <row r="95" s="568" customFormat="1" ht="28.75" spans="1:29">
      <c r="A95" s="889"/>
      <c r="B95" s="867" t="s">
        <v>1519</v>
      </c>
      <c r="C95" s="886" t="s">
        <v>1225</v>
      </c>
      <c r="D95" s="886" t="s">
        <v>1226</v>
      </c>
      <c r="E95" s="886" t="s">
        <v>1227</v>
      </c>
      <c r="F95" s="886" t="s">
        <v>1228</v>
      </c>
      <c r="G95" s="886" t="s">
        <v>1229</v>
      </c>
      <c r="H95" s="886"/>
      <c r="I95" s="886"/>
      <c r="J95" s="886"/>
      <c r="K95" s="886"/>
      <c r="L95" s="1622"/>
      <c r="M95" s="936"/>
      <c r="N95" s="804"/>
      <c r="O95" s="804"/>
      <c r="P95" s="1618"/>
      <c r="Q95" s="843"/>
      <c r="R95" s="845"/>
      <c r="S95" s="845"/>
      <c r="T95" s="845"/>
      <c r="U95" s="845"/>
      <c r="V95" s="845"/>
      <c r="W95" s="845"/>
      <c r="X95" s="845"/>
      <c r="Y95" s="845"/>
      <c r="Z95" s="845"/>
      <c r="AA95" s="845"/>
      <c r="AB95" s="845"/>
      <c r="AC95" s="845"/>
    </row>
    <row r="96" s="568" customFormat="1" ht="14.75" spans="1:29">
      <c r="A96" s="889"/>
      <c r="B96" s="869"/>
      <c r="C96" s="890">
        <v>100</v>
      </c>
      <c r="D96" s="874">
        <f>C96-$K23</f>
        <v>98</v>
      </c>
      <c r="E96" s="874">
        <f>D96-$K23</f>
        <v>96</v>
      </c>
      <c r="F96" s="874">
        <f>E96-$K23</f>
        <v>94</v>
      </c>
      <c r="G96" s="874">
        <f>F96-$K23</f>
        <v>92</v>
      </c>
      <c r="H96" s="874"/>
      <c r="I96" s="874"/>
      <c r="J96" s="874"/>
      <c r="K96" s="874"/>
      <c r="L96" s="874"/>
      <c r="M96" s="911"/>
      <c r="N96" s="904"/>
      <c r="O96" s="904"/>
      <c r="P96" s="1618"/>
      <c r="Q96" s="843"/>
      <c r="R96" s="845"/>
      <c r="S96" s="845"/>
      <c r="T96" s="845"/>
      <c r="U96" s="845"/>
      <c r="V96" s="845"/>
      <c r="W96" s="845"/>
      <c r="X96" s="845"/>
      <c r="Y96" s="845"/>
      <c r="Z96" s="845"/>
      <c r="AA96" s="845"/>
      <c r="AB96" s="845"/>
      <c r="AC96" s="845"/>
    </row>
    <row r="97" s="568" customFormat="1" ht="28.75" spans="1:29">
      <c r="A97" s="889"/>
      <c r="B97" s="867" t="s">
        <v>1520</v>
      </c>
      <c r="C97" s="885" t="s">
        <v>1225</v>
      </c>
      <c r="D97" s="885" t="s">
        <v>1226</v>
      </c>
      <c r="E97" s="885" t="s">
        <v>1227</v>
      </c>
      <c r="F97" s="885" t="s">
        <v>1228</v>
      </c>
      <c r="G97" s="885" t="s">
        <v>1229</v>
      </c>
      <c r="H97" s="886"/>
      <c r="I97" s="886"/>
      <c r="J97" s="886"/>
      <c r="K97" s="886"/>
      <c r="L97" s="886"/>
      <c r="M97" s="936"/>
      <c r="N97" s="804"/>
      <c r="O97" s="804"/>
      <c r="P97" s="1618"/>
      <c r="Q97" s="843"/>
      <c r="R97" s="845"/>
      <c r="S97" s="845"/>
      <c r="T97" s="845"/>
      <c r="U97" s="845"/>
      <c r="V97" s="845"/>
      <c r="W97" s="845"/>
      <c r="X97" s="845"/>
      <c r="Y97" s="845"/>
      <c r="Z97" s="845"/>
      <c r="AA97" s="845"/>
      <c r="AB97" s="845"/>
      <c r="AC97" s="845"/>
    </row>
    <row r="98" s="568" customFormat="1" ht="14.75" spans="1:29">
      <c r="A98" s="889"/>
      <c r="B98" s="869"/>
      <c r="C98" s="874">
        <v>100</v>
      </c>
      <c r="D98" s="874">
        <f>C98-$K25</f>
        <v>98</v>
      </c>
      <c r="E98" s="874">
        <f>D98-$K25</f>
        <v>96</v>
      </c>
      <c r="F98" s="874">
        <f>E98-$K25</f>
        <v>94</v>
      </c>
      <c r="G98" s="874">
        <f>F98-$K25</f>
        <v>92</v>
      </c>
      <c r="H98" s="874"/>
      <c r="I98" s="874"/>
      <c r="J98" s="874"/>
      <c r="K98" s="874"/>
      <c r="L98" s="874"/>
      <c r="M98" s="911"/>
      <c r="N98" s="904"/>
      <c r="O98" s="904"/>
      <c r="P98" s="1618"/>
      <c r="Q98" s="843"/>
      <c r="R98" s="845"/>
      <c r="S98" s="845"/>
      <c r="T98" s="845"/>
      <c r="U98" s="845"/>
      <c r="V98" s="845"/>
      <c r="W98" s="845"/>
      <c r="X98" s="845"/>
      <c r="Y98" s="845"/>
      <c r="Z98" s="845"/>
      <c r="AA98" s="845"/>
      <c r="AB98" s="845"/>
      <c r="AC98" s="845"/>
    </row>
    <row r="99" s="570" customFormat="1" ht="14.75" spans="1:29">
      <c r="A99" s="875"/>
      <c r="B99" s="867" t="s">
        <v>1192</v>
      </c>
      <c r="C99" s="885" t="s">
        <v>1225</v>
      </c>
      <c r="D99" s="885" t="s">
        <v>1226</v>
      </c>
      <c r="E99" s="885" t="s">
        <v>1227</v>
      </c>
      <c r="F99" s="885" t="s">
        <v>1228</v>
      </c>
      <c r="G99" s="885" t="s">
        <v>1229</v>
      </c>
      <c r="H99" s="1609"/>
      <c r="I99" s="1609"/>
      <c r="J99" s="1609"/>
      <c r="K99" s="1609"/>
      <c r="L99" s="1623"/>
      <c r="M99" s="1624"/>
      <c r="N99" s="914"/>
      <c r="O99" s="914"/>
      <c r="P99" s="1619"/>
      <c r="Q99" s="947"/>
      <c r="R99" s="948"/>
      <c r="S99" s="948"/>
      <c r="T99" s="948"/>
      <c r="U99" s="948"/>
      <c r="V99" s="948"/>
      <c r="W99" s="948"/>
      <c r="X99" s="948"/>
      <c r="Y99" s="948"/>
      <c r="Z99" s="948"/>
      <c r="AA99" s="948"/>
      <c r="AB99" s="948"/>
      <c r="AC99" s="948"/>
    </row>
    <row r="100" s="570" customFormat="1" ht="14.75" spans="1:29">
      <c r="A100" s="875"/>
      <c r="B100" s="869"/>
      <c r="C100" s="874">
        <v>100</v>
      </c>
      <c r="D100" s="874">
        <f>C100-$K27</f>
        <v>98</v>
      </c>
      <c r="E100" s="874">
        <f>D100-$K27</f>
        <v>96</v>
      </c>
      <c r="F100" s="874">
        <f>E100-$K27</f>
        <v>94</v>
      </c>
      <c r="G100" s="874">
        <f>F100-$K27</f>
        <v>92</v>
      </c>
      <c r="H100" s="1610"/>
      <c r="I100" s="1610"/>
      <c r="J100" s="1610"/>
      <c r="K100" s="1610"/>
      <c r="L100" s="1610"/>
      <c r="M100" s="1625"/>
      <c r="N100" s="914"/>
      <c r="O100" s="914"/>
      <c r="P100" s="1619"/>
      <c r="Q100" s="947"/>
      <c r="R100" s="948"/>
      <c r="S100" s="948"/>
      <c r="T100" s="948"/>
      <c r="U100" s="948"/>
      <c r="V100" s="948"/>
      <c r="W100" s="948"/>
      <c r="X100" s="948"/>
      <c r="Y100" s="948"/>
      <c r="Z100" s="948"/>
      <c r="AA100" s="948"/>
      <c r="AB100" s="948"/>
      <c r="AC100" s="948"/>
    </row>
    <row r="101" s="570" customFormat="1" ht="14.75" spans="1:29">
      <c r="A101" s="875"/>
      <c r="B101" s="870" t="s">
        <v>1193</v>
      </c>
      <c r="C101" s="888" t="s">
        <v>1230</v>
      </c>
      <c r="D101" s="888" t="s">
        <v>1231</v>
      </c>
      <c r="E101" s="888" t="s">
        <v>1232</v>
      </c>
      <c r="F101" s="888" t="s">
        <v>1233</v>
      </c>
      <c r="G101" s="888" t="s">
        <v>1234</v>
      </c>
      <c r="H101" s="1609"/>
      <c r="I101" s="1609"/>
      <c r="J101" s="1609"/>
      <c r="K101" s="1609"/>
      <c r="L101" s="1609"/>
      <c r="M101" s="1626"/>
      <c r="N101" s="914"/>
      <c r="O101" s="914"/>
      <c r="P101" s="1619"/>
      <c r="Q101" s="947"/>
      <c r="R101" s="948"/>
      <c r="S101" s="948"/>
      <c r="T101" s="948"/>
      <c r="U101" s="948"/>
      <c r="V101" s="948"/>
      <c r="W101" s="948"/>
      <c r="X101" s="948"/>
      <c r="Y101" s="948"/>
      <c r="Z101" s="948"/>
      <c r="AA101" s="948"/>
      <c r="AB101" s="948"/>
      <c r="AC101" s="948"/>
    </row>
    <row r="102" s="570" customFormat="1" ht="14.75" spans="1:29">
      <c r="A102" s="875"/>
      <c r="B102" s="870"/>
      <c r="C102" s="874">
        <v>100</v>
      </c>
      <c r="D102" s="874">
        <f>C102-$K29</f>
        <v>98</v>
      </c>
      <c r="E102" s="874">
        <f>D102-$K29</f>
        <v>96</v>
      </c>
      <c r="F102" s="874">
        <f>E102-$K29</f>
        <v>94</v>
      </c>
      <c r="G102" s="874">
        <f>F102-$K29</f>
        <v>92</v>
      </c>
      <c r="H102" s="872"/>
      <c r="I102" s="872"/>
      <c r="J102" s="872"/>
      <c r="K102" s="872"/>
      <c r="L102" s="872"/>
      <c r="M102" s="1626"/>
      <c r="N102" s="914"/>
      <c r="O102" s="914"/>
      <c r="P102" s="1619"/>
      <c r="Q102" s="947"/>
      <c r="R102" s="948"/>
      <c r="S102" s="948"/>
      <c r="T102" s="948"/>
      <c r="U102" s="948"/>
      <c r="V102" s="948"/>
      <c r="W102" s="948"/>
      <c r="X102" s="948"/>
      <c r="Y102" s="948"/>
      <c r="Z102" s="948"/>
      <c r="AA102" s="948"/>
      <c r="AB102" s="948"/>
      <c r="AC102" s="948"/>
    </row>
    <row r="103" ht="14.75" spans="1:29">
      <c r="A103" s="864"/>
      <c r="B103" s="867" t="str">
        <f>B31</f>
        <v>临街状况</v>
      </c>
      <c r="C103" s="887" t="s">
        <v>1559</v>
      </c>
      <c r="D103" s="887" t="s">
        <v>1560</v>
      </c>
      <c r="E103" s="887" t="s">
        <v>1561</v>
      </c>
      <c r="F103" s="887" t="s">
        <v>1562</v>
      </c>
      <c r="G103" s="887"/>
      <c r="H103" s="887"/>
      <c r="I103" s="887"/>
      <c r="J103" s="887"/>
      <c r="K103" s="926"/>
      <c r="L103" s="927"/>
      <c r="M103" s="928"/>
      <c r="N103" s="810"/>
      <c r="O103" s="810"/>
      <c r="P103" s="1618"/>
      <c r="Q103" s="843"/>
      <c r="R103" s="710"/>
      <c r="S103" s="710"/>
      <c r="T103" s="710"/>
      <c r="U103" s="710"/>
      <c r="V103" s="710"/>
      <c r="W103" s="710"/>
      <c r="X103" s="710"/>
      <c r="Y103" s="710"/>
      <c r="Z103" s="710"/>
      <c r="AA103" s="710"/>
      <c r="AB103" s="710"/>
      <c r="AC103" s="710"/>
    </row>
    <row r="104" ht="14.75" spans="1:29">
      <c r="A104" s="864"/>
      <c r="B104" s="869"/>
      <c r="C104" s="874">
        <v>100</v>
      </c>
      <c r="D104" s="874">
        <f t="shared" ref="D104:M104" si="22">C104-$K31</f>
        <v>100</v>
      </c>
      <c r="E104" s="874">
        <f t="shared" si="22"/>
        <v>100</v>
      </c>
      <c r="F104" s="874">
        <f t="shared" si="22"/>
        <v>100</v>
      </c>
      <c r="G104" s="874">
        <f t="shared" si="22"/>
        <v>100</v>
      </c>
      <c r="H104" s="874">
        <f t="shared" si="22"/>
        <v>100</v>
      </c>
      <c r="I104" s="874">
        <f t="shared" si="22"/>
        <v>100</v>
      </c>
      <c r="J104" s="874">
        <f t="shared" si="22"/>
        <v>100</v>
      </c>
      <c r="K104" s="874">
        <f t="shared" si="22"/>
        <v>100</v>
      </c>
      <c r="L104" s="874">
        <f t="shared" si="22"/>
        <v>100</v>
      </c>
      <c r="M104" s="874">
        <f t="shared" si="22"/>
        <v>100</v>
      </c>
      <c r="N104" s="904"/>
      <c r="O104" s="904"/>
      <c r="P104" s="1618"/>
      <c r="Q104" s="843"/>
      <c r="R104" s="710"/>
      <c r="S104" s="710"/>
      <c r="T104" s="710"/>
      <c r="U104" s="710"/>
      <c r="V104" s="710"/>
      <c r="W104" s="710"/>
      <c r="X104" s="710"/>
      <c r="Y104" s="710"/>
      <c r="Z104" s="710"/>
      <c r="AA104" s="710"/>
      <c r="AB104" s="710"/>
      <c r="AC104" s="710"/>
    </row>
    <row r="105" ht="28.75" spans="1:29">
      <c r="A105" s="864"/>
      <c r="B105" s="867" t="s">
        <v>1195</v>
      </c>
      <c r="C105" s="876"/>
      <c r="D105" s="876"/>
      <c r="E105" s="876"/>
      <c r="F105" s="876"/>
      <c r="G105" s="876"/>
      <c r="H105" s="868"/>
      <c r="I105" s="868"/>
      <c r="J105" s="868"/>
      <c r="K105" s="905"/>
      <c r="L105" s="906"/>
      <c r="M105" s="907"/>
      <c r="N105" s="810"/>
      <c r="O105" s="810"/>
      <c r="P105" s="1618"/>
      <c r="Q105" s="843"/>
      <c r="R105" s="710"/>
      <c r="S105" s="710"/>
      <c r="T105" s="710"/>
      <c r="U105" s="710"/>
      <c r="V105" s="710"/>
      <c r="W105" s="710"/>
      <c r="X105" s="710"/>
      <c r="Y105" s="710"/>
      <c r="Z105" s="710"/>
      <c r="AA105" s="710"/>
      <c r="AB105" s="710"/>
      <c r="AC105" s="710"/>
    </row>
    <row r="106" ht="14.75" spans="1:29">
      <c r="A106" s="864"/>
      <c r="B106" s="869"/>
      <c r="C106" s="874">
        <v>100</v>
      </c>
      <c r="D106" s="874">
        <f t="shared" ref="D106:M106" si="23">C106-$K32</f>
        <v>100</v>
      </c>
      <c r="E106" s="874">
        <f t="shared" si="23"/>
        <v>100</v>
      </c>
      <c r="F106" s="874">
        <f t="shared" si="23"/>
        <v>100</v>
      </c>
      <c r="G106" s="874">
        <f t="shared" si="23"/>
        <v>100</v>
      </c>
      <c r="H106" s="874">
        <f t="shared" si="23"/>
        <v>100</v>
      </c>
      <c r="I106" s="874">
        <f t="shared" si="23"/>
        <v>100</v>
      </c>
      <c r="J106" s="874">
        <f t="shared" si="23"/>
        <v>100</v>
      </c>
      <c r="K106" s="874">
        <f t="shared" si="23"/>
        <v>100</v>
      </c>
      <c r="L106" s="874">
        <f t="shared" si="23"/>
        <v>100</v>
      </c>
      <c r="M106" s="874">
        <f t="shared" si="23"/>
        <v>100</v>
      </c>
      <c r="N106" s="904"/>
      <c r="O106" s="904"/>
      <c r="P106" s="1618"/>
      <c r="Q106" s="843"/>
      <c r="R106" s="710"/>
      <c r="S106" s="710"/>
      <c r="T106" s="710"/>
      <c r="U106" s="710"/>
      <c r="V106" s="710"/>
      <c r="W106" s="710"/>
      <c r="X106" s="710"/>
      <c r="Y106" s="710"/>
      <c r="Z106" s="710"/>
      <c r="AA106" s="710"/>
      <c r="AB106" s="710"/>
      <c r="AC106" s="710"/>
    </row>
    <row r="107" ht="14.75" spans="1:29">
      <c r="A107" s="864"/>
      <c r="B107" s="867" t="s">
        <v>1521</v>
      </c>
      <c r="C107" s="868"/>
      <c r="D107" s="868"/>
      <c r="E107" s="868"/>
      <c r="F107" s="868"/>
      <c r="G107" s="868"/>
      <c r="H107" s="868"/>
      <c r="I107" s="868"/>
      <c r="J107" s="868"/>
      <c r="K107" s="905"/>
      <c r="L107" s="906"/>
      <c r="M107" s="907"/>
      <c r="N107" s="810"/>
      <c r="O107" s="810"/>
      <c r="P107" s="1618"/>
      <c r="Q107" s="843"/>
      <c r="R107" s="710"/>
      <c r="S107" s="710"/>
      <c r="T107" s="710"/>
      <c r="U107" s="710"/>
      <c r="V107" s="710"/>
      <c r="W107" s="710"/>
      <c r="X107" s="710"/>
      <c r="Y107" s="710"/>
      <c r="Z107" s="710"/>
      <c r="AA107" s="710"/>
      <c r="AB107" s="710"/>
      <c r="AC107" s="710"/>
    </row>
    <row r="108" ht="14.75" spans="1:29">
      <c r="A108" s="864"/>
      <c r="B108" s="869"/>
      <c r="C108" s="874">
        <v>100</v>
      </c>
      <c r="D108" s="874">
        <f t="shared" ref="D108:M108" si="24">C108-$K34</f>
        <v>100</v>
      </c>
      <c r="E108" s="874">
        <f t="shared" si="24"/>
        <v>100</v>
      </c>
      <c r="F108" s="874">
        <f t="shared" si="24"/>
        <v>100</v>
      </c>
      <c r="G108" s="874">
        <f t="shared" si="24"/>
        <v>100</v>
      </c>
      <c r="H108" s="874">
        <f t="shared" si="24"/>
        <v>100</v>
      </c>
      <c r="I108" s="874">
        <f t="shared" si="24"/>
        <v>100</v>
      </c>
      <c r="J108" s="874">
        <f t="shared" si="24"/>
        <v>100</v>
      </c>
      <c r="K108" s="874">
        <f t="shared" si="24"/>
        <v>100</v>
      </c>
      <c r="L108" s="874">
        <f t="shared" si="24"/>
        <v>100</v>
      </c>
      <c r="M108" s="874">
        <f t="shared" si="24"/>
        <v>100</v>
      </c>
      <c r="N108" s="904"/>
      <c r="O108" s="904"/>
      <c r="P108" s="1618"/>
      <c r="Q108" s="843"/>
      <c r="R108" s="710"/>
      <c r="S108" s="710"/>
      <c r="T108" s="710"/>
      <c r="U108" s="710"/>
      <c r="V108" s="710"/>
      <c r="W108" s="710"/>
      <c r="X108" s="710"/>
      <c r="Y108" s="710"/>
      <c r="Z108" s="710"/>
      <c r="AA108" s="710"/>
      <c r="AB108" s="710"/>
      <c r="AC108" s="710"/>
    </row>
    <row r="109" ht="14.75" spans="1:29">
      <c r="A109" s="864"/>
      <c r="B109" s="870">
        <f>B35</f>
        <v>111</v>
      </c>
      <c r="C109" s="876"/>
      <c r="D109" s="876"/>
      <c r="E109" s="876"/>
      <c r="F109" s="876"/>
      <c r="G109" s="892"/>
      <c r="H109" s="892"/>
      <c r="I109" s="892"/>
      <c r="J109" s="892"/>
      <c r="K109" s="932"/>
      <c r="L109" s="933"/>
      <c r="M109" s="934"/>
      <c r="N109" s="810"/>
      <c r="O109" s="810"/>
      <c r="P109" s="1618"/>
      <c r="Q109" s="843"/>
      <c r="R109" s="710"/>
      <c r="S109" s="710"/>
      <c r="T109" s="710"/>
      <c r="U109" s="710"/>
      <c r="V109" s="710"/>
      <c r="W109" s="710"/>
      <c r="X109" s="710"/>
      <c r="Y109" s="710"/>
      <c r="Z109" s="710"/>
      <c r="AA109" s="710"/>
      <c r="AB109" s="710"/>
      <c r="AC109" s="710"/>
    </row>
    <row r="110" ht="14.75" spans="1:29">
      <c r="A110" s="864"/>
      <c r="B110" s="882"/>
      <c r="C110" s="878"/>
      <c r="D110" s="878"/>
      <c r="E110" s="878"/>
      <c r="F110" s="878"/>
      <c r="G110" s="894"/>
      <c r="H110" s="894"/>
      <c r="I110" s="894"/>
      <c r="J110" s="894"/>
      <c r="K110" s="894"/>
      <c r="L110" s="894"/>
      <c r="M110" s="935"/>
      <c r="N110" s="904"/>
      <c r="O110" s="904"/>
      <c r="P110" s="1618"/>
      <c r="Q110" s="843"/>
      <c r="R110" s="710"/>
      <c r="S110" s="710"/>
      <c r="T110" s="710"/>
      <c r="U110" s="710"/>
      <c r="V110" s="710"/>
      <c r="W110" s="710"/>
      <c r="X110" s="710"/>
      <c r="Y110" s="710"/>
      <c r="Z110" s="710"/>
      <c r="AA110" s="710"/>
      <c r="AB110" s="710"/>
      <c r="AC110" s="710"/>
    </row>
    <row r="111" ht="14.75" spans="1:29">
      <c r="A111" s="1519"/>
      <c r="B111" s="867">
        <f>B36</f>
        <v>111</v>
      </c>
      <c r="C111" s="739"/>
      <c r="D111" s="739"/>
      <c r="E111" s="739"/>
      <c r="F111" s="739"/>
      <c r="G111" s="868"/>
      <c r="H111" s="868"/>
      <c r="I111" s="868"/>
      <c r="J111" s="868"/>
      <c r="K111" s="905"/>
      <c r="L111" s="906"/>
      <c r="M111" s="907"/>
      <c r="N111" s="810"/>
      <c r="O111" s="810"/>
      <c r="P111" s="1618"/>
      <c r="Q111" s="843"/>
      <c r="R111" s="710"/>
      <c r="S111" s="710"/>
      <c r="T111" s="710"/>
      <c r="U111" s="710"/>
      <c r="V111" s="710"/>
      <c r="W111" s="710"/>
      <c r="X111" s="710"/>
      <c r="Y111" s="710"/>
      <c r="Z111" s="710"/>
      <c r="AA111" s="710"/>
      <c r="AB111" s="710"/>
      <c r="AC111" s="710"/>
    </row>
    <row r="112" ht="14.75" spans="1:29">
      <c r="A112" s="864"/>
      <c r="B112" s="869"/>
      <c r="C112" s="883"/>
      <c r="D112" s="883"/>
      <c r="E112" s="883"/>
      <c r="F112" s="883"/>
      <c r="G112" s="866"/>
      <c r="H112" s="866"/>
      <c r="I112" s="866"/>
      <c r="J112" s="866"/>
      <c r="K112" s="866"/>
      <c r="L112" s="866"/>
      <c r="M112" s="903"/>
      <c r="N112" s="904"/>
      <c r="O112" s="904"/>
      <c r="P112" s="1618"/>
      <c r="Q112" s="843"/>
      <c r="R112" s="710"/>
      <c r="S112" s="710"/>
      <c r="T112" s="710"/>
      <c r="U112" s="710"/>
      <c r="V112" s="710"/>
      <c r="W112" s="710"/>
      <c r="X112" s="710"/>
      <c r="Y112" s="710"/>
      <c r="Z112" s="710"/>
      <c r="AA112" s="710"/>
      <c r="AB112" s="710"/>
      <c r="AC112" s="710"/>
    </row>
    <row r="113" s="570" customFormat="1" ht="14.75" spans="1:29">
      <c r="A113" s="895"/>
      <c r="B113" s="896">
        <f>B37</f>
        <v>111</v>
      </c>
      <c r="C113" s="897"/>
      <c r="D113" s="897"/>
      <c r="E113" s="897"/>
      <c r="F113" s="897"/>
      <c r="G113" s="897"/>
      <c r="H113" s="897"/>
      <c r="I113" s="897"/>
      <c r="J113" s="937"/>
      <c r="K113" s="937"/>
      <c r="L113" s="938"/>
      <c r="M113" s="939"/>
      <c r="N113" s="914"/>
      <c r="O113" s="914"/>
      <c r="P113" s="1619"/>
      <c r="Q113" s="947"/>
      <c r="R113" s="948"/>
      <c r="S113" s="948"/>
      <c r="T113" s="948"/>
      <c r="U113" s="948"/>
      <c r="V113" s="948"/>
      <c r="W113" s="948"/>
      <c r="X113" s="948"/>
      <c r="Y113" s="948"/>
      <c r="Z113" s="948"/>
      <c r="AA113" s="948"/>
      <c r="AB113" s="948"/>
      <c r="AC113" s="948"/>
    </row>
    <row r="114" s="570" customFormat="1" ht="14.75" spans="1:29">
      <c r="A114" s="875"/>
      <c r="B114" s="870"/>
      <c r="C114" s="731"/>
      <c r="D114" s="1611"/>
      <c r="E114" s="1611"/>
      <c r="F114" s="1611"/>
      <c r="G114" s="1611"/>
      <c r="H114" s="1611"/>
      <c r="I114" s="1611"/>
      <c r="J114" s="1611"/>
      <c r="K114" s="1611"/>
      <c r="L114" s="1611"/>
      <c r="M114" s="1627"/>
      <c r="N114" s="904"/>
      <c r="O114" s="904"/>
      <c r="P114" s="1619"/>
      <c r="Q114" s="947"/>
      <c r="R114" s="948"/>
      <c r="S114" s="948"/>
      <c r="T114" s="948"/>
      <c r="U114" s="948"/>
      <c r="V114" s="948"/>
      <c r="W114" s="948"/>
      <c r="X114" s="948"/>
      <c r="Y114" s="948"/>
      <c r="Z114" s="948"/>
      <c r="AA114" s="948"/>
      <c r="AB114" s="948"/>
      <c r="AC114" s="948"/>
    </row>
    <row r="115" ht="28" spans="1:29">
      <c r="A115" s="741" t="s">
        <v>1198</v>
      </c>
      <c r="B115" s="742" t="s">
        <v>1522</v>
      </c>
      <c r="C115" s="743" t="str">
        <f>C116&amp;"(含)"&amp;"-"&amp;D116</f>
        <v>0(含)-10000</v>
      </c>
      <c r="D115" s="743" t="str">
        <f t="shared" ref="D115:M115" si="25">D116&amp;"(含)"&amp;"-"&amp;E116</f>
        <v>10000(含)-20000</v>
      </c>
      <c r="E115" s="743" t="str">
        <f t="shared" si="25"/>
        <v>20000(含)-30000</v>
      </c>
      <c r="F115" s="743" t="str">
        <f t="shared" si="25"/>
        <v>30000(含)-40000</v>
      </c>
      <c r="G115" s="743" t="str">
        <f t="shared" si="25"/>
        <v>40000(含)-50000</v>
      </c>
      <c r="H115" s="743" t="str">
        <f t="shared" si="25"/>
        <v>50000(含)-</v>
      </c>
      <c r="I115" s="743" t="str">
        <f t="shared" si="25"/>
        <v>(含)-</v>
      </c>
      <c r="J115" s="743" t="str">
        <f t="shared" si="25"/>
        <v>(含)-</v>
      </c>
      <c r="K115" s="743" t="str">
        <f t="shared" si="25"/>
        <v>(含)-</v>
      </c>
      <c r="L115" s="743" t="str">
        <f t="shared" si="25"/>
        <v>(含)-</v>
      </c>
      <c r="M115" s="743" t="str">
        <f t="shared" si="25"/>
        <v>(含)-</v>
      </c>
      <c r="N115" s="810"/>
      <c r="O115" s="810"/>
      <c r="P115" s="1618"/>
      <c r="Q115" s="843"/>
      <c r="R115" s="710"/>
      <c r="S115" s="710"/>
      <c r="T115" s="710"/>
      <c r="U115" s="710"/>
      <c r="V115" s="710"/>
      <c r="W115" s="710"/>
      <c r="X115" s="710"/>
      <c r="Y115" s="710"/>
      <c r="Z115" s="710"/>
      <c r="AA115" s="710"/>
      <c r="AB115" s="710"/>
      <c r="AC115" s="710"/>
    </row>
    <row r="116" spans="1:29">
      <c r="A116" s="864"/>
      <c r="B116" s="870"/>
      <c r="C116" s="897">
        <v>0</v>
      </c>
      <c r="D116" s="897">
        <v>10000</v>
      </c>
      <c r="E116" s="897">
        <v>20000</v>
      </c>
      <c r="F116" s="897">
        <v>30000</v>
      </c>
      <c r="G116" s="897">
        <v>40000</v>
      </c>
      <c r="H116" s="897">
        <v>50000</v>
      </c>
      <c r="I116" s="897"/>
      <c r="J116" s="937"/>
      <c r="K116" s="937"/>
      <c r="L116" s="938"/>
      <c r="M116" s="939"/>
      <c r="N116" s="810"/>
      <c r="O116" s="810"/>
      <c r="P116" s="1618"/>
      <c r="Q116" s="843"/>
      <c r="R116" s="710"/>
      <c r="S116" s="710"/>
      <c r="T116" s="710"/>
      <c r="U116" s="710"/>
      <c r="V116" s="710"/>
      <c r="W116" s="710"/>
      <c r="X116" s="710"/>
      <c r="Y116" s="710"/>
      <c r="Z116" s="710"/>
      <c r="AA116" s="710"/>
      <c r="AB116" s="710"/>
      <c r="AC116" s="710"/>
    </row>
    <row r="117" ht="14.75" spans="1:29">
      <c r="A117" s="864"/>
      <c r="B117" s="869"/>
      <c r="C117" s="883">
        <v>100</v>
      </c>
      <c r="D117" s="894">
        <v>102</v>
      </c>
      <c r="E117" s="883">
        <v>104</v>
      </c>
      <c r="F117" s="894">
        <v>106</v>
      </c>
      <c r="G117" s="883">
        <v>108</v>
      </c>
      <c r="H117" s="894">
        <v>110</v>
      </c>
      <c r="I117" s="883"/>
      <c r="J117" s="894"/>
      <c r="K117" s="894"/>
      <c r="L117" s="894"/>
      <c r="M117" s="935"/>
      <c r="N117" s="904"/>
      <c r="O117" s="904"/>
      <c r="P117" s="1618"/>
      <c r="Q117" s="843"/>
      <c r="R117" s="710"/>
      <c r="S117" s="710"/>
      <c r="T117" s="710"/>
      <c r="U117" s="710"/>
      <c r="V117" s="710"/>
      <c r="W117" s="710"/>
      <c r="X117" s="710"/>
      <c r="Y117" s="710"/>
      <c r="Z117" s="710"/>
      <c r="AA117" s="710"/>
      <c r="AB117" s="710"/>
      <c r="AC117" s="710"/>
    </row>
    <row r="118" ht="14.75" spans="1:29">
      <c r="A118" s="898"/>
      <c r="B118" s="867" t="s">
        <v>1523</v>
      </c>
      <c r="C118" s="902" t="s">
        <v>1524</v>
      </c>
      <c r="D118" s="902" t="s">
        <v>1525</v>
      </c>
      <c r="E118" s="868"/>
      <c r="F118" s="868"/>
      <c r="G118" s="868"/>
      <c r="H118" s="868"/>
      <c r="I118" s="868"/>
      <c r="J118" s="868"/>
      <c r="K118" s="905"/>
      <c r="L118" s="906"/>
      <c r="M118" s="907"/>
      <c r="N118" s="810"/>
      <c r="O118" s="810"/>
      <c r="P118" s="1618"/>
      <c r="Q118" s="843"/>
      <c r="R118" s="710"/>
      <c r="S118" s="710"/>
      <c r="T118" s="710"/>
      <c r="U118" s="710"/>
      <c r="V118" s="710"/>
      <c r="W118" s="710"/>
      <c r="X118" s="710"/>
      <c r="Y118" s="710"/>
      <c r="Z118" s="710"/>
      <c r="AA118" s="710"/>
      <c r="AB118" s="710"/>
      <c r="AC118" s="710"/>
    </row>
    <row r="119" ht="14.75" spans="1:29">
      <c r="A119" s="864"/>
      <c r="B119" s="869"/>
      <c r="C119" s="874">
        <v>100</v>
      </c>
      <c r="D119" s="874">
        <f t="shared" ref="D119:M119" si="26">C119-$K39</f>
        <v>97</v>
      </c>
      <c r="E119" s="874">
        <f t="shared" si="26"/>
        <v>94</v>
      </c>
      <c r="F119" s="874">
        <f t="shared" si="26"/>
        <v>91</v>
      </c>
      <c r="G119" s="874">
        <f t="shared" si="26"/>
        <v>88</v>
      </c>
      <c r="H119" s="874">
        <f t="shared" si="26"/>
        <v>85</v>
      </c>
      <c r="I119" s="874">
        <f t="shared" si="26"/>
        <v>82</v>
      </c>
      <c r="J119" s="874">
        <f t="shared" si="26"/>
        <v>79</v>
      </c>
      <c r="K119" s="874">
        <f t="shared" si="26"/>
        <v>76</v>
      </c>
      <c r="L119" s="874">
        <f t="shared" si="26"/>
        <v>73</v>
      </c>
      <c r="M119" s="911">
        <f t="shared" si="26"/>
        <v>70</v>
      </c>
      <c r="N119" s="904"/>
      <c r="O119" s="904"/>
      <c r="P119" s="1618"/>
      <c r="Q119" s="843"/>
      <c r="R119" s="710"/>
      <c r="S119" s="710"/>
      <c r="T119" s="710"/>
      <c r="U119" s="710"/>
      <c r="V119" s="710"/>
      <c r="W119" s="710"/>
      <c r="X119" s="710"/>
      <c r="Y119" s="710"/>
      <c r="Z119" s="710"/>
      <c r="AA119" s="710"/>
      <c r="AB119" s="710"/>
      <c r="AC119" s="710"/>
    </row>
    <row r="120" ht="14.75" spans="1:29">
      <c r="A120" s="898"/>
      <c r="B120" s="867" t="s">
        <v>1526</v>
      </c>
      <c r="C120" s="876"/>
      <c r="D120" s="876"/>
      <c r="E120" s="876"/>
      <c r="F120" s="868"/>
      <c r="G120" s="868"/>
      <c r="H120" s="868"/>
      <c r="I120" s="868"/>
      <c r="J120" s="868"/>
      <c r="K120" s="905"/>
      <c r="L120" s="906"/>
      <c r="M120" s="907"/>
      <c r="N120" s="810"/>
      <c r="O120" s="810"/>
      <c r="P120" s="1618"/>
      <c r="Q120" s="843"/>
      <c r="R120" s="710"/>
      <c r="S120" s="710"/>
      <c r="T120" s="710"/>
      <c r="U120" s="710"/>
      <c r="V120" s="710"/>
      <c r="W120" s="710"/>
      <c r="X120" s="710"/>
      <c r="Y120" s="710"/>
      <c r="Z120" s="710"/>
      <c r="AA120" s="710"/>
      <c r="AB120" s="710"/>
      <c r="AC120" s="710"/>
    </row>
    <row r="121" ht="14.75" spans="1:29">
      <c r="A121" s="864"/>
      <c r="B121" s="869"/>
      <c r="C121" s="874">
        <v>100</v>
      </c>
      <c r="D121" s="874">
        <f t="shared" ref="D121:M121" si="27">C121-$K40</f>
        <v>100</v>
      </c>
      <c r="E121" s="874">
        <f t="shared" si="27"/>
        <v>100</v>
      </c>
      <c r="F121" s="874">
        <f t="shared" si="27"/>
        <v>100</v>
      </c>
      <c r="G121" s="874">
        <f t="shared" si="27"/>
        <v>100</v>
      </c>
      <c r="H121" s="874">
        <f t="shared" si="27"/>
        <v>100</v>
      </c>
      <c r="I121" s="874">
        <f t="shared" si="27"/>
        <v>100</v>
      </c>
      <c r="J121" s="874">
        <f t="shared" si="27"/>
        <v>100</v>
      </c>
      <c r="K121" s="874">
        <f t="shared" si="27"/>
        <v>100</v>
      </c>
      <c r="L121" s="874">
        <f t="shared" si="27"/>
        <v>100</v>
      </c>
      <c r="M121" s="911">
        <f t="shared" si="27"/>
        <v>100</v>
      </c>
      <c r="N121" s="904"/>
      <c r="O121" s="904"/>
      <c r="P121" s="1618"/>
      <c r="Q121" s="843"/>
      <c r="R121" s="710"/>
      <c r="S121" s="710"/>
      <c r="T121" s="710"/>
      <c r="U121" s="710"/>
      <c r="V121" s="710"/>
      <c r="W121" s="710"/>
      <c r="X121" s="710"/>
      <c r="Y121" s="710"/>
      <c r="Z121" s="710"/>
      <c r="AA121" s="710"/>
      <c r="AB121" s="710"/>
      <c r="AC121" s="710"/>
    </row>
    <row r="122" s="570" customFormat="1" ht="14.75" spans="1:29">
      <c r="A122" s="895"/>
      <c r="B122" s="867" t="s">
        <v>1527</v>
      </c>
      <c r="C122" s="876"/>
      <c r="D122" s="876"/>
      <c r="E122" s="876"/>
      <c r="F122" s="876"/>
      <c r="G122" s="876"/>
      <c r="H122" s="868"/>
      <c r="I122" s="868"/>
      <c r="J122" s="868"/>
      <c r="K122" s="905"/>
      <c r="L122" s="906"/>
      <c r="M122" s="907"/>
      <c r="N122" s="914"/>
      <c r="O122" s="914"/>
      <c r="P122" s="1619"/>
      <c r="Q122" s="947"/>
      <c r="R122" s="948"/>
      <c r="S122" s="948"/>
      <c r="T122" s="948"/>
      <c r="U122" s="948"/>
      <c r="V122" s="948"/>
      <c r="W122" s="948"/>
      <c r="X122" s="948"/>
      <c r="Y122" s="948"/>
      <c r="Z122" s="948"/>
      <c r="AA122" s="948"/>
      <c r="AB122" s="948"/>
      <c r="AC122" s="948"/>
    </row>
    <row r="123" s="570" customFormat="1" ht="14.75" spans="1:29">
      <c r="A123" s="875"/>
      <c r="B123" s="869"/>
      <c r="C123" s="874">
        <v>100</v>
      </c>
      <c r="D123" s="874">
        <f t="shared" ref="D123:M123" si="28">C123-$K41</f>
        <v>100</v>
      </c>
      <c r="E123" s="874">
        <f t="shared" si="28"/>
        <v>100</v>
      </c>
      <c r="F123" s="874">
        <f t="shared" si="28"/>
        <v>100</v>
      </c>
      <c r="G123" s="874">
        <f t="shared" si="28"/>
        <v>100</v>
      </c>
      <c r="H123" s="874">
        <f t="shared" si="28"/>
        <v>100</v>
      </c>
      <c r="I123" s="874">
        <f t="shared" si="28"/>
        <v>100</v>
      </c>
      <c r="J123" s="874">
        <f t="shared" si="28"/>
        <v>100</v>
      </c>
      <c r="K123" s="874">
        <f t="shared" si="28"/>
        <v>100</v>
      </c>
      <c r="L123" s="874">
        <f t="shared" si="28"/>
        <v>100</v>
      </c>
      <c r="M123" s="911">
        <f t="shared" si="28"/>
        <v>100</v>
      </c>
      <c r="N123" s="914"/>
      <c r="O123" s="914"/>
      <c r="P123" s="1619"/>
      <c r="Q123" s="947"/>
      <c r="R123" s="948"/>
      <c r="S123" s="948"/>
      <c r="T123" s="948"/>
      <c r="U123" s="948"/>
      <c r="V123" s="948"/>
      <c r="W123" s="948"/>
      <c r="X123" s="948"/>
      <c r="Y123" s="948"/>
      <c r="Z123" s="948"/>
      <c r="AA123" s="948"/>
      <c r="AB123" s="948"/>
      <c r="AC123" s="948"/>
    </row>
    <row r="124" ht="14.75" spans="1:29">
      <c r="A124" s="898"/>
      <c r="B124" s="867" t="s">
        <v>1528</v>
      </c>
      <c r="C124" s="876"/>
      <c r="D124" s="876"/>
      <c r="E124" s="868"/>
      <c r="F124" s="868"/>
      <c r="G124" s="868"/>
      <c r="H124" s="868"/>
      <c r="I124" s="868"/>
      <c r="J124" s="868"/>
      <c r="K124" s="905"/>
      <c r="L124" s="906"/>
      <c r="M124" s="907"/>
      <c r="N124" s="810"/>
      <c r="O124" s="810"/>
      <c r="P124" s="1618"/>
      <c r="Q124" s="843"/>
      <c r="R124" s="710"/>
      <c r="S124" s="710"/>
      <c r="T124" s="710"/>
      <c r="U124" s="710"/>
      <c r="V124" s="710"/>
      <c r="W124" s="710"/>
      <c r="X124" s="710"/>
      <c r="Y124" s="710"/>
      <c r="Z124" s="710"/>
      <c r="AA124" s="710"/>
      <c r="AB124" s="710"/>
      <c r="AC124" s="710"/>
    </row>
    <row r="125" ht="14.75" spans="1:29">
      <c r="A125" s="864"/>
      <c r="B125" s="869"/>
      <c r="C125" s="874">
        <v>100</v>
      </c>
      <c r="D125" s="874">
        <f t="shared" ref="D125:M125" si="29">C125-$K42</f>
        <v>100</v>
      </c>
      <c r="E125" s="874">
        <f t="shared" si="29"/>
        <v>100</v>
      </c>
      <c r="F125" s="874">
        <f t="shared" si="29"/>
        <v>100</v>
      </c>
      <c r="G125" s="874">
        <f t="shared" si="29"/>
        <v>100</v>
      </c>
      <c r="H125" s="874">
        <f t="shared" si="29"/>
        <v>100</v>
      </c>
      <c r="I125" s="874">
        <f t="shared" si="29"/>
        <v>100</v>
      </c>
      <c r="J125" s="874">
        <f t="shared" si="29"/>
        <v>100</v>
      </c>
      <c r="K125" s="874">
        <f t="shared" si="29"/>
        <v>100</v>
      </c>
      <c r="L125" s="874">
        <f t="shared" si="29"/>
        <v>100</v>
      </c>
      <c r="M125" s="911">
        <f t="shared" si="29"/>
        <v>100</v>
      </c>
      <c r="N125" s="904"/>
      <c r="O125" s="904"/>
      <c r="P125" s="1618"/>
      <c r="Q125" s="843"/>
      <c r="R125" s="710"/>
      <c r="S125" s="710"/>
      <c r="T125" s="710"/>
      <c r="U125" s="710"/>
      <c r="V125" s="710"/>
      <c r="W125" s="710"/>
      <c r="X125" s="710"/>
      <c r="Y125" s="710"/>
      <c r="Z125" s="710"/>
      <c r="AA125" s="710"/>
      <c r="AB125" s="710"/>
      <c r="AC125" s="710"/>
    </row>
    <row r="126" ht="14.75" spans="1:29">
      <c r="A126" s="898"/>
      <c r="B126" s="867">
        <f>B43</f>
        <v>111</v>
      </c>
      <c r="C126" s="876"/>
      <c r="D126" s="876"/>
      <c r="E126" s="876"/>
      <c r="F126" s="876"/>
      <c r="G126" s="876"/>
      <c r="H126" s="868"/>
      <c r="I126" s="868"/>
      <c r="J126" s="868"/>
      <c r="K126" s="905"/>
      <c r="L126" s="906"/>
      <c r="M126" s="907"/>
      <c r="N126" s="810"/>
      <c r="O126" s="810"/>
      <c r="P126" s="1618"/>
      <c r="Q126" s="843"/>
      <c r="R126" s="710"/>
      <c r="S126" s="710"/>
      <c r="T126" s="710"/>
      <c r="U126" s="710"/>
      <c r="V126" s="710"/>
      <c r="W126" s="710"/>
      <c r="X126" s="710"/>
      <c r="Y126" s="710"/>
      <c r="Z126" s="710"/>
      <c r="AA126" s="710"/>
      <c r="AB126" s="710"/>
      <c r="AC126" s="710"/>
    </row>
    <row r="127" ht="14.75" spans="1:29">
      <c r="A127" s="864"/>
      <c r="B127" s="869"/>
      <c r="C127" s="878"/>
      <c r="D127" s="878"/>
      <c r="E127" s="878"/>
      <c r="F127" s="878"/>
      <c r="G127" s="866"/>
      <c r="H127" s="866"/>
      <c r="I127" s="866"/>
      <c r="J127" s="866"/>
      <c r="K127" s="866"/>
      <c r="L127" s="866"/>
      <c r="M127" s="903"/>
      <c r="N127" s="904"/>
      <c r="O127" s="904"/>
      <c r="P127" s="1618"/>
      <c r="Q127" s="843"/>
      <c r="R127" s="710"/>
      <c r="S127" s="710"/>
      <c r="T127" s="710"/>
      <c r="U127" s="710"/>
      <c r="V127" s="710"/>
      <c r="W127" s="710"/>
      <c r="X127" s="710"/>
      <c r="Y127" s="710"/>
      <c r="Z127" s="710"/>
      <c r="AA127" s="710"/>
      <c r="AB127" s="710"/>
      <c r="AC127" s="710"/>
    </row>
    <row r="128" ht="14.75" spans="1:29">
      <c r="A128" s="898"/>
      <c r="B128" s="867">
        <f>B44</f>
        <v>111</v>
      </c>
      <c r="C128" s="739"/>
      <c r="D128" s="739"/>
      <c r="E128" s="739"/>
      <c r="F128" s="739"/>
      <c r="G128" s="868"/>
      <c r="H128" s="868"/>
      <c r="I128" s="868"/>
      <c r="J128" s="868"/>
      <c r="K128" s="905"/>
      <c r="L128" s="906"/>
      <c r="M128" s="907"/>
      <c r="N128" s="810"/>
      <c r="O128" s="810"/>
      <c r="P128" s="1618"/>
      <c r="Q128" s="843"/>
      <c r="R128" s="710"/>
      <c r="S128" s="710"/>
      <c r="T128" s="710"/>
      <c r="U128" s="710"/>
      <c r="V128" s="710"/>
      <c r="W128" s="710"/>
      <c r="X128" s="710"/>
      <c r="Y128" s="710"/>
      <c r="Z128" s="710"/>
      <c r="AA128" s="710"/>
      <c r="AB128" s="710"/>
      <c r="AC128" s="710"/>
    </row>
    <row r="129" ht="14.75" spans="1:29">
      <c r="A129" s="864"/>
      <c r="B129" s="869"/>
      <c r="C129" s="883"/>
      <c r="D129" s="883"/>
      <c r="E129" s="883"/>
      <c r="F129" s="883"/>
      <c r="G129" s="866"/>
      <c r="H129" s="866"/>
      <c r="I129" s="866"/>
      <c r="J129" s="866"/>
      <c r="K129" s="866"/>
      <c r="L129" s="866"/>
      <c r="M129" s="903"/>
      <c r="N129" s="904"/>
      <c r="O129" s="904"/>
      <c r="P129" s="1618"/>
      <c r="Q129" s="843"/>
      <c r="R129" s="710"/>
      <c r="S129" s="710"/>
      <c r="T129" s="710"/>
      <c r="U129" s="710"/>
      <c r="V129" s="710"/>
      <c r="W129" s="710"/>
      <c r="X129" s="710"/>
      <c r="Y129" s="710"/>
      <c r="Z129" s="710"/>
      <c r="AA129" s="710"/>
      <c r="AB129" s="710"/>
      <c r="AC129" s="710"/>
    </row>
    <row r="130" s="570" customFormat="1" ht="14.75" spans="1:29">
      <c r="A130" s="895"/>
      <c r="B130" s="867">
        <f>B45</f>
        <v>111</v>
      </c>
      <c r="C130" s="739"/>
      <c r="D130" s="739"/>
      <c r="E130" s="739"/>
      <c r="F130" s="739"/>
      <c r="G130" s="877"/>
      <c r="H130" s="877"/>
      <c r="I130" s="877"/>
      <c r="J130" s="877"/>
      <c r="K130" s="877"/>
      <c r="L130" s="912"/>
      <c r="M130" s="913"/>
      <c r="N130" s="914"/>
      <c r="O130" s="914"/>
      <c r="P130" s="1619"/>
      <c r="Q130" s="947"/>
      <c r="R130" s="948"/>
      <c r="S130" s="948"/>
      <c r="T130" s="948"/>
      <c r="U130" s="948"/>
      <c r="V130" s="948"/>
      <c r="W130" s="948"/>
      <c r="X130" s="948"/>
      <c r="Y130" s="948"/>
      <c r="Z130" s="948"/>
      <c r="AA130" s="948"/>
      <c r="AB130" s="948"/>
      <c r="AC130" s="948"/>
    </row>
    <row r="131" s="570" customFormat="1" ht="14.75" spans="1:29">
      <c r="A131" s="881"/>
      <c r="B131" s="1612"/>
      <c r="C131" s="883"/>
      <c r="D131" s="883"/>
      <c r="E131" s="883"/>
      <c r="F131" s="883"/>
      <c r="G131" s="894"/>
      <c r="H131" s="894"/>
      <c r="I131" s="894"/>
      <c r="J131" s="894"/>
      <c r="K131" s="894"/>
      <c r="L131" s="894"/>
      <c r="M131" s="935"/>
      <c r="N131" s="914"/>
      <c r="O131" s="914"/>
      <c r="P131" s="1619"/>
      <c r="Q131" s="947"/>
      <c r="R131" s="948"/>
      <c r="S131" s="948"/>
      <c r="T131" s="948"/>
      <c r="U131" s="948"/>
      <c r="V131" s="948"/>
      <c r="W131" s="948"/>
      <c r="X131" s="948"/>
      <c r="Y131" s="948"/>
      <c r="Z131" s="948"/>
      <c r="AA131" s="948"/>
      <c r="AB131" s="948"/>
      <c r="AC131" s="94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632" customWidth="1"/>
    <col min="2" max="2" width="8.87272727272727" style="1632"/>
    <col min="3" max="5" width="12.8727272727273" style="1632" customWidth="1"/>
    <col min="6" max="6" width="47.5" style="1632" customWidth="1"/>
    <col min="7" max="7" width="13" style="1633" customWidth="1"/>
    <col min="8" max="8" width="8.87272727272727" style="1634"/>
    <col min="9" max="9" width="8.87272727272727" style="1635"/>
    <col min="10" max="10" width="5.75454545454545" style="1636" customWidth="1"/>
    <col min="11" max="11" width="11.7545454545455" style="1636" customWidth="1"/>
    <col min="12" max="13" width="10.7545454545455" style="1636" customWidth="1"/>
    <col min="14" max="14" width="10" style="1636" customWidth="1"/>
    <col min="15" max="16" width="10.5" style="1636" customWidth="1"/>
    <col min="17" max="17" width="10" style="1636" customWidth="1"/>
    <col min="18" max="18" width="10.1272727272727" style="1636" customWidth="1"/>
    <col min="19" max="19" width="10" style="1636" customWidth="1"/>
    <col min="20" max="20" width="26.1272727272727" style="1636" customWidth="1"/>
    <col min="21" max="21" width="8.87272727272727" style="1636"/>
    <col min="22" max="22" width="8.87272727272727" style="1635"/>
    <col min="23" max="256" width="8.87272727272727" style="1632"/>
    <col min="257" max="257" width="9.5" style="1632" customWidth="1"/>
    <col min="258" max="258" width="8.87272727272727" style="1632"/>
    <col min="259" max="261" width="12.8727272727273" style="1632" customWidth="1"/>
    <col min="262" max="262" width="47.5" style="1632" customWidth="1"/>
    <col min="263" max="263" width="13" style="1632" customWidth="1"/>
    <col min="264" max="265" width="8.87272727272727" style="1632"/>
    <col min="266" max="266" width="5.75454545454545" style="1632" customWidth="1"/>
    <col min="267" max="267" width="11.7545454545455" style="1632" customWidth="1"/>
    <col min="268" max="269" width="10.7545454545455" style="1632" customWidth="1"/>
    <col min="270" max="270" width="10" style="1632" customWidth="1"/>
    <col min="271" max="272" width="10.5" style="1632" customWidth="1"/>
    <col min="273" max="273" width="10" style="1632" customWidth="1"/>
    <col min="274" max="274" width="10.1272727272727" style="1632" customWidth="1"/>
    <col min="275" max="275" width="10" style="1632" customWidth="1"/>
    <col min="276" max="276" width="26.1272727272727" style="1632" customWidth="1"/>
    <col min="277" max="512" width="8.87272727272727" style="1632"/>
    <col min="513" max="513" width="9.5" style="1632" customWidth="1"/>
    <col min="514" max="514" width="8.87272727272727" style="1632"/>
    <col min="515" max="517" width="12.8727272727273" style="1632" customWidth="1"/>
    <col min="518" max="518" width="47.5" style="1632" customWidth="1"/>
    <col min="519" max="519" width="13" style="1632" customWidth="1"/>
    <col min="520" max="521" width="8.87272727272727" style="1632"/>
    <col min="522" max="522" width="5.75454545454545" style="1632" customWidth="1"/>
    <col min="523" max="523" width="11.7545454545455" style="1632" customWidth="1"/>
    <col min="524" max="525" width="10.7545454545455" style="1632" customWidth="1"/>
    <col min="526" max="526" width="10" style="1632" customWidth="1"/>
    <col min="527" max="528" width="10.5" style="1632" customWidth="1"/>
    <col min="529" max="529" width="10" style="1632" customWidth="1"/>
    <col min="530" max="530" width="10.1272727272727" style="1632" customWidth="1"/>
    <col min="531" max="531" width="10" style="1632" customWidth="1"/>
    <col min="532" max="532" width="26.1272727272727" style="1632" customWidth="1"/>
    <col min="533" max="768" width="8.87272727272727" style="1632"/>
    <col min="769" max="769" width="9.5" style="1632" customWidth="1"/>
    <col min="770" max="770" width="8.87272727272727" style="1632"/>
    <col min="771" max="773" width="12.8727272727273" style="1632" customWidth="1"/>
    <col min="774" max="774" width="47.5" style="1632" customWidth="1"/>
    <col min="775" max="775" width="13" style="1632" customWidth="1"/>
    <col min="776" max="777" width="8.87272727272727" style="1632"/>
    <col min="778" max="778" width="5.75454545454545" style="1632" customWidth="1"/>
    <col min="779" max="779" width="11.7545454545455" style="1632" customWidth="1"/>
    <col min="780" max="781" width="10.7545454545455" style="1632" customWidth="1"/>
    <col min="782" max="782" width="10" style="1632" customWidth="1"/>
    <col min="783" max="784" width="10.5" style="1632" customWidth="1"/>
    <col min="785" max="785" width="10" style="1632" customWidth="1"/>
    <col min="786" max="786" width="10.1272727272727" style="1632" customWidth="1"/>
    <col min="787" max="787" width="10" style="1632" customWidth="1"/>
    <col min="788" max="788" width="26.1272727272727" style="1632" customWidth="1"/>
    <col min="789" max="1024" width="8.87272727272727" style="1632"/>
    <col min="1025" max="1025" width="9.5" style="1632" customWidth="1"/>
    <col min="1026" max="1026" width="8.87272727272727" style="1632"/>
    <col min="1027" max="1029" width="12.8727272727273" style="1632" customWidth="1"/>
    <col min="1030" max="1030" width="47.5" style="1632" customWidth="1"/>
    <col min="1031" max="1031" width="13" style="1632" customWidth="1"/>
    <col min="1032" max="1033" width="8.87272727272727" style="1632"/>
    <col min="1034" max="1034" width="5.75454545454545" style="1632" customWidth="1"/>
    <col min="1035" max="1035" width="11.7545454545455" style="1632" customWidth="1"/>
    <col min="1036" max="1037" width="10.7545454545455" style="1632" customWidth="1"/>
    <col min="1038" max="1038" width="10" style="1632" customWidth="1"/>
    <col min="1039" max="1040" width="10.5" style="1632" customWidth="1"/>
    <col min="1041" max="1041" width="10" style="1632" customWidth="1"/>
    <col min="1042" max="1042" width="10.1272727272727" style="1632" customWidth="1"/>
    <col min="1043" max="1043" width="10" style="1632" customWidth="1"/>
    <col min="1044" max="1044" width="26.1272727272727" style="1632" customWidth="1"/>
    <col min="1045" max="1280" width="8.87272727272727" style="1632"/>
    <col min="1281" max="1281" width="9.5" style="1632" customWidth="1"/>
    <col min="1282" max="1282" width="8.87272727272727" style="1632"/>
    <col min="1283" max="1285" width="12.8727272727273" style="1632" customWidth="1"/>
    <col min="1286" max="1286" width="47.5" style="1632" customWidth="1"/>
    <col min="1287" max="1287" width="13" style="1632" customWidth="1"/>
    <col min="1288" max="1289" width="8.87272727272727" style="1632"/>
    <col min="1290" max="1290" width="5.75454545454545" style="1632" customWidth="1"/>
    <col min="1291" max="1291" width="11.7545454545455" style="1632" customWidth="1"/>
    <col min="1292" max="1293" width="10.7545454545455" style="1632" customWidth="1"/>
    <col min="1294" max="1294" width="10" style="1632" customWidth="1"/>
    <col min="1295" max="1296" width="10.5" style="1632" customWidth="1"/>
    <col min="1297" max="1297" width="10" style="1632" customWidth="1"/>
    <col min="1298" max="1298" width="10.1272727272727" style="1632" customWidth="1"/>
    <col min="1299" max="1299" width="10" style="1632" customWidth="1"/>
    <col min="1300" max="1300" width="26.1272727272727" style="1632" customWidth="1"/>
    <col min="1301" max="1536" width="8.87272727272727" style="1632"/>
    <col min="1537" max="1537" width="9.5" style="1632" customWidth="1"/>
    <col min="1538" max="1538" width="8.87272727272727" style="1632"/>
    <col min="1539" max="1541" width="12.8727272727273" style="1632" customWidth="1"/>
    <col min="1542" max="1542" width="47.5" style="1632" customWidth="1"/>
    <col min="1543" max="1543" width="13" style="1632" customWidth="1"/>
    <col min="1544" max="1545" width="8.87272727272727" style="1632"/>
    <col min="1546" max="1546" width="5.75454545454545" style="1632" customWidth="1"/>
    <col min="1547" max="1547" width="11.7545454545455" style="1632" customWidth="1"/>
    <col min="1548" max="1549" width="10.7545454545455" style="1632" customWidth="1"/>
    <col min="1550" max="1550" width="10" style="1632" customWidth="1"/>
    <col min="1551" max="1552" width="10.5" style="1632" customWidth="1"/>
    <col min="1553" max="1553" width="10" style="1632" customWidth="1"/>
    <col min="1554" max="1554" width="10.1272727272727" style="1632" customWidth="1"/>
    <col min="1555" max="1555" width="10" style="1632" customWidth="1"/>
    <col min="1556" max="1556" width="26.1272727272727" style="1632" customWidth="1"/>
    <col min="1557" max="1792" width="8.87272727272727" style="1632"/>
    <col min="1793" max="1793" width="9.5" style="1632" customWidth="1"/>
    <col min="1794" max="1794" width="8.87272727272727" style="1632"/>
    <col min="1795" max="1797" width="12.8727272727273" style="1632" customWidth="1"/>
    <col min="1798" max="1798" width="47.5" style="1632" customWidth="1"/>
    <col min="1799" max="1799" width="13" style="1632" customWidth="1"/>
    <col min="1800" max="1801" width="8.87272727272727" style="1632"/>
    <col min="1802" max="1802" width="5.75454545454545" style="1632" customWidth="1"/>
    <col min="1803" max="1803" width="11.7545454545455" style="1632" customWidth="1"/>
    <col min="1804" max="1805" width="10.7545454545455" style="1632" customWidth="1"/>
    <col min="1806" max="1806" width="10" style="1632" customWidth="1"/>
    <col min="1807" max="1808" width="10.5" style="1632" customWidth="1"/>
    <col min="1809" max="1809" width="10" style="1632" customWidth="1"/>
    <col min="1810" max="1810" width="10.1272727272727" style="1632" customWidth="1"/>
    <col min="1811" max="1811" width="10" style="1632" customWidth="1"/>
    <col min="1812" max="1812" width="26.1272727272727" style="1632" customWidth="1"/>
    <col min="1813" max="2048" width="8.87272727272727" style="1632"/>
    <col min="2049" max="2049" width="9.5" style="1632" customWidth="1"/>
    <col min="2050" max="2050" width="8.87272727272727" style="1632"/>
    <col min="2051" max="2053" width="12.8727272727273" style="1632" customWidth="1"/>
    <col min="2054" max="2054" width="47.5" style="1632" customWidth="1"/>
    <col min="2055" max="2055" width="13" style="1632" customWidth="1"/>
    <col min="2056" max="2057" width="8.87272727272727" style="1632"/>
    <col min="2058" max="2058" width="5.75454545454545" style="1632" customWidth="1"/>
    <col min="2059" max="2059" width="11.7545454545455" style="1632" customWidth="1"/>
    <col min="2060" max="2061" width="10.7545454545455" style="1632" customWidth="1"/>
    <col min="2062" max="2062" width="10" style="1632" customWidth="1"/>
    <col min="2063" max="2064" width="10.5" style="1632" customWidth="1"/>
    <col min="2065" max="2065" width="10" style="1632" customWidth="1"/>
    <col min="2066" max="2066" width="10.1272727272727" style="1632" customWidth="1"/>
    <col min="2067" max="2067" width="10" style="1632" customWidth="1"/>
    <col min="2068" max="2068" width="26.1272727272727" style="1632" customWidth="1"/>
    <col min="2069" max="2304" width="8.87272727272727" style="1632"/>
    <col min="2305" max="2305" width="9.5" style="1632" customWidth="1"/>
    <col min="2306" max="2306" width="8.87272727272727" style="1632"/>
    <col min="2307" max="2309" width="12.8727272727273" style="1632" customWidth="1"/>
    <col min="2310" max="2310" width="47.5" style="1632" customWidth="1"/>
    <col min="2311" max="2311" width="13" style="1632" customWidth="1"/>
    <col min="2312" max="2313" width="8.87272727272727" style="1632"/>
    <col min="2314" max="2314" width="5.75454545454545" style="1632" customWidth="1"/>
    <col min="2315" max="2315" width="11.7545454545455" style="1632" customWidth="1"/>
    <col min="2316" max="2317" width="10.7545454545455" style="1632" customWidth="1"/>
    <col min="2318" max="2318" width="10" style="1632" customWidth="1"/>
    <col min="2319" max="2320" width="10.5" style="1632" customWidth="1"/>
    <col min="2321" max="2321" width="10" style="1632" customWidth="1"/>
    <col min="2322" max="2322" width="10.1272727272727" style="1632" customWidth="1"/>
    <col min="2323" max="2323" width="10" style="1632" customWidth="1"/>
    <col min="2324" max="2324" width="26.1272727272727" style="1632" customWidth="1"/>
    <col min="2325" max="2560" width="8.87272727272727" style="1632"/>
    <col min="2561" max="2561" width="9.5" style="1632" customWidth="1"/>
    <col min="2562" max="2562" width="8.87272727272727" style="1632"/>
    <col min="2563" max="2565" width="12.8727272727273" style="1632" customWidth="1"/>
    <col min="2566" max="2566" width="47.5" style="1632" customWidth="1"/>
    <col min="2567" max="2567" width="13" style="1632" customWidth="1"/>
    <col min="2568" max="2569" width="8.87272727272727" style="1632"/>
    <col min="2570" max="2570" width="5.75454545454545" style="1632" customWidth="1"/>
    <col min="2571" max="2571" width="11.7545454545455" style="1632" customWidth="1"/>
    <col min="2572" max="2573" width="10.7545454545455" style="1632" customWidth="1"/>
    <col min="2574" max="2574" width="10" style="1632" customWidth="1"/>
    <col min="2575" max="2576" width="10.5" style="1632" customWidth="1"/>
    <col min="2577" max="2577" width="10" style="1632" customWidth="1"/>
    <col min="2578" max="2578" width="10.1272727272727" style="1632" customWidth="1"/>
    <col min="2579" max="2579" width="10" style="1632" customWidth="1"/>
    <col min="2580" max="2580" width="26.1272727272727" style="1632" customWidth="1"/>
    <col min="2581" max="2816" width="8.87272727272727" style="1632"/>
    <col min="2817" max="2817" width="9.5" style="1632" customWidth="1"/>
    <col min="2818" max="2818" width="8.87272727272727" style="1632"/>
    <col min="2819" max="2821" width="12.8727272727273" style="1632" customWidth="1"/>
    <col min="2822" max="2822" width="47.5" style="1632" customWidth="1"/>
    <col min="2823" max="2823" width="13" style="1632" customWidth="1"/>
    <col min="2824" max="2825" width="8.87272727272727" style="1632"/>
    <col min="2826" max="2826" width="5.75454545454545" style="1632" customWidth="1"/>
    <col min="2827" max="2827" width="11.7545454545455" style="1632" customWidth="1"/>
    <col min="2828" max="2829" width="10.7545454545455" style="1632" customWidth="1"/>
    <col min="2830" max="2830" width="10" style="1632" customWidth="1"/>
    <col min="2831" max="2832" width="10.5" style="1632" customWidth="1"/>
    <col min="2833" max="2833" width="10" style="1632" customWidth="1"/>
    <col min="2834" max="2834" width="10.1272727272727" style="1632" customWidth="1"/>
    <col min="2835" max="2835" width="10" style="1632" customWidth="1"/>
    <col min="2836" max="2836" width="26.1272727272727" style="1632" customWidth="1"/>
    <col min="2837" max="3072" width="8.87272727272727" style="1632"/>
    <col min="3073" max="3073" width="9.5" style="1632" customWidth="1"/>
    <col min="3074" max="3074" width="8.87272727272727" style="1632"/>
    <col min="3075" max="3077" width="12.8727272727273" style="1632" customWidth="1"/>
    <col min="3078" max="3078" width="47.5" style="1632" customWidth="1"/>
    <col min="3079" max="3079" width="13" style="1632" customWidth="1"/>
    <col min="3080" max="3081" width="8.87272727272727" style="1632"/>
    <col min="3082" max="3082" width="5.75454545454545" style="1632" customWidth="1"/>
    <col min="3083" max="3083" width="11.7545454545455" style="1632" customWidth="1"/>
    <col min="3084" max="3085" width="10.7545454545455" style="1632" customWidth="1"/>
    <col min="3086" max="3086" width="10" style="1632" customWidth="1"/>
    <col min="3087" max="3088" width="10.5" style="1632" customWidth="1"/>
    <col min="3089" max="3089" width="10" style="1632" customWidth="1"/>
    <col min="3090" max="3090" width="10.1272727272727" style="1632" customWidth="1"/>
    <col min="3091" max="3091" width="10" style="1632" customWidth="1"/>
    <col min="3092" max="3092" width="26.1272727272727" style="1632" customWidth="1"/>
    <col min="3093" max="3328" width="8.87272727272727" style="1632"/>
    <col min="3329" max="3329" width="9.5" style="1632" customWidth="1"/>
    <col min="3330" max="3330" width="8.87272727272727" style="1632"/>
    <col min="3331" max="3333" width="12.8727272727273" style="1632" customWidth="1"/>
    <col min="3334" max="3334" width="47.5" style="1632" customWidth="1"/>
    <col min="3335" max="3335" width="13" style="1632" customWidth="1"/>
    <col min="3336" max="3337" width="8.87272727272727" style="1632"/>
    <col min="3338" max="3338" width="5.75454545454545" style="1632" customWidth="1"/>
    <col min="3339" max="3339" width="11.7545454545455" style="1632" customWidth="1"/>
    <col min="3340" max="3341" width="10.7545454545455" style="1632" customWidth="1"/>
    <col min="3342" max="3342" width="10" style="1632" customWidth="1"/>
    <col min="3343" max="3344" width="10.5" style="1632" customWidth="1"/>
    <col min="3345" max="3345" width="10" style="1632" customWidth="1"/>
    <col min="3346" max="3346" width="10.1272727272727" style="1632" customWidth="1"/>
    <col min="3347" max="3347" width="10" style="1632" customWidth="1"/>
    <col min="3348" max="3348" width="26.1272727272727" style="1632" customWidth="1"/>
    <col min="3349" max="3584" width="8.87272727272727" style="1632"/>
    <col min="3585" max="3585" width="9.5" style="1632" customWidth="1"/>
    <col min="3586" max="3586" width="8.87272727272727" style="1632"/>
    <col min="3587" max="3589" width="12.8727272727273" style="1632" customWidth="1"/>
    <col min="3590" max="3590" width="47.5" style="1632" customWidth="1"/>
    <col min="3591" max="3591" width="13" style="1632" customWidth="1"/>
    <col min="3592" max="3593" width="8.87272727272727" style="1632"/>
    <col min="3594" max="3594" width="5.75454545454545" style="1632" customWidth="1"/>
    <col min="3595" max="3595" width="11.7545454545455" style="1632" customWidth="1"/>
    <col min="3596" max="3597" width="10.7545454545455" style="1632" customWidth="1"/>
    <col min="3598" max="3598" width="10" style="1632" customWidth="1"/>
    <col min="3599" max="3600" width="10.5" style="1632" customWidth="1"/>
    <col min="3601" max="3601" width="10" style="1632" customWidth="1"/>
    <col min="3602" max="3602" width="10.1272727272727" style="1632" customWidth="1"/>
    <col min="3603" max="3603" width="10" style="1632" customWidth="1"/>
    <col min="3604" max="3604" width="26.1272727272727" style="1632" customWidth="1"/>
    <col min="3605" max="3840" width="8.87272727272727" style="1632"/>
    <col min="3841" max="3841" width="9.5" style="1632" customWidth="1"/>
    <col min="3842" max="3842" width="8.87272727272727" style="1632"/>
    <col min="3843" max="3845" width="12.8727272727273" style="1632" customWidth="1"/>
    <col min="3846" max="3846" width="47.5" style="1632" customWidth="1"/>
    <col min="3847" max="3847" width="13" style="1632" customWidth="1"/>
    <col min="3848" max="3849" width="8.87272727272727" style="1632"/>
    <col min="3850" max="3850" width="5.75454545454545" style="1632" customWidth="1"/>
    <col min="3851" max="3851" width="11.7545454545455" style="1632" customWidth="1"/>
    <col min="3852" max="3853" width="10.7545454545455" style="1632" customWidth="1"/>
    <col min="3854" max="3854" width="10" style="1632" customWidth="1"/>
    <col min="3855" max="3856" width="10.5" style="1632" customWidth="1"/>
    <col min="3857" max="3857" width="10" style="1632" customWidth="1"/>
    <col min="3858" max="3858" width="10.1272727272727" style="1632" customWidth="1"/>
    <col min="3859" max="3859" width="10" style="1632" customWidth="1"/>
    <col min="3860" max="3860" width="26.1272727272727" style="1632" customWidth="1"/>
    <col min="3861" max="4096" width="8.87272727272727" style="1632"/>
    <col min="4097" max="4097" width="9.5" style="1632" customWidth="1"/>
    <col min="4098" max="4098" width="8.87272727272727" style="1632"/>
    <col min="4099" max="4101" width="12.8727272727273" style="1632" customWidth="1"/>
    <col min="4102" max="4102" width="47.5" style="1632" customWidth="1"/>
    <col min="4103" max="4103" width="13" style="1632" customWidth="1"/>
    <col min="4104" max="4105" width="8.87272727272727" style="1632"/>
    <col min="4106" max="4106" width="5.75454545454545" style="1632" customWidth="1"/>
    <col min="4107" max="4107" width="11.7545454545455" style="1632" customWidth="1"/>
    <col min="4108" max="4109" width="10.7545454545455" style="1632" customWidth="1"/>
    <col min="4110" max="4110" width="10" style="1632" customWidth="1"/>
    <col min="4111" max="4112" width="10.5" style="1632" customWidth="1"/>
    <col min="4113" max="4113" width="10" style="1632" customWidth="1"/>
    <col min="4114" max="4114" width="10.1272727272727" style="1632" customWidth="1"/>
    <col min="4115" max="4115" width="10" style="1632" customWidth="1"/>
    <col min="4116" max="4116" width="26.1272727272727" style="1632" customWidth="1"/>
    <col min="4117" max="4352" width="8.87272727272727" style="1632"/>
    <col min="4353" max="4353" width="9.5" style="1632" customWidth="1"/>
    <col min="4354" max="4354" width="8.87272727272727" style="1632"/>
    <col min="4355" max="4357" width="12.8727272727273" style="1632" customWidth="1"/>
    <col min="4358" max="4358" width="47.5" style="1632" customWidth="1"/>
    <col min="4359" max="4359" width="13" style="1632" customWidth="1"/>
    <col min="4360" max="4361" width="8.87272727272727" style="1632"/>
    <col min="4362" max="4362" width="5.75454545454545" style="1632" customWidth="1"/>
    <col min="4363" max="4363" width="11.7545454545455" style="1632" customWidth="1"/>
    <col min="4364" max="4365" width="10.7545454545455" style="1632" customWidth="1"/>
    <col min="4366" max="4366" width="10" style="1632" customWidth="1"/>
    <col min="4367" max="4368" width="10.5" style="1632" customWidth="1"/>
    <col min="4369" max="4369" width="10" style="1632" customWidth="1"/>
    <col min="4370" max="4370" width="10.1272727272727" style="1632" customWidth="1"/>
    <col min="4371" max="4371" width="10" style="1632" customWidth="1"/>
    <col min="4372" max="4372" width="26.1272727272727" style="1632" customWidth="1"/>
    <col min="4373" max="4608" width="8.87272727272727" style="1632"/>
    <col min="4609" max="4609" width="9.5" style="1632" customWidth="1"/>
    <col min="4610" max="4610" width="8.87272727272727" style="1632"/>
    <col min="4611" max="4613" width="12.8727272727273" style="1632" customWidth="1"/>
    <col min="4614" max="4614" width="47.5" style="1632" customWidth="1"/>
    <col min="4615" max="4615" width="13" style="1632" customWidth="1"/>
    <col min="4616" max="4617" width="8.87272727272727" style="1632"/>
    <col min="4618" max="4618" width="5.75454545454545" style="1632" customWidth="1"/>
    <col min="4619" max="4619" width="11.7545454545455" style="1632" customWidth="1"/>
    <col min="4620" max="4621" width="10.7545454545455" style="1632" customWidth="1"/>
    <col min="4622" max="4622" width="10" style="1632" customWidth="1"/>
    <col min="4623" max="4624" width="10.5" style="1632" customWidth="1"/>
    <col min="4625" max="4625" width="10" style="1632" customWidth="1"/>
    <col min="4626" max="4626" width="10.1272727272727" style="1632" customWidth="1"/>
    <col min="4627" max="4627" width="10" style="1632" customWidth="1"/>
    <col min="4628" max="4628" width="26.1272727272727" style="1632" customWidth="1"/>
    <col min="4629" max="4864" width="8.87272727272727" style="1632"/>
    <col min="4865" max="4865" width="9.5" style="1632" customWidth="1"/>
    <col min="4866" max="4866" width="8.87272727272727" style="1632"/>
    <col min="4867" max="4869" width="12.8727272727273" style="1632" customWidth="1"/>
    <col min="4870" max="4870" width="47.5" style="1632" customWidth="1"/>
    <col min="4871" max="4871" width="13" style="1632" customWidth="1"/>
    <col min="4872" max="4873" width="8.87272727272727" style="1632"/>
    <col min="4874" max="4874" width="5.75454545454545" style="1632" customWidth="1"/>
    <col min="4875" max="4875" width="11.7545454545455" style="1632" customWidth="1"/>
    <col min="4876" max="4877" width="10.7545454545455" style="1632" customWidth="1"/>
    <col min="4878" max="4878" width="10" style="1632" customWidth="1"/>
    <col min="4879" max="4880" width="10.5" style="1632" customWidth="1"/>
    <col min="4881" max="4881" width="10" style="1632" customWidth="1"/>
    <col min="4882" max="4882" width="10.1272727272727" style="1632" customWidth="1"/>
    <col min="4883" max="4883" width="10" style="1632" customWidth="1"/>
    <col min="4884" max="4884" width="26.1272727272727" style="1632" customWidth="1"/>
    <col min="4885" max="5120" width="8.87272727272727" style="1632"/>
    <col min="5121" max="5121" width="9.5" style="1632" customWidth="1"/>
    <col min="5122" max="5122" width="8.87272727272727" style="1632"/>
    <col min="5123" max="5125" width="12.8727272727273" style="1632" customWidth="1"/>
    <col min="5126" max="5126" width="47.5" style="1632" customWidth="1"/>
    <col min="5127" max="5127" width="13" style="1632" customWidth="1"/>
    <col min="5128" max="5129" width="8.87272727272727" style="1632"/>
    <col min="5130" max="5130" width="5.75454545454545" style="1632" customWidth="1"/>
    <col min="5131" max="5131" width="11.7545454545455" style="1632" customWidth="1"/>
    <col min="5132" max="5133" width="10.7545454545455" style="1632" customWidth="1"/>
    <col min="5134" max="5134" width="10" style="1632" customWidth="1"/>
    <col min="5135" max="5136" width="10.5" style="1632" customWidth="1"/>
    <col min="5137" max="5137" width="10" style="1632" customWidth="1"/>
    <col min="5138" max="5138" width="10.1272727272727" style="1632" customWidth="1"/>
    <col min="5139" max="5139" width="10" style="1632" customWidth="1"/>
    <col min="5140" max="5140" width="26.1272727272727" style="1632" customWidth="1"/>
    <col min="5141" max="5376" width="8.87272727272727" style="1632"/>
    <col min="5377" max="5377" width="9.5" style="1632" customWidth="1"/>
    <col min="5378" max="5378" width="8.87272727272727" style="1632"/>
    <col min="5379" max="5381" width="12.8727272727273" style="1632" customWidth="1"/>
    <col min="5382" max="5382" width="47.5" style="1632" customWidth="1"/>
    <col min="5383" max="5383" width="13" style="1632" customWidth="1"/>
    <col min="5384" max="5385" width="8.87272727272727" style="1632"/>
    <col min="5386" max="5386" width="5.75454545454545" style="1632" customWidth="1"/>
    <col min="5387" max="5387" width="11.7545454545455" style="1632" customWidth="1"/>
    <col min="5388" max="5389" width="10.7545454545455" style="1632" customWidth="1"/>
    <col min="5390" max="5390" width="10" style="1632" customWidth="1"/>
    <col min="5391" max="5392" width="10.5" style="1632" customWidth="1"/>
    <col min="5393" max="5393" width="10" style="1632" customWidth="1"/>
    <col min="5394" max="5394" width="10.1272727272727" style="1632" customWidth="1"/>
    <col min="5395" max="5395" width="10" style="1632" customWidth="1"/>
    <col min="5396" max="5396" width="26.1272727272727" style="1632" customWidth="1"/>
    <col min="5397" max="5632" width="8.87272727272727" style="1632"/>
    <col min="5633" max="5633" width="9.5" style="1632" customWidth="1"/>
    <col min="5634" max="5634" width="8.87272727272727" style="1632"/>
    <col min="5635" max="5637" width="12.8727272727273" style="1632" customWidth="1"/>
    <col min="5638" max="5638" width="47.5" style="1632" customWidth="1"/>
    <col min="5639" max="5639" width="13" style="1632" customWidth="1"/>
    <col min="5640" max="5641" width="8.87272727272727" style="1632"/>
    <col min="5642" max="5642" width="5.75454545454545" style="1632" customWidth="1"/>
    <col min="5643" max="5643" width="11.7545454545455" style="1632" customWidth="1"/>
    <col min="5644" max="5645" width="10.7545454545455" style="1632" customWidth="1"/>
    <col min="5646" max="5646" width="10" style="1632" customWidth="1"/>
    <col min="5647" max="5648" width="10.5" style="1632" customWidth="1"/>
    <col min="5649" max="5649" width="10" style="1632" customWidth="1"/>
    <col min="5650" max="5650" width="10.1272727272727" style="1632" customWidth="1"/>
    <col min="5651" max="5651" width="10" style="1632" customWidth="1"/>
    <col min="5652" max="5652" width="26.1272727272727" style="1632" customWidth="1"/>
    <col min="5653" max="5888" width="8.87272727272727" style="1632"/>
    <col min="5889" max="5889" width="9.5" style="1632" customWidth="1"/>
    <col min="5890" max="5890" width="8.87272727272727" style="1632"/>
    <col min="5891" max="5893" width="12.8727272727273" style="1632" customWidth="1"/>
    <col min="5894" max="5894" width="47.5" style="1632" customWidth="1"/>
    <col min="5895" max="5895" width="13" style="1632" customWidth="1"/>
    <col min="5896" max="5897" width="8.87272727272727" style="1632"/>
    <col min="5898" max="5898" width="5.75454545454545" style="1632" customWidth="1"/>
    <col min="5899" max="5899" width="11.7545454545455" style="1632" customWidth="1"/>
    <col min="5900" max="5901" width="10.7545454545455" style="1632" customWidth="1"/>
    <col min="5902" max="5902" width="10" style="1632" customWidth="1"/>
    <col min="5903" max="5904" width="10.5" style="1632" customWidth="1"/>
    <col min="5905" max="5905" width="10" style="1632" customWidth="1"/>
    <col min="5906" max="5906" width="10.1272727272727" style="1632" customWidth="1"/>
    <col min="5907" max="5907" width="10" style="1632" customWidth="1"/>
    <col min="5908" max="5908" width="26.1272727272727" style="1632" customWidth="1"/>
    <col min="5909" max="6144" width="8.87272727272727" style="1632"/>
    <col min="6145" max="6145" width="9.5" style="1632" customWidth="1"/>
    <col min="6146" max="6146" width="8.87272727272727" style="1632"/>
    <col min="6147" max="6149" width="12.8727272727273" style="1632" customWidth="1"/>
    <col min="6150" max="6150" width="47.5" style="1632" customWidth="1"/>
    <col min="6151" max="6151" width="13" style="1632" customWidth="1"/>
    <col min="6152" max="6153" width="8.87272727272727" style="1632"/>
    <col min="6154" max="6154" width="5.75454545454545" style="1632" customWidth="1"/>
    <col min="6155" max="6155" width="11.7545454545455" style="1632" customWidth="1"/>
    <col min="6156" max="6157" width="10.7545454545455" style="1632" customWidth="1"/>
    <col min="6158" max="6158" width="10" style="1632" customWidth="1"/>
    <col min="6159" max="6160" width="10.5" style="1632" customWidth="1"/>
    <col min="6161" max="6161" width="10" style="1632" customWidth="1"/>
    <col min="6162" max="6162" width="10.1272727272727" style="1632" customWidth="1"/>
    <col min="6163" max="6163" width="10" style="1632" customWidth="1"/>
    <col min="6164" max="6164" width="26.1272727272727" style="1632" customWidth="1"/>
    <col min="6165" max="6400" width="8.87272727272727" style="1632"/>
    <col min="6401" max="6401" width="9.5" style="1632" customWidth="1"/>
    <col min="6402" max="6402" width="8.87272727272727" style="1632"/>
    <col min="6403" max="6405" width="12.8727272727273" style="1632" customWidth="1"/>
    <col min="6406" max="6406" width="47.5" style="1632" customWidth="1"/>
    <col min="6407" max="6407" width="13" style="1632" customWidth="1"/>
    <col min="6408" max="6409" width="8.87272727272727" style="1632"/>
    <col min="6410" max="6410" width="5.75454545454545" style="1632" customWidth="1"/>
    <col min="6411" max="6411" width="11.7545454545455" style="1632" customWidth="1"/>
    <col min="6412" max="6413" width="10.7545454545455" style="1632" customWidth="1"/>
    <col min="6414" max="6414" width="10" style="1632" customWidth="1"/>
    <col min="6415" max="6416" width="10.5" style="1632" customWidth="1"/>
    <col min="6417" max="6417" width="10" style="1632" customWidth="1"/>
    <col min="6418" max="6418" width="10.1272727272727" style="1632" customWidth="1"/>
    <col min="6419" max="6419" width="10" style="1632" customWidth="1"/>
    <col min="6420" max="6420" width="26.1272727272727" style="1632" customWidth="1"/>
    <col min="6421" max="6656" width="8.87272727272727" style="1632"/>
    <col min="6657" max="6657" width="9.5" style="1632" customWidth="1"/>
    <col min="6658" max="6658" width="8.87272727272727" style="1632"/>
    <col min="6659" max="6661" width="12.8727272727273" style="1632" customWidth="1"/>
    <col min="6662" max="6662" width="47.5" style="1632" customWidth="1"/>
    <col min="6663" max="6663" width="13" style="1632" customWidth="1"/>
    <col min="6664" max="6665" width="8.87272727272727" style="1632"/>
    <col min="6666" max="6666" width="5.75454545454545" style="1632" customWidth="1"/>
    <col min="6667" max="6667" width="11.7545454545455" style="1632" customWidth="1"/>
    <col min="6668" max="6669" width="10.7545454545455" style="1632" customWidth="1"/>
    <col min="6670" max="6670" width="10" style="1632" customWidth="1"/>
    <col min="6671" max="6672" width="10.5" style="1632" customWidth="1"/>
    <col min="6673" max="6673" width="10" style="1632" customWidth="1"/>
    <col min="6674" max="6674" width="10.1272727272727" style="1632" customWidth="1"/>
    <col min="6675" max="6675" width="10" style="1632" customWidth="1"/>
    <col min="6676" max="6676" width="26.1272727272727" style="1632" customWidth="1"/>
    <col min="6677" max="6912" width="8.87272727272727" style="1632"/>
    <col min="6913" max="6913" width="9.5" style="1632" customWidth="1"/>
    <col min="6914" max="6914" width="8.87272727272727" style="1632"/>
    <col min="6915" max="6917" width="12.8727272727273" style="1632" customWidth="1"/>
    <col min="6918" max="6918" width="47.5" style="1632" customWidth="1"/>
    <col min="6919" max="6919" width="13" style="1632" customWidth="1"/>
    <col min="6920" max="6921" width="8.87272727272727" style="1632"/>
    <col min="6922" max="6922" width="5.75454545454545" style="1632" customWidth="1"/>
    <col min="6923" max="6923" width="11.7545454545455" style="1632" customWidth="1"/>
    <col min="6924" max="6925" width="10.7545454545455" style="1632" customWidth="1"/>
    <col min="6926" max="6926" width="10" style="1632" customWidth="1"/>
    <col min="6927" max="6928" width="10.5" style="1632" customWidth="1"/>
    <col min="6929" max="6929" width="10" style="1632" customWidth="1"/>
    <col min="6930" max="6930" width="10.1272727272727" style="1632" customWidth="1"/>
    <col min="6931" max="6931" width="10" style="1632" customWidth="1"/>
    <col min="6932" max="6932" width="26.1272727272727" style="1632" customWidth="1"/>
    <col min="6933" max="7168" width="8.87272727272727" style="1632"/>
    <col min="7169" max="7169" width="9.5" style="1632" customWidth="1"/>
    <col min="7170" max="7170" width="8.87272727272727" style="1632"/>
    <col min="7171" max="7173" width="12.8727272727273" style="1632" customWidth="1"/>
    <col min="7174" max="7174" width="47.5" style="1632" customWidth="1"/>
    <col min="7175" max="7175" width="13" style="1632" customWidth="1"/>
    <col min="7176" max="7177" width="8.87272727272727" style="1632"/>
    <col min="7178" max="7178" width="5.75454545454545" style="1632" customWidth="1"/>
    <col min="7179" max="7179" width="11.7545454545455" style="1632" customWidth="1"/>
    <col min="7180" max="7181" width="10.7545454545455" style="1632" customWidth="1"/>
    <col min="7182" max="7182" width="10" style="1632" customWidth="1"/>
    <col min="7183" max="7184" width="10.5" style="1632" customWidth="1"/>
    <col min="7185" max="7185" width="10" style="1632" customWidth="1"/>
    <col min="7186" max="7186" width="10.1272727272727" style="1632" customWidth="1"/>
    <col min="7187" max="7187" width="10" style="1632" customWidth="1"/>
    <col min="7188" max="7188" width="26.1272727272727" style="1632" customWidth="1"/>
    <col min="7189" max="7424" width="8.87272727272727" style="1632"/>
    <col min="7425" max="7425" width="9.5" style="1632" customWidth="1"/>
    <col min="7426" max="7426" width="8.87272727272727" style="1632"/>
    <col min="7427" max="7429" width="12.8727272727273" style="1632" customWidth="1"/>
    <col min="7430" max="7430" width="47.5" style="1632" customWidth="1"/>
    <col min="7431" max="7431" width="13" style="1632" customWidth="1"/>
    <col min="7432" max="7433" width="8.87272727272727" style="1632"/>
    <col min="7434" max="7434" width="5.75454545454545" style="1632" customWidth="1"/>
    <col min="7435" max="7435" width="11.7545454545455" style="1632" customWidth="1"/>
    <col min="7436" max="7437" width="10.7545454545455" style="1632" customWidth="1"/>
    <col min="7438" max="7438" width="10" style="1632" customWidth="1"/>
    <col min="7439" max="7440" width="10.5" style="1632" customWidth="1"/>
    <col min="7441" max="7441" width="10" style="1632" customWidth="1"/>
    <col min="7442" max="7442" width="10.1272727272727" style="1632" customWidth="1"/>
    <col min="7443" max="7443" width="10" style="1632" customWidth="1"/>
    <col min="7444" max="7444" width="26.1272727272727" style="1632" customWidth="1"/>
    <col min="7445" max="7680" width="8.87272727272727" style="1632"/>
    <col min="7681" max="7681" width="9.5" style="1632" customWidth="1"/>
    <col min="7682" max="7682" width="8.87272727272727" style="1632"/>
    <col min="7683" max="7685" width="12.8727272727273" style="1632" customWidth="1"/>
    <col min="7686" max="7686" width="47.5" style="1632" customWidth="1"/>
    <col min="7687" max="7687" width="13" style="1632" customWidth="1"/>
    <col min="7688" max="7689" width="8.87272727272727" style="1632"/>
    <col min="7690" max="7690" width="5.75454545454545" style="1632" customWidth="1"/>
    <col min="7691" max="7691" width="11.7545454545455" style="1632" customWidth="1"/>
    <col min="7692" max="7693" width="10.7545454545455" style="1632" customWidth="1"/>
    <col min="7694" max="7694" width="10" style="1632" customWidth="1"/>
    <col min="7695" max="7696" width="10.5" style="1632" customWidth="1"/>
    <col min="7697" max="7697" width="10" style="1632" customWidth="1"/>
    <col min="7698" max="7698" width="10.1272727272727" style="1632" customWidth="1"/>
    <col min="7699" max="7699" width="10" style="1632" customWidth="1"/>
    <col min="7700" max="7700" width="26.1272727272727" style="1632" customWidth="1"/>
    <col min="7701" max="7936" width="8.87272727272727" style="1632"/>
    <col min="7937" max="7937" width="9.5" style="1632" customWidth="1"/>
    <col min="7938" max="7938" width="8.87272727272727" style="1632"/>
    <col min="7939" max="7941" width="12.8727272727273" style="1632" customWidth="1"/>
    <col min="7942" max="7942" width="47.5" style="1632" customWidth="1"/>
    <col min="7943" max="7943" width="13" style="1632" customWidth="1"/>
    <col min="7944" max="7945" width="8.87272727272727" style="1632"/>
    <col min="7946" max="7946" width="5.75454545454545" style="1632" customWidth="1"/>
    <col min="7947" max="7947" width="11.7545454545455" style="1632" customWidth="1"/>
    <col min="7948" max="7949" width="10.7545454545455" style="1632" customWidth="1"/>
    <col min="7950" max="7950" width="10" style="1632" customWidth="1"/>
    <col min="7951" max="7952" width="10.5" style="1632" customWidth="1"/>
    <col min="7953" max="7953" width="10" style="1632" customWidth="1"/>
    <col min="7954" max="7954" width="10.1272727272727" style="1632" customWidth="1"/>
    <col min="7955" max="7955" width="10" style="1632" customWidth="1"/>
    <col min="7956" max="7956" width="26.1272727272727" style="1632" customWidth="1"/>
    <col min="7957" max="8192" width="8.87272727272727" style="1632"/>
    <col min="8193" max="8193" width="9.5" style="1632" customWidth="1"/>
    <col min="8194" max="8194" width="8.87272727272727" style="1632"/>
    <col min="8195" max="8197" width="12.8727272727273" style="1632" customWidth="1"/>
    <col min="8198" max="8198" width="47.5" style="1632" customWidth="1"/>
    <col min="8199" max="8199" width="13" style="1632" customWidth="1"/>
    <col min="8200" max="8201" width="8.87272727272727" style="1632"/>
    <col min="8202" max="8202" width="5.75454545454545" style="1632" customWidth="1"/>
    <col min="8203" max="8203" width="11.7545454545455" style="1632" customWidth="1"/>
    <col min="8204" max="8205" width="10.7545454545455" style="1632" customWidth="1"/>
    <col min="8206" max="8206" width="10" style="1632" customWidth="1"/>
    <col min="8207" max="8208" width="10.5" style="1632" customWidth="1"/>
    <col min="8209" max="8209" width="10" style="1632" customWidth="1"/>
    <col min="8210" max="8210" width="10.1272727272727" style="1632" customWidth="1"/>
    <col min="8211" max="8211" width="10" style="1632" customWidth="1"/>
    <col min="8212" max="8212" width="26.1272727272727" style="1632" customWidth="1"/>
    <col min="8213" max="8448" width="8.87272727272727" style="1632"/>
    <col min="8449" max="8449" width="9.5" style="1632" customWidth="1"/>
    <col min="8450" max="8450" width="8.87272727272727" style="1632"/>
    <col min="8451" max="8453" width="12.8727272727273" style="1632" customWidth="1"/>
    <col min="8454" max="8454" width="47.5" style="1632" customWidth="1"/>
    <col min="8455" max="8455" width="13" style="1632" customWidth="1"/>
    <col min="8456" max="8457" width="8.87272727272727" style="1632"/>
    <col min="8458" max="8458" width="5.75454545454545" style="1632" customWidth="1"/>
    <col min="8459" max="8459" width="11.7545454545455" style="1632" customWidth="1"/>
    <col min="8460" max="8461" width="10.7545454545455" style="1632" customWidth="1"/>
    <col min="8462" max="8462" width="10" style="1632" customWidth="1"/>
    <col min="8463" max="8464" width="10.5" style="1632" customWidth="1"/>
    <col min="8465" max="8465" width="10" style="1632" customWidth="1"/>
    <col min="8466" max="8466" width="10.1272727272727" style="1632" customWidth="1"/>
    <col min="8467" max="8467" width="10" style="1632" customWidth="1"/>
    <col min="8468" max="8468" width="26.1272727272727" style="1632" customWidth="1"/>
    <col min="8469" max="8704" width="8.87272727272727" style="1632"/>
    <col min="8705" max="8705" width="9.5" style="1632" customWidth="1"/>
    <col min="8706" max="8706" width="8.87272727272727" style="1632"/>
    <col min="8707" max="8709" width="12.8727272727273" style="1632" customWidth="1"/>
    <col min="8710" max="8710" width="47.5" style="1632" customWidth="1"/>
    <col min="8711" max="8711" width="13" style="1632" customWidth="1"/>
    <col min="8712" max="8713" width="8.87272727272727" style="1632"/>
    <col min="8714" max="8714" width="5.75454545454545" style="1632" customWidth="1"/>
    <col min="8715" max="8715" width="11.7545454545455" style="1632" customWidth="1"/>
    <col min="8716" max="8717" width="10.7545454545455" style="1632" customWidth="1"/>
    <col min="8718" max="8718" width="10" style="1632" customWidth="1"/>
    <col min="8719" max="8720" width="10.5" style="1632" customWidth="1"/>
    <col min="8721" max="8721" width="10" style="1632" customWidth="1"/>
    <col min="8722" max="8722" width="10.1272727272727" style="1632" customWidth="1"/>
    <col min="8723" max="8723" width="10" style="1632" customWidth="1"/>
    <col min="8724" max="8724" width="26.1272727272727" style="1632" customWidth="1"/>
    <col min="8725" max="8960" width="8.87272727272727" style="1632"/>
    <col min="8961" max="8961" width="9.5" style="1632" customWidth="1"/>
    <col min="8962" max="8962" width="8.87272727272727" style="1632"/>
    <col min="8963" max="8965" width="12.8727272727273" style="1632" customWidth="1"/>
    <col min="8966" max="8966" width="47.5" style="1632" customWidth="1"/>
    <col min="8967" max="8967" width="13" style="1632" customWidth="1"/>
    <col min="8968" max="8969" width="8.87272727272727" style="1632"/>
    <col min="8970" max="8970" width="5.75454545454545" style="1632" customWidth="1"/>
    <col min="8971" max="8971" width="11.7545454545455" style="1632" customWidth="1"/>
    <col min="8972" max="8973" width="10.7545454545455" style="1632" customWidth="1"/>
    <col min="8974" max="8974" width="10" style="1632" customWidth="1"/>
    <col min="8975" max="8976" width="10.5" style="1632" customWidth="1"/>
    <col min="8977" max="8977" width="10" style="1632" customWidth="1"/>
    <col min="8978" max="8978" width="10.1272727272727" style="1632" customWidth="1"/>
    <col min="8979" max="8979" width="10" style="1632" customWidth="1"/>
    <col min="8980" max="8980" width="26.1272727272727" style="1632" customWidth="1"/>
    <col min="8981" max="9216" width="8.87272727272727" style="1632"/>
    <col min="9217" max="9217" width="9.5" style="1632" customWidth="1"/>
    <col min="9218" max="9218" width="8.87272727272727" style="1632"/>
    <col min="9219" max="9221" width="12.8727272727273" style="1632" customWidth="1"/>
    <col min="9222" max="9222" width="47.5" style="1632" customWidth="1"/>
    <col min="9223" max="9223" width="13" style="1632" customWidth="1"/>
    <col min="9224" max="9225" width="8.87272727272727" style="1632"/>
    <col min="9226" max="9226" width="5.75454545454545" style="1632" customWidth="1"/>
    <col min="9227" max="9227" width="11.7545454545455" style="1632" customWidth="1"/>
    <col min="9228" max="9229" width="10.7545454545455" style="1632" customWidth="1"/>
    <col min="9230" max="9230" width="10" style="1632" customWidth="1"/>
    <col min="9231" max="9232" width="10.5" style="1632" customWidth="1"/>
    <col min="9233" max="9233" width="10" style="1632" customWidth="1"/>
    <col min="9234" max="9234" width="10.1272727272727" style="1632" customWidth="1"/>
    <col min="9235" max="9235" width="10" style="1632" customWidth="1"/>
    <col min="9236" max="9236" width="26.1272727272727" style="1632" customWidth="1"/>
    <col min="9237" max="9472" width="8.87272727272727" style="1632"/>
    <col min="9473" max="9473" width="9.5" style="1632" customWidth="1"/>
    <col min="9474" max="9474" width="8.87272727272727" style="1632"/>
    <col min="9475" max="9477" width="12.8727272727273" style="1632" customWidth="1"/>
    <col min="9478" max="9478" width="47.5" style="1632" customWidth="1"/>
    <col min="9479" max="9479" width="13" style="1632" customWidth="1"/>
    <col min="9480" max="9481" width="8.87272727272727" style="1632"/>
    <col min="9482" max="9482" width="5.75454545454545" style="1632" customWidth="1"/>
    <col min="9483" max="9483" width="11.7545454545455" style="1632" customWidth="1"/>
    <col min="9484" max="9485" width="10.7545454545455" style="1632" customWidth="1"/>
    <col min="9486" max="9486" width="10" style="1632" customWidth="1"/>
    <col min="9487" max="9488" width="10.5" style="1632" customWidth="1"/>
    <col min="9489" max="9489" width="10" style="1632" customWidth="1"/>
    <col min="9490" max="9490" width="10.1272727272727" style="1632" customWidth="1"/>
    <col min="9491" max="9491" width="10" style="1632" customWidth="1"/>
    <col min="9492" max="9492" width="26.1272727272727" style="1632" customWidth="1"/>
    <col min="9493" max="9728" width="8.87272727272727" style="1632"/>
    <col min="9729" max="9729" width="9.5" style="1632" customWidth="1"/>
    <col min="9730" max="9730" width="8.87272727272727" style="1632"/>
    <col min="9731" max="9733" width="12.8727272727273" style="1632" customWidth="1"/>
    <col min="9734" max="9734" width="47.5" style="1632" customWidth="1"/>
    <col min="9735" max="9735" width="13" style="1632" customWidth="1"/>
    <col min="9736" max="9737" width="8.87272727272727" style="1632"/>
    <col min="9738" max="9738" width="5.75454545454545" style="1632" customWidth="1"/>
    <col min="9739" max="9739" width="11.7545454545455" style="1632" customWidth="1"/>
    <col min="9740" max="9741" width="10.7545454545455" style="1632" customWidth="1"/>
    <col min="9742" max="9742" width="10" style="1632" customWidth="1"/>
    <col min="9743" max="9744" width="10.5" style="1632" customWidth="1"/>
    <col min="9745" max="9745" width="10" style="1632" customWidth="1"/>
    <col min="9746" max="9746" width="10.1272727272727" style="1632" customWidth="1"/>
    <col min="9747" max="9747" width="10" style="1632" customWidth="1"/>
    <col min="9748" max="9748" width="26.1272727272727" style="1632" customWidth="1"/>
    <col min="9749" max="9984" width="8.87272727272727" style="1632"/>
    <col min="9985" max="9985" width="9.5" style="1632" customWidth="1"/>
    <col min="9986" max="9986" width="8.87272727272727" style="1632"/>
    <col min="9987" max="9989" width="12.8727272727273" style="1632" customWidth="1"/>
    <col min="9990" max="9990" width="47.5" style="1632" customWidth="1"/>
    <col min="9991" max="9991" width="13" style="1632" customWidth="1"/>
    <col min="9992" max="9993" width="8.87272727272727" style="1632"/>
    <col min="9994" max="9994" width="5.75454545454545" style="1632" customWidth="1"/>
    <col min="9995" max="9995" width="11.7545454545455" style="1632" customWidth="1"/>
    <col min="9996" max="9997" width="10.7545454545455" style="1632" customWidth="1"/>
    <col min="9998" max="9998" width="10" style="1632" customWidth="1"/>
    <col min="9999" max="10000" width="10.5" style="1632" customWidth="1"/>
    <col min="10001" max="10001" width="10" style="1632" customWidth="1"/>
    <col min="10002" max="10002" width="10.1272727272727" style="1632" customWidth="1"/>
    <col min="10003" max="10003" width="10" style="1632" customWidth="1"/>
    <col min="10004" max="10004" width="26.1272727272727" style="1632" customWidth="1"/>
    <col min="10005" max="10240" width="8.87272727272727" style="1632"/>
    <col min="10241" max="10241" width="9.5" style="1632" customWidth="1"/>
    <col min="10242" max="10242" width="8.87272727272727" style="1632"/>
    <col min="10243" max="10245" width="12.8727272727273" style="1632" customWidth="1"/>
    <col min="10246" max="10246" width="47.5" style="1632" customWidth="1"/>
    <col min="10247" max="10247" width="13" style="1632" customWidth="1"/>
    <col min="10248" max="10249" width="8.87272727272727" style="1632"/>
    <col min="10250" max="10250" width="5.75454545454545" style="1632" customWidth="1"/>
    <col min="10251" max="10251" width="11.7545454545455" style="1632" customWidth="1"/>
    <col min="10252" max="10253" width="10.7545454545455" style="1632" customWidth="1"/>
    <col min="10254" max="10254" width="10" style="1632" customWidth="1"/>
    <col min="10255" max="10256" width="10.5" style="1632" customWidth="1"/>
    <col min="10257" max="10257" width="10" style="1632" customWidth="1"/>
    <col min="10258" max="10258" width="10.1272727272727" style="1632" customWidth="1"/>
    <col min="10259" max="10259" width="10" style="1632" customWidth="1"/>
    <col min="10260" max="10260" width="26.1272727272727" style="1632" customWidth="1"/>
    <col min="10261" max="10496" width="8.87272727272727" style="1632"/>
    <col min="10497" max="10497" width="9.5" style="1632" customWidth="1"/>
    <col min="10498" max="10498" width="8.87272727272727" style="1632"/>
    <col min="10499" max="10501" width="12.8727272727273" style="1632" customWidth="1"/>
    <col min="10502" max="10502" width="47.5" style="1632" customWidth="1"/>
    <col min="10503" max="10503" width="13" style="1632" customWidth="1"/>
    <col min="10504" max="10505" width="8.87272727272727" style="1632"/>
    <col min="10506" max="10506" width="5.75454545454545" style="1632" customWidth="1"/>
    <col min="10507" max="10507" width="11.7545454545455" style="1632" customWidth="1"/>
    <col min="10508" max="10509" width="10.7545454545455" style="1632" customWidth="1"/>
    <col min="10510" max="10510" width="10" style="1632" customWidth="1"/>
    <col min="10511" max="10512" width="10.5" style="1632" customWidth="1"/>
    <col min="10513" max="10513" width="10" style="1632" customWidth="1"/>
    <col min="10514" max="10514" width="10.1272727272727" style="1632" customWidth="1"/>
    <col min="10515" max="10515" width="10" style="1632" customWidth="1"/>
    <col min="10516" max="10516" width="26.1272727272727" style="1632" customWidth="1"/>
    <col min="10517" max="10752" width="8.87272727272727" style="1632"/>
    <col min="10753" max="10753" width="9.5" style="1632" customWidth="1"/>
    <col min="10754" max="10754" width="8.87272727272727" style="1632"/>
    <col min="10755" max="10757" width="12.8727272727273" style="1632" customWidth="1"/>
    <col min="10758" max="10758" width="47.5" style="1632" customWidth="1"/>
    <col min="10759" max="10759" width="13" style="1632" customWidth="1"/>
    <col min="10760" max="10761" width="8.87272727272727" style="1632"/>
    <col min="10762" max="10762" width="5.75454545454545" style="1632" customWidth="1"/>
    <col min="10763" max="10763" width="11.7545454545455" style="1632" customWidth="1"/>
    <col min="10764" max="10765" width="10.7545454545455" style="1632" customWidth="1"/>
    <col min="10766" max="10766" width="10" style="1632" customWidth="1"/>
    <col min="10767" max="10768" width="10.5" style="1632" customWidth="1"/>
    <col min="10769" max="10769" width="10" style="1632" customWidth="1"/>
    <col min="10770" max="10770" width="10.1272727272727" style="1632" customWidth="1"/>
    <col min="10771" max="10771" width="10" style="1632" customWidth="1"/>
    <col min="10772" max="10772" width="26.1272727272727" style="1632" customWidth="1"/>
    <col min="10773" max="11008" width="8.87272727272727" style="1632"/>
    <col min="11009" max="11009" width="9.5" style="1632" customWidth="1"/>
    <col min="11010" max="11010" width="8.87272727272727" style="1632"/>
    <col min="11011" max="11013" width="12.8727272727273" style="1632" customWidth="1"/>
    <col min="11014" max="11014" width="47.5" style="1632" customWidth="1"/>
    <col min="11015" max="11015" width="13" style="1632" customWidth="1"/>
    <col min="11016" max="11017" width="8.87272727272727" style="1632"/>
    <col min="11018" max="11018" width="5.75454545454545" style="1632" customWidth="1"/>
    <col min="11019" max="11019" width="11.7545454545455" style="1632" customWidth="1"/>
    <col min="11020" max="11021" width="10.7545454545455" style="1632" customWidth="1"/>
    <col min="11022" max="11022" width="10" style="1632" customWidth="1"/>
    <col min="11023" max="11024" width="10.5" style="1632" customWidth="1"/>
    <col min="11025" max="11025" width="10" style="1632" customWidth="1"/>
    <col min="11026" max="11026" width="10.1272727272727" style="1632" customWidth="1"/>
    <col min="11027" max="11027" width="10" style="1632" customWidth="1"/>
    <col min="11028" max="11028" width="26.1272727272727" style="1632" customWidth="1"/>
    <col min="11029" max="11264" width="8.87272727272727" style="1632"/>
    <col min="11265" max="11265" width="9.5" style="1632" customWidth="1"/>
    <col min="11266" max="11266" width="8.87272727272727" style="1632"/>
    <col min="11267" max="11269" width="12.8727272727273" style="1632" customWidth="1"/>
    <col min="11270" max="11270" width="47.5" style="1632" customWidth="1"/>
    <col min="11271" max="11271" width="13" style="1632" customWidth="1"/>
    <col min="11272" max="11273" width="8.87272727272727" style="1632"/>
    <col min="11274" max="11274" width="5.75454545454545" style="1632" customWidth="1"/>
    <col min="11275" max="11275" width="11.7545454545455" style="1632" customWidth="1"/>
    <col min="11276" max="11277" width="10.7545454545455" style="1632" customWidth="1"/>
    <col min="11278" max="11278" width="10" style="1632" customWidth="1"/>
    <col min="11279" max="11280" width="10.5" style="1632" customWidth="1"/>
    <col min="11281" max="11281" width="10" style="1632" customWidth="1"/>
    <col min="11282" max="11282" width="10.1272727272727" style="1632" customWidth="1"/>
    <col min="11283" max="11283" width="10" style="1632" customWidth="1"/>
    <col min="11284" max="11284" width="26.1272727272727" style="1632" customWidth="1"/>
    <col min="11285" max="11520" width="8.87272727272727" style="1632"/>
    <col min="11521" max="11521" width="9.5" style="1632" customWidth="1"/>
    <col min="11522" max="11522" width="8.87272727272727" style="1632"/>
    <col min="11523" max="11525" width="12.8727272727273" style="1632" customWidth="1"/>
    <col min="11526" max="11526" width="47.5" style="1632" customWidth="1"/>
    <col min="11527" max="11527" width="13" style="1632" customWidth="1"/>
    <col min="11528" max="11529" width="8.87272727272727" style="1632"/>
    <col min="11530" max="11530" width="5.75454545454545" style="1632" customWidth="1"/>
    <col min="11531" max="11531" width="11.7545454545455" style="1632" customWidth="1"/>
    <col min="11532" max="11533" width="10.7545454545455" style="1632" customWidth="1"/>
    <col min="11534" max="11534" width="10" style="1632" customWidth="1"/>
    <col min="11535" max="11536" width="10.5" style="1632" customWidth="1"/>
    <col min="11537" max="11537" width="10" style="1632" customWidth="1"/>
    <col min="11538" max="11538" width="10.1272727272727" style="1632" customWidth="1"/>
    <col min="11539" max="11539" width="10" style="1632" customWidth="1"/>
    <col min="11540" max="11540" width="26.1272727272727" style="1632" customWidth="1"/>
    <col min="11541" max="11776" width="8.87272727272727" style="1632"/>
    <col min="11777" max="11777" width="9.5" style="1632" customWidth="1"/>
    <col min="11778" max="11778" width="8.87272727272727" style="1632"/>
    <col min="11779" max="11781" width="12.8727272727273" style="1632" customWidth="1"/>
    <col min="11782" max="11782" width="47.5" style="1632" customWidth="1"/>
    <col min="11783" max="11783" width="13" style="1632" customWidth="1"/>
    <col min="11784" max="11785" width="8.87272727272727" style="1632"/>
    <col min="11786" max="11786" width="5.75454545454545" style="1632" customWidth="1"/>
    <col min="11787" max="11787" width="11.7545454545455" style="1632" customWidth="1"/>
    <col min="11788" max="11789" width="10.7545454545455" style="1632" customWidth="1"/>
    <col min="11790" max="11790" width="10" style="1632" customWidth="1"/>
    <col min="11791" max="11792" width="10.5" style="1632" customWidth="1"/>
    <col min="11793" max="11793" width="10" style="1632" customWidth="1"/>
    <col min="11794" max="11794" width="10.1272727272727" style="1632" customWidth="1"/>
    <col min="11795" max="11795" width="10" style="1632" customWidth="1"/>
    <col min="11796" max="11796" width="26.1272727272727" style="1632" customWidth="1"/>
    <col min="11797" max="12032" width="8.87272727272727" style="1632"/>
    <col min="12033" max="12033" width="9.5" style="1632" customWidth="1"/>
    <col min="12034" max="12034" width="8.87272727272727" style="1632"/>
    <col min="12035" max="12037" width="12.8727272727273" style="1632" customWidth="1"/>
    <col min="12038" max="12038" width="47.5" style="1632" customWidth="1"/>
    <col min="12039" max="12039" width="13" style="1632" customWidth="1"/>
    <col min="12040" max="12041" width="8.87272727272727" style="1632"/>
    <col min="12042" max="12042" width="5.75454545454545" style="1632" customWidth="1"/>
    <col min="12043" max="12043" width="11.7545454545455" style="1632" customWidth="1"/>
    <col min="12044" max="12045" width="10.7545454545455" style="1632" customWidth="1"/>
    <col min="12046" max="12046" width="10" style="1632" customWidth="1"/>
    <col min="12047" max="12048" width="10.5" style="1632" customWidth="1"/>
    <col min="12049" max="12049" width="10" style="1632" customWidth="1"/>
    <col min="12050" max="12050" width="10.1272727272727" style="1632" customWidth="1"/>
    <col min="12051" max="12051" width="10" style="1632" customWidth="1"/>
    <col min="12052" max="12052" width="26.1272727272727" style="1632" customWidth="1"/>
    <col min="12053" max="12288" width="8.87272727272727" style="1632"/>
    <col min="12289" max="12289" width="9.5" style="1632" customWidth="1"/>
    <col min="12290" max="12290" width="8.87272727272727" style="1632"/>
    <col min="12291" max="12293" width="12.8727272727273" style="1632" customWidth="1"/>
    <col min="12294" max="12294" width="47.5" style="1632" customWidth="1"/>
    <col min="12295" max="12295" width="13" style="1632" customWidth="1"/>
    <col min="12296" max="12297" width="8.87272727272727" style="1632"/>
    <col min="12298" max="12298" width="5.75454545454545" style="1632" customWidth="1"/>
    <col min="12299" max="12299" width="11.7545454545455" style="1632" customWidth="1"/>
    <col min="12300" max="12301" width="10.7545454545455" style="1632" customWidth="1"/>
    <col min="12302" max="12302" width="10" style="1632" customWidth="1"/>
    <col min="12303" max="12304" width="10.5" style="1632" customWidth="1"/>
    <col min="12305" max="12305" width="10" style="1632" customWidth="1"/>
    <col min="12306" max="12306" width="10.1272727272727" style="1632" customWidth="1"/>
    <col min="12307" max="12307" width="10" style="1632" customWidth="1"/>
    <col min="12308" max="12308" width="26.1272727272727" style="1632" customWidth="1"/>
    <col min="12309" max="12544" width="8.87272727272727" style="1632"/>
    <col min="12545" max="12545" width="9.5" style="1632" customWidth="1"/>
    <col min="12546" max="12546" width="8.87272727272727" style="1632"/>
    <col min="12547" max="12549" width="12.8727272727273" style="1632" customWidth="1"/>
    <col min="12550" max="12550" width="47.5" style="1632" customWidth="1"/>
    <col min="12551" max="12551" width="13" style="1632" customWidth="1"/>
    <col min="12552" max="12553" width="8.87272727272727" style="1632"/>
    <col min="12554" max="12554" width="5.75454545454545" style="1632" customWidth="1"/>
    <col min="12555" max="12555" width="11.7545454545455" style="1632" customWidth="1"/>
    <col min="12556" max="12557" width="10.7545454545455" style="1632" customWidth="1"/>
    <col min="12558" max="12558" width="10" style="1632" customWidth="1"/>
    <col min="12559" max="12560" width="10.5" style="1632" customWidth="1"/>
    <col min="12561" max="12561" width="10" style="1632" customWidth="1"/>
    <col min="12562" max="12562" width="10.1272727272727" style="1632" customWidth="1"/>
    <col min="12563" max="12563" width="10" style="1632" customWidth="1"/>
    <col min="12564" max="12564" width="26.1272727272727" style="1632" customWidth="1"/>
    <col min="12565" max="12800" width="8.87272727272727" style="1632"/>
    <col min="12801" max="12801" width="9.5" style="1632" customWidth="1"/>
    <col min="12802" max="12802" width="8.87272727272727" style="1632"/>
    <col min="12803" max="12805" width="12.8727272727273" style="1632" customWidth="1"/>
    <col min="12806" max="12806" width="47.5" style="1632" customWidth="1"/>
    <col min="12807" max="12807" width="13" style="1632" customWidth="1"/>
    <col min="12808" max="12809" width="8.87272727272727" style="1632"/>
    <col min="12810" max="12810" width="5.75454545454545" style="1632" customWidth="1"/>
    <col min="12811" max="12811" width="11.7545454545455" style="1632" customWidth="1"/>
    <col min="12812" max="12813" width="10.7545454545455" style="1632" customWidth="1"/>
    <col min="12814" max="12814" width="10" style="1632" customWidth="1"/>
    <col min="12815" max="12816" width="10.5" style="1632" customWidth="1"/>
    <col min="12817" max="12817" width="10" style="1632" customWidth="1"/>
    <col min="12818" max="12818" width="10.1272727272727" style="1632" customWidth="1"/>
    <col min="12819" max="12819" width="10" style="1632" customWidth="1"/>
    <col min="12820" max="12820" width="26.1272727272727" style="1632" customWidth="1"/>
    <col min="12821" max="13056" width="8.87272727272727" style="1632"/>
    <col min="13057" max="13057" width="9.5" style="1632" customWidth="1"/>
    <col min="13058" max="13058" width="8.87272727272727" style="1632"/>
    <col min="13059" max="13061" width="12.8727272727273" style="1632" customWidth="1"/>
    <col min="13062" max="13062" width="47.5" style="1632" customWidth="1"/>
    <col min="13063" max="13063" width="13" style="1632" customWidth="1"/>
    <col min="13064" max="13065" width="8.87272727272727" style="1632"/>
    <col min="13066" max="13066" width="5.75454545454545" style="1632" customWidth="1"/>
    <col min="13067" max="13067" width="11.7545454545455" style="1632" customWidth="1"/>
    <col min="13068" max="13069" width="10.7545454545455" style="1632" customWidth="1"/>
    <col min="13070" max="13070" width="10" style="1632" customWidth="1"/>
    <col min="13071" max="13072" width="10.5" style="1632" customWidth="1"/>
    <col min="13073" max="13073" width="10" style="1632" customWidth="1"/>
    <col min="13074" max="13074" width="10.1272727272727" style="1632" customWidth="1"/>
    <col min="13075" max="13075" width="10" style="1632" customWidth="1"/>
    <col min="13076" max="13076" width="26.1272727272727" style="1632" customWidth="1"/>
    <col min="13077" max="13312" width="8.87272727272727" style="1632"/>
    <col min="13313" max="13313" width="9.5" style="1632" customWidth="1"/>
    <col min="13314" max="13314" width="8.87272727272727" style="1632"/>
    <col min="13315" max="13317" width="12.8727272727273" style="1632" customWidth="1"/>
    <col min="13318" max="13318" width="47.5" style="1632" customWidth="1"/>
    <col min="13319" max="13319" width="13" style="1632" customWidth="1"/>
    <col min="13320" max="13321" width="8.87272727272727" style="1632"/>
    <col min="13322" max="13322" width="5.75454545454545" style="1632" customWidth="1"/>
    <col min="13323" max="13323" width="11.7545454545455" style="1632" customWidth="1"/>
    <col min="13324" max="13325" width="10.7545454545455" style="1632" customWidth="1"/>
    <col min="13326" max="13326" width="10" style="1632" customWidth="1"/>
    <col min="13327" max="13328" width="10.5" style="1632" customWidth="1"/>
    <col min="13329" max="13329" width="10" style="1632" customWidth="1"/>
    <col min="13330" max="13330" width="10.1272727272727" style="1632" customWidth="1"/>
    <col min="13331" max="13331" width="10" style="1632" customWidth="1"/>
    <col min="13332" max="13332" width="26.1272727272727" style="1632" customWidth="1"/>
    <col min="13333" max="13568" width="8.87272727272727" style="1632"/>
    <col min="13569" max="13569" width="9.5" style="1632" customWidth="1"/>
    <col min="13570" max="13570" width="8.87272727272727" style="1632"/>
    <col min="13571" max="13573" width="12.8727272727273" style="1632" customWidth="1"/>
    <col min="13574" max="13574" width="47.5" style="1632" customWidth="1"/>
    <col min="13575" max="13575" width="13" style="1632" customWidth="1"/>
    <col min="13576" max="13577" width="8.87272727272727" style="1632"/>
    <col min="13578" max="13578" width="5.75454545454545" style="1632" customWidth="1"/>
    <col min="13579" max="13579" width="11.7545454545455" style="1632" customWidth="1"/>
    <col min="13580" max="13581" width="10.7545454545455" style="1632" customWidth="1"/>
    <col min="13582" max="13582" width="10" style="1632" customWidth="1"/>
    <col min="13583" max="13584" width="10.5" style="1632" customWidth="1"/>
    <col min="13585" max="13585" width="10" style="1632" customWidth="1"/>
    <col min="13586" max="13586" width="10.1272727272727" style="1632" customWidth="1"/>
    <col min="13587" max="13587" width="10" style="1632" customWidth="1"/>
    <col min="13588" max="13588" width="26.1272727272727" style="1632" customWidth="1"/>
    <col min="13589" max="13824" width="8.87272727272727" style="1632"/>
    <col min="13825" max="13825" width="9.5" style="1632" customWidth="1"/>
    <col min="13826" max="13826" width="8.87272727272727" style="1632"/>
    <col min="13827" max="13829" width="12.8727272727273" style="1632" customWidth="1"/>
    <col min="13830" max="13830" width="47.5" style="1632" customWidth="1"/>
    <col min="13831" max="13831" width="13" style="1632" customWidth="1"/>
    <col min="13832" max="13833" width="8.87272727272727" style="1632"/>
    <col min="13834" max="13834" width="5.75454545454545" style="1632" customWidth="1"/>
    <col min="13835" max="13835" width="11.7545454545455" style="1632" customWidth="1"/>
    <col min="13836" max="13837" width="10.7545454545455" style="1632" customWidth="1"/>
    <col min="13838" max="13838" width="10" style="1632" customWidth="1"/>
    <col min="13839" max="13840" width="10.5" style="1632" customWidth="1"/>
    <col min="13841" max="13841" width="10" style="1632" customWidth="1"/>
    <col min="13842" max="13842" width="10.1272727272727" style="1632" customWidth="1"/>
    <col min="13843" max="13843" width="10" style="1632" customWidth="1"/>
    <col min="13844" max="13844" width="26.1272727272727" style="1632" customWidth="1"/>
    <col min="13845" max="14080" width="8.87272727272727" style="1632"/>
    <col min="14081" max="14081" width="9.5" style="1632" customWidth="1"/>
    <col min="14082" max="14082" width="8.87272727272727" style="1632"/>
    <col min="14083" max="14085" width="12.8727272727273" style="1632" customWidth="1"/>
    <col min="14086" max="14086" width="47.5" style="1632" customWidth="1"/>
    <col min="14087" max="14087" width="13" style="1632" customWidth="1"/>
    <col min="14088" max="14089" width="8.87272727272727" style="1632"/>
    <col min="14090" max="14090" width="5.75454545454545" style="1632" customWidth="1"/>
    <col min="14091" max="14091" width="11.7545454545455" style="1632" customWidth="1"/>
    <col min="14092" max="14093" width="10.7545454545455" style="1632" customWidth="1"/>
    <col min="14094" max="14094" width="10" style="1632" customWidth="1"/>
    <col min="14095" max="14096" width="10.5" style="1632" customWidth="1"/>
    <col min="14097" max="14097" width="10" style="1632" customWidth="1"/>
    <col min="14098" max="14098" width="10.1272727272727" style="1632" customWidth="1"/>
    <col min="14099" max="14099" width="10" style="1632" customWidth="1"/>
    <col min="14100" max="14100" width="26.1272727272727" style="1632" customWidth="1"/>
    <col min="14101" max="14336" width="8.87272727272727" style="1632"/>
    <col min="14337" max="14337" width="9.5" style="1632" customWidth="1"/>
    <col min="14338" max="14338" width="8.87272727272727" style="1632"/>
    <col min="14339" max="14341" width="12.8727272727273" style="1632" customWidth="1"/>
    <col min="14342" max="14342" width="47.5" style="1632" customWidth="1"/>
    <col min="14343" max="14343" width="13" style="1632" customWidth="1"/>
    <col min="14344" max="14345" width="8.87272727272727" style="1632"/>
    <col min="14346" max="14346" width="5.75454545454545" style="1632" customWidth="1"/>
    <col min="14347" max="14347" width="11.7545454545455" style="1632" customWidth="1"/>
    <col min="14348" max="14349" width="10.7545454545455" style="1632" customWidth="1"/>
    <col min="14350" max="14350" width="10" style="1632" customWidth="1"/>
    <col min="14351" max="14352" width="10.5" style="1632" customWidth="1"/>
    <col min="14353" max="14353" width="10" style="1632" customWidth="1"/>
    <col min="14354" max="14354" width="10.1272727272727" style="1632" customWidth="1"/>
    <col min="14355" max="14355" width="10" style="1632" customWidth="1"/>
    <col min="14356" max="14356" width="26.1272727272727" style="1632" customWidth="1"/>
    <col min="14357" max="14592" width="8.87272727272727" style="1632"/>
    <col min="14593" max="14593" width="9.5" style="1632" customWidth="1"/>
    <col min="14594" max="14594" width="8.87272727272727" style="1632"/>
    <col min="14595" max="14597" width="12.8727272727273" style="1632" customWidth="1"/>
    <col min="14598" max="14598" width="47.5" style="1632" customWidth="1"/>
    <col min="14599" max="14599" width="13" style="1632" customWidth="1"/>
    <col min="14600" max="14601" width="8.87272727272727" style="1632"/>
    <col min="14602" max="14602" width="5.75454545454545" style="1632" customWidth="1"/>
    <col min="14603" max="14603" width="11.7545454545455" style="1632" customWidth="1"/>
    <col min="14604" max="14605" width="10.7545454545455" style="1632" customWidth="1"/>
    <col min="14606" max="14606" width="10" style="1632" customWidth="1"/>
    <col min="14607" max="14608" width="10.5" style="1632" customWidth="1"/>
    <col min="14609" max="14609" width="10" style="1632" customWidth="1"/>
    <col min="14610" max="14610" width="10.1272727272727" style="1632" customWidth="1"/>
    <col min="14611" max="14611" width="10" style="1632" customWidth="1"/>
    <col min="14612" max="14612" width="26.1272727272727" style="1632" customWidth="1"/>
    <col min="14613" max="14848" width="8.87272727272727" style="1632"/>
    <col min="14849" max="14849" width="9.5" style="1632" customWidth="1"/>
    <col min="14850" max="14850" width="8.87272727272727" style="1632"/>
    <col min="14851" max="14853" width="12.8727272727273" style="1632" customWidth="1"/>
    <col min="14854" max="14854" width="47.5" style="1632" customWidth="1"/>
    <col min="14855" max="14855" width="13" style="1632" customWidth="1"/>
    <col min="14856" max="14857" width="8.87272727272727" style="1632"/>
    <col min="14858" max="14858" width="5.75454545454545" style="1632" customWidth="1"/>
    <col min="14859" max="14859" width="11.7545454545455" style="1632" customWidth="1"/>
    <col min="14860" max="14861" width="10.7545454545455" style="1632" customWidth="1"/>
    <col min="14862" max="14862" width="10" style="1632" customWidth="1"/>
    <col min="14863" max="14864" width="10.5" style="1632" customWidth="1"/>
    <col min="14865" max="14865" width="10" style="1632" customWidth="1"/>
    <col min="14866" max="14866" width="10.1272727272727" style="1632" customWidth="1"/>
    <col min="14867" max="14867" width="10" style="1632" customWidth="1"/>
    <col min="14868" max="14868" width="26.1272727272727" style="1632" customWidth="1"/>
    <col min="14869" max="15104" width="8.87272727272727" style="1632"/>
    <col min="15105" max="15105" width="9.5" style="1632" customWidth="1"/>
    <col min="15106" max="15106" width="8.87272727272727" style="1632"/>
    <col min="15107" max="15109" width="12.8727272727273" style="1632" customWidth="1"/>
    <col min="15110" max="15110" width="47.5" style="1632" customWidth="1"/>
    <col min="15111" max="15111" width="13" style="1632" customWidth="1"/>
    <col min="15112" max="15113" width="8.87272727272727" style="1632"/>
    <col min="15114" max="15114" width="5.75454545454545" style="1632" customWidth="1"/>
    <col min="15115" max="15115" width="11.7545454545455" style="1632" customWidth="1"/>
    <col min="15116" max="15117" width="10.7545454545455" style="1632" customWidth="1"/>
    <col min="15118" max="15118" width="10" style="1632" customWidth="1"/>
    <col min="15119" max="15120" width="10.5" style="1632" customWidth="1"/>
    <col min="15121" max="15121" width="10" style="1632" customWidth="1"/>
    <col min="15122" max="15122" width="10.1272727272727" style="1632" customWidth="1"/>
    <col min="15123" max="15123" width="10" style="1632" customWidth="1"/>
    <col min="15124" max="15124" width="26.1272727272727" style="1632" customWidth="1"/>
    <col min="15125" max="15360" width="8.87272727272727" style="1632"/>
    <col min="15361" max="15361" width="9.5" style="1632" customWidth="1"/>
    <col min="15362" max="15362" width="8.87272727272727" style="1632"/>
    <col min="15363" max="15365" width="12.8727272727273" style="1632" customWidth="1"/>
    <col min="15366" max="15366" width="47.5" style="1632" customWidth="1"/>
    <col min="15367" max="15367" width="13" style="1632" customWidth="1"/>
    <col min="15368" max="15369" width="8.87272727272727" style="1632"/>
    <col min="15370" max="15370" width="5.75454545454545" style="1632" customWidth="1"/>
    <col min="15371" max="15371" width="11.7545454545455" style="1632" customWidth="1"/>
    <col min="15372" max="15373" width="10.7545454545455" style="1632" customWidth="1"/>
    <col min="15374" max="15374" width="10" style="1632" customWidth="1"/>
    <col min="15375" max="15376" width="10.5" style="1632" customWidth="1"/>
    <col min="15377" max="15377" width="10" style="1632" customWidth="1"/>
    <col min="15378" max="15378" width="10.1272727272727" style="1632" customWidth="1"/>
    <col min="15379" max="15379" width="10" style="1632" customWidth="1"/>
    <col min="15380" max="15380" width="26.1272727272727" style="1632" customWidth="1"/>
    <col min="15381" max="15616" width="8.87272727272727" style="1632"/>
    <col min="15617" max="15617" width="9.5" style="1632" customWidth="1"/>
    <col min="15618" max="15618" width="8.87272727272727" style="1632"/>
    <col min="15619" max="15621" width="12.8727272727273" style="1632" customWidth="1"/>
    <col min="15622" max="15622" width="47.5" style="1632" customWidth="1"/>
    <col min="15623" max="15623" width="13" style="1632" customWidth="1"/>
    <col min="15624" max="15625" width="8.87272727272727" style="1632"/>
    <col min="15626" max="15626" width="5.75454545454545" style="1632" customWidth="1"/>
    <col min="15627" max="15627" width="11.7545454545455" style="1632" customWidth="1"/>
    <col min="15628" max="15629" width="10.7545454545455" style="1632" customWidth="1"/>
    <col min="15630" max="15630" width="10" style="1632" customWidth="1"/>
    <col min="15631" max="15632" width="10.5" style="1632" customWidth="1"/>
    <col min="15633" max="15633" width="10" style="1632" customWidth="1"/>
    <col min="15634" max="15634" width="10.1272727272727" style="1632" customWidth="1"/>
    <col min="15635" max="15635" width="10" style="1632" customWidth="1"/>
    <col min="15636" max="15636" width="26.1272727272727" style="1632" customWidth="1"/>
    <col min="15637" max="15872" width="8.87272727272727" style="1632"/>
    <col min="15873" max="15873" width="9.5" style="1632" customWidth="1"/>
    <col min="15874" max="15874" width="8.87272727272727" style="1632"/>
    <col min="15875" max="15877" width="12.8727272727273" style="1632" customWidth="1"/>
    <col min="15878" max="15878" width="47.5" style="1632" customWidth="1"/>
    <col min="15879" max="15879" width="13" style="1632" customWidth="1"/>
    <col min="15880" max="15881" width="8.87272727272727" style="1632"/>
    <col min="15882" max="15882" width="5.75454545454545" style="1632" customWidth="1"/>
    <col min="15883" max="15883" width="11.7545454545455" style="1632" customWidth="1"/>
    <col min="15884" max="15885" width="10.7545454545455" style="1632" customWidth="1"/>
    <col min="15886" max="15886" width="10" style="1632" customWidth="1"/>
    <col min="15887" max="15888" width="10.5" style="1632" customWidth="1"/>
    <col min="15889" max="15889" width="10" style="1632" customWidth="1"/>
    <col min="15890" max="15890" width="10.1272727272727" style="1632" customWidth="1"/>
    <col min="15891" max="15891" width="10" style="1632" customWidth="1"/>
    <col min="15892" max="15892" width="26.1272727272727" style="1632" customWidth="1"/>
    <col min="15893" max="16128" width="8.87272727272727" style="1632"/>
    <col min="16129" max="16129" width="9.5" style="1632" customWidth="1"/>
    <col min="16130" max="16130" width="8.87272727272727" style="1632"/>
    <col min="16131" max="16133" width="12.8727272727273" style="1632" customWidth="1"/>
    <col min="16134" max="16134" width="47.5" style="1632" customWidth="1"/>
    <col min="16135" max="16135" width="13" style="1632" customWidth="1"/>
    <col min="16136" max="16137" width="8.87272727272727" style="1632"/>
    <col min="16138" max="16138" width="5.75454545454545" style="1632" customWidth="1"/>
    <col min="16139" max="16139" width="11.7545454545455" style="1632" customWidth="1"/>
    <col min="16140" max="16141" width="10.7545454545455" style="1632" customWidth="1"/>
    <col min="16142" max="16142" width="10" style="1632" customWidth="1"/>
    <col min="16143" max="16144" width="10.5" style="1632" customWidth="1"/>
    <col min="16145" max="16145" width="10" style="1632" customWidth="1"/>
    <col min="16146" max="16146" width="10.1272727272727" style="1632" customWidth="1"/>
    <col min="16147" max="16147" width="10" style="1632" customWidth="1"/>
    <col min="16148" max="16148" width="26.1272727272727" style="1632" customWidth="1"/>
    <col min="16149" max="16384" width="8.87272727272727" style="1632"/>
  </cols>
  <sheetData>
    <row r="1" ht="21" customHeight="1" spans="1:21">
      <c r="A1" s="1637" t="s">
        <v>1563</v>
      </c>
      <c r="B1" s="1638"/>
      <c r="C1" s="1639"/>
      <c r="D1" s="1639"/>
      <c r="E1" s="1640"/>
      <c r="F1" s="1641"/>
      <c r="G1" s="1642"/>
      <c r="J1" s="1749" t="s">
        <v>1564</v>
      </c>
      <c r="K1" s="1750"/>
      <c r="L1" s="1750"/>
      <c r="M1" s="1750"/>
      <c r="N1" s="1750"/>
      <c r="O1" s="1750"/>
      <c r="P1" s="1750"/>
      <c r="Q1" s="1750"/>
      <c r="R1" s="1798"/>
      <c r="S1" s="1799"/>
      <c r="T1" s="1799"/>
      <c r="U1" s="1799"/>
    </row>
    <row r="2" s="1630" customFormat="1" customHeight="1" spans="1:22">
      <c r="A2" s="1643" t="s">
        <v>1242</v>
      </c>
      <c r="B2" s="1644" t="e">
        <f>IF(D2="——",C40,C40+E2)</f>
        <v>#DIV/0!</v>
      </c>
      <c r="C2" s="1639" t="s">
        <v>1243</v>
      </c>
      <c r="D2" s="1645" t="s">
        <v>1565</v>
      </c>
      <c r="E2" s="1646"/>
      <c r="F2" s="1647"/>
      <c r="G2" s="1648"/>
      <c r="H2" s="1649"/>
      <c r="I2" s="1751"/>
      <c r="J2" s="1752" t="s">
        <v>1566</v>
      </c>
      <c r="K2" s="1753"/>
      <c r="L2" s="1754" t="s">
        <v>1567</v>
      </c>
      <c r="M2" s="1754" t="s">
        <v>1568</v>
      </c>
      <c r="N2" s="1754" t="s">
        <v>1569</v>
      </c>
      <c r="O2" s="1754" t="s">
        <v>1570</v>
      </c>
      <c r="P2" s="1754" t="s">
        <v>1571</v>
      </c>
      <c r="Q2" s="1800" t="s">
        <v>1572</v>
      </c>
      <c r="R2" s="1801" t="s">
        <v>1573</v>
      </c>
      <c r="S2" s="1799"/>
      <c r="T2" s="1799"/>
      <c r="U2" s="1799"/>
      <c r="V2" s="1751"/>
    </row>
    <row r="3" s="1630" customFormat="1" customHeight="1" spans="1:22">
      <c r="A3" s="1650" t="s">
        <v>1244</v>
      </c>
      <c r="B3" s="1651" t="e">
        <f>ROUND(B2*10000/B4,0)</f>
        <v>#DIV/0!</v>
      </c>
      <c r="C3" s="1639" t="s">
        <v>1245</v>
      </c>
      <c r="D3" s="1639"/>
      <c r="E3" s="1652"/>
      <c r="F3" s="1647"/>
      <c r="G3" s="1648"/>
      <c r="H3" s="1649"/>
      <c r="I3" s="1751"/>
      <c r="J3" s="1755" t="s">
        <v>1574</v>
      </c>
      <c r="K3" s="1756"/>
      <c r="L3" s="1757"/>
      <c r="M3" s="1757"/>
      <c r="N3" s="1757"/>
      <c r="O3" s="1757"/>
      <c r="P3" s="1757"/>
      <c r="Q3" s="1802"/>
      <c r="R3" s="1803">
        <f>SUM(L3:Q3)</f>
        <v>0</v>
      </c>
      <c r="S3" s="1799"/>
      <c r="T3" s="1799"/>
      <c r="U3" s="1799"/>
      <c r="V3" s="1751"/>
    </row>
    <row r="4" s="1630" customFormat="1" customHeight="1" spans="1:22">
      <c r="A4" s="1653" t="s">
        <v>1575</v>
      </c>
      <c r="B4" s="1654"/>
      <c r="C4" s="1639"/>
      <c r="D4" s="1639"/>
      <c r="E4" s="1652"/>
      <c r="F4" s="1647"/>
      <c r="G4" s="1648"/>
      <c r="H4" s="1649"/>
      <c r="I4" s="1751"/>
      <c r="J4" s="1755" t="s">
        <v>1576</v>
      </c>
      <c r="K4" s="1756"/>
      <c r="L4" s="1758"/>
      <c r="M4" s="1758"/>
      <c r="N4" s="1758"/>
      <c r="O4" s="1758"/>
      <c r="P4" s="1758"/>
      <c r="Q4" s="1804"/>
      <c r="R4" s="1805">
        <f>SUM(L4:Q4)</f>
        <v>0</v>
      </c>
      <c r="S4" s="1799"/>
      <c r="T4" s="1799"/>
      <c r="U4" s="1799"/>
      <c r="V4" s="1751"/>
    </row>
    <row r="5" s="1630" customFormat="1" customHeight="1" spans="1:22">
      <c r="A5" s="1655" t="s">
        <v>1577</v>
      </c>
      <c r="B5" s="1656"/>
      <c r="C5" s="1639"/>
      <c r="D5" s="1657"/>
      <c r="E5" s="1647"/>
      <c r="F5" s="1647"/>
      <c r="G5" s="1648"/>
      <c r="H5" s="1649"/>
      <c r="I5" s="1751"/>
      <c r="J5" s="1759" t="s">
        <v>1578</v>
      </c>
      <c r="K5" s="1760"/>
      <c r="L5" s="1760"/>
      <c r="M5" s="1761"/>
      <c r="N5" s="1761"/>
      <c r="O5" s="1761"/>
      <c r="P5" s="1761"/>
      <c r="Q5" s="1761"/>
      <c r="R5" s="1801">
        <f>SUM(R14,R19,R24,R25,R27,R28)</f>
        <v>0</v>
      </c>
      <c r="S5" s="1799"/>
      <c r="T5" s="1799" t="s">
        <v>1579</v>
      </c>
      <c r="U5" s="1799" t="e">
        <f>ROUND(R5*10000/365/R3,1)</f>
        <v>#DIV/0!</v>
      </c>
      <c r="V5" s="1751"/>
    </row>
    <row r="6" s="1630" customFormat="1" customHeight="1" spans="1:22">
      <c r="A6" s="1658" t="s">
        <v>1580</v>
      </c>
      <c r="B6" s="1659"/>
      <c r="C6" s="1660"/>
      <c r="D6" s="1661"/>
      <c r="E6" s="1662"/>
      <c r="F6" s="1663"/>
      <c r="G6" s="1664"/>
      <c r="H6" s="1649"/>
      <c r="I6" s="1751"/>
      <c r="J6" s="1762">
        <v>1</v>
      </c>
      <c r="K6" s="1763" t="s">
        <v>1581</v>
      </c>
      <c r="L6" s="1764" t="s">
        <v>1582</v>
      </c>
      <c r="M6" s="1765" t="s">
        <v>1583</v>
      </c>
      <c r="N6" s="1765" t="s">
        <v>1584</v>
      </c>
      <c r="O6" s="1765" t="s">
        <v>1585</v>
      </c>
      <c r="P6" s="1765" t="s">
        <v>1586</v>
      </c>
      <c r="Q6" s="1765" t="s">
        <v>1587</v>
      </c>
      <c r="R6" s="1803" t="s">
        <v>1588</v>
      </c>
      <c r="S6" s="1799"/>
      <c r="T6" s="1799" t="s">
        <v>1589</v>
      </c>
      <c r="U6" s="1799"/>
      <c r="V6" s="1751"/>
    </row>
    <row r="7" s="1630" customFormat="1" customHeight="1" spans="1:22">
      <c r="A7" s="1665" t="s">
        <v>1590</v>
      </c>
      <c r="B7" s="1666"/>
      <c r="C7" s="1667"/>
      <c r="D7" s="1668">
        <f>SUM(D9,D10,D11,D17,0)</f>
        <v>0</v>
      </c>
      <c r="E7" s="1669" t="e">
        <f>E9+E10+E11+E17</f>
        <v>#DIV/0!</v>
      </c>
      <c r="F7" s="1670"/>
      <c r="G7" s="1671"/>
      <c r="H7" s="1649"/>
      <c r="I7" s="1751"/>
      <c r="J7" s="1762"/>
      <c r="K7" s="1766"/>
      <c r="L7" s="1767" t="s">
        <v>1591</v>
      </c>
      <c r="M7" s="1768"/>
      <c r="N7" s="1654"/>
      <c r="O7" s="1769"/>
      <c r="P7" s="1769"/>
      <c r="Q7" s="1690">
        <v>365</v>
      </c>
      <c r="R7" s="1806">
        <f>ROUND(M7*N7*O7*P7*Q7/10000,0)</f>
        <v>0</v>
      </c>
      <c r="S7" s="1799"/>
      <c r="T7" s="1799" t="s">
        <v>1592</v>
      </c>
      <c r="U7" s="1799"/>
      <c r="V7" s="1751"/>
    </row>
    <row r="8" s="1630" customFormat="1" customHeight="1" spans="1:22">
      <c r="A8" s="1672" t="s">
        <v>1593</v>
      </c>
      <c r="B8" s="1673" t="s">
        <v>1594</v>
      </c>
      <c r="C8" s="1674"/>
      <c r="D8" s="1675" t="s">
        <v>1595</v>
      </c>
      <c r="E8" s="1676" t="s">
        <v>1596</v>
      </c>
      <c r="F8" s="1677" t="s">
        <v>1597</v>
      </c>
      <c r="G8" s="1678"/>
      <c r="H8" s="1649"/>
      <c r="I8" s="1751"/>
      <c r="J8" s="1762"/>
      <c r="K8" s="1766"/>
      <c r="L8" s="1767" t="s">
        <v>1598</v>
      </c>
      <c r="M8" s="1768"/>
      <c r="N8" s="1654"/>
      <c r="O8" s="1769"/>
      <c r="P8" s="1769"/>
      <c r="Q8" s="1690">
        <v>365</v>
      </c>
      <c r="R8" s="1806">
        <f t="shared" ref="R8:R13" si="0">ROUND(M8*N8*O8*P8*Q8/10000,0)</f>
        <v>0</v>
      </c>
      <c r="S8" s="1799"/>
      <c r="T8" s="1799" t="s">
        <v>1599</v>
      </c>
      <c r="U8" s="1799"/>
      <c r="V8" s="1751"/>
    </row>
    <row r="9" s="1630" customFormat="1" customHeight="1" spans="1:22">
      <c r="A9" s="1672">
        <v>1</v>
      </c>
      <c r="B9" s="1673" t="s">
        <v>1600</v>
      </c>
      <c r="C9" s="1674"/>
      <c r="D9" s="1675">
        <f>ROUND(D6*E9,0)</f>
        <v>0</v>
      </c>
      <c r="E9" s="1679"/>
      <c r="F9" s="1680" t="s">
        <v>1601</v>
      </c>
      <c r="G9" s="1664"/>
      <c r="H9" s="1649"/>
      <c r="I9" s="1751"/>
      <c r="J9" s="1762"/>
      <c r="K9" s="1766"/>
      <c r="L9" s="1767" t="s">
        <v>1602</v>
      </c>
      <c r="M9" s="1768"/>
      <c r="N9" s="1654"/>
      <c r="O9" s="1769"/>
      <c r="P9" s="1769"/>
      <c r="Q9" s="1690">
        <v>365</v>
      </c>
      <c r="R9" s="1806">
        <f t="shared" si="0"/>
        <v>0</v>
      </c>
      <c r="S9" s="1799"/>
      <c r="T9" s="1799"/>
      <c r="U9" s="1799"/>
      <c r="V9" s="1751"/>
    </row>
    <row r="10" s="1630" customFormat="1" customHeight="1" spans="1:22">
      <c r="A10" s="1672">
        <v>2</v>
      </c>
      <c r="B10" s="1673" t="s">
        <v>1603</v>
      </c>
      <c r="C10" s="1674"/>
      <c r="D10" s="1675">
        <f>ROUND(D6*E10,0)</f>
        <v>0</v>
      </c>
      <c r="E10" s="1679"/>
      <c r="F10" s="1680" t="s">
        <v>1604</v>
      </c>
      <c r="G10" s="1664"/>
      <c r="H10" s="1649"/>
      <c r="I10" s="1751"/>
      <c r="J10" s="1762"/>
      <c r="K10" s="1766"/>
      <c r="L10" s="1767" t="s">
        <v>1605</v>
      </c>
      <c r="M10" s="1768"/>
      <c r="N10" s="1654"/>
      <c r="O10" s="1769"/>
      <c r="P10" s="1769"/>
      <c r="Q10" s="1690">
        <v>365</v>
      </c>
      <c r="R10" s="1806">
        <f t="shared" si="0"/>
        <v>0</v>
      </c>
      <c r="S10" s="1799"/>
      <c r="T10" s="1799"/>
      <c r="U10" s="1799"/>
      <c r="V10" s="1751"/>
    </row>
    <row r="11" s="1630" customFormat="1" customHeight="1" spans="1:22">
      <c r="A11" s="1672">
        <v>3</v>
      </c>
      <c r="B11" s="1673" t="s">
        <v>1606</v>
      </c>
      <c r="C11" s="1674"/>
      <c r="D11" s="1675">
        <f>D12+D14+D15+D16</f>
        <v>0</v>
      </c>
      <c r="E11" s="1681" t="e">
        <f>D11/D6</f>
        <v>#DIV/0!</v>
      </c>
      <c r="F11" s="1677"/>
      <c r="G11" s="1678"/>
      <c r="H11" s="1649"/>
      <c r="I11" s="1751"/>
      <c r="J11" s="1762"/>
      <c r="K11" s="1766"/>
      <c r="L11" s="1767" t="s">
        <v>1607</v>
      </c>
      <c r="M11" s="1768"/>
      <c r="N11" s="1654"/>
      <c r="O11" s="1769"/>
      <c r="P11" s="1769"/>
      <c r="Q11" s="1690">
        <v>365</v>
      </c>
      <c r="R11" s="1806">
        <f t="shared" si="0"/>
        <v>0</v>
      </c>
      <c r="S11" s="1799"/>
      <c r="T11" s="1799"/>
      <c r="U11" s="1799"/>
      <c r="V11" s="1751"/>
    </row>
    <row r="12" s="1630" customFormat="1" customHeight="1" spans="1:22">
      <c r="A12" s="1682" t="s">
        <v>1608</v>
      </c>
      <c r="B12" s="1683" t="s">
        <v>1609</v>
      </c>
      <c r="C12" s="1684"/>
      <c r="D12" s="1685">
        <f>ROUND(D13*1.2%*(1-30%),0)</f>
        <v>0</v>
      </c>
      <c r="E12" s="1686">
        <v>0.012</v>
      </c>
      <c r="F12" s="1677" t="s">
        <v>1610</v>
      </c>
      <c r="G12" s="1678"/>
      <c r="H12" s="1649"/>
      <c r="I12" s="1751"/>
      <c r="J12" s="1762"/>
      <c r="K12" s="1766"/>
      <c r="L12" s="1767" t="s">
        <v>1611</v>
      </c>
      <c r="M12" s="1768"/>
      <c r="N12" s="1654"/>
      <c r="O12" s="1769"/>
      <c r="P12" s="1769"/>
      <c r="Q12" s="1690">
        <v>365</v>
      </c>
      <c r="R12" s="1806">
        <f t="shared" si="0"/>
        <v>0</v>
      </c>
      <c r="S12" s="1799"/>
      <c r="T12" s="1799"/>
      <c r="U12" s="1799"/>
      <c r="V12" s="1751"/>
    </row>
    <row r="13" s="1630" customFormat="1" customHeight="1" spans="1:22">
      <c r="A13" s="1682"/>
      <c r="B13" s="1683"/>
      <c r="C13" s="1687" t="s">
        <v>1612</v>
      </c>
      <c r="D13" s="1688"/>
      <c r="E13" s="1689"/>
      <c r="F13" s="1677"/>
      <c r="G13" s="1678"/>
      <c r="H13" s="1649"/>
      <c r="I13" s="1751"/>
      <c r="J13" s="1762"/>
      <c r="K13" s="1766"/>
      <c r="L13" s="1767" t="s">
        <v>1613</v>
      </c>
      <c r="M13" s="1768"/>
      <c r="N13" s="1654"/>
      <c r="O13" s="1769"/>
      <c r="P13" s="1769"/>
      <c r="Q13" s="1690">
        <v>365</v>
      </c>
      <c r="R13" s="1806">
        <f t="shared" si="0"/>
        <v>0</v>
      </c>
      <c r="S13" s="1799"/>
      <c r="T13" s="1799"/>
      <c r="U13" s="1799"/>
      <c r="V13" s="1751"/>
    </row>
    <row r="14" s="1630" customFormat="1" customHeight="1" spans="1:22">
      <c r="A14" s="1682" t="s">
        <v>1614</v>
      </c>
      <c r="B14" s="1683" t="s">
        <v>1615</v>
      </c>
      <c r="C14" s="1684"/>
      <c r="D14" s="1685">
        <f>ROUND(E14*B5/10000,0)</f>
        <v>0</v>
      </c>
      <c r="E14" s="1690"/>
      <c r="F14" s="1677" t="s">
        <v>1616</v>
      </c>
      <c r="G14" s="1678"/>
      <c r="H14" s="1649"/>
      <c r="I14" s="1751"/>
      <c r="J14" s="1762"/>
      <c r="K14" s="1770"/>
      <c r="L14" s="1771" t="s">
        <v>1617</v>
      </c>
      <c r="M14" s="1772">
        <f>SUM(M7:M13)</f>
        <v>0</v>
      </c>
      <c r="N14" s="1772" t="e">
        <f>ROUND((N7*M7+N8*M8+N9*M9+N10*M10+N11*M11+N12*M12+N13*M13)/M14,0)</f>
        <v>#DIV/0!</v>
      </c>
      <c r="O14" s="1773"/>
      <c r="P14" s="1773"/>
      <c r="Q14" s="1807"/>
      <c r="R14" s="1801">
        <f>SUM(R7:R13)</f>
        <v>0</v>
      </c>
      <c r="S14" s="1799"/>
      <c r="T14" s="1799"/>
      <c r="U14" s="1799"/>
      <c r="V14" s="1751"/>
    </row>
    <row r="15" s="1630" customFormat="1" customHeight="1" spans="1:22">
      <c r="A15" s="1682" t="s">
        <v>1618</v>
      </c>
      <c r="B15" s="1683" t="s">
        <v>1619</v>
      </c>
      <c r="C15" s="1684"/>
      <c r="D15" s="1685">
        <f>ROUND(D6*E15,0)</f>
        <v>0</v>
      </c>
      <c r="E15" s="1686">
        <v>0.055</v>
      </c>
      <c r="F15" s="1677" t="s">
        <v>1620</v>
      </c>
      <c r="G15" s="1664"/>
      <c r="H15" s="1649"/>
      <c r="I15" s="1751"/>
      <c r="J15" s="1762">
        <v>2</v>
      </c>
      <c r="K15" s="1763" t="s">
        <v>1621</v>
      </c>
      <c r="L15" s="1767" t="s">
        <v>1622</v>
      </c>
      <c r="M15" s="1768" t="s">
        <v>1623</v>
      </c>
      <c r="N15" s="1768" t="s">
        <v>1624</v>
      </c>
      <c r="O15" s="1769" t="s">
        <v>1625</v>
      </c>
      <c r="P15" s="1769" t="s">
        <v>1587</v>
      </c>
      <c r="Q15" s="1654" t="s">
        <v>124</v>
      </c>
      <c r="R15" s="1808" t="s">
        <v>1588</v>
      </c>
      <c r="S15" s="1799"/>
      <c r="T15" s="1799"/>
      <c r="U15" s="1799"/>
      <c r="V15" s="1751"/>
    </row>
    <row r="16" s="1630" customFormat="1" customHeight="1" spans="1:22">
      <c r="A16" s="1682" t="s">
        <v>1626</v>
      </c>
      <c r="B16" s="1683" t="s">
        <v>1627</v>
      </c>
      <c r="C16" s="1684"/>
      <c r="D16" s="1691">
        <f>D6*E16</f>
        <v>0</v>
      </c>
      <c r="E16" s="1692"/>
      <c r="F16" s="1680" t="s">
        <v>1628</v>
      </c>
      <c r="G16" s="1664"/>
      <c r="H16" s="1649"/>
      <c r="I16" s="1751"/>
      <c r="J16" s="1762"/>
      <c r="K16" s="1766"/>
      <c r="L16" s="1767" t="s">
        <v>1629</v>
      </c>
      <c r="M16" s="1768"/>
      <c r="N16" s="1768"/>
      <c r="O16" s="1769"/>
      <c r="P16" s="1690">
        <v>365</v>
      </c>
      <c r="Q16" s="1654"/>
      <c r="R16" s="1808">
        <f>ROUND(M16*N16*O16*P16/10000,0)</f>
        <v>0</v>
      </c>
      <c r="S16" s="1799"/>
      <c r="T16" s="1799"/>
      <c r="U16" s="1799"/>
      <c r="V16" s="1751"/>
    </row>
    <row r="17" s="1630" customFormat="1" customHeight="1" spans="1:22">
      <c r="A17" s="1693">
        <v>4</v>
      </c>
      <c r="B17" s="1694" t="s">
        <v>1630</v>
      </c>
      <c r="C17" s="1695"/>
      <c r="D17" s="1696">
        <f>ROUND(D6*E17,0)</f>
        <v>0</v>
      </c>
      <c r="E17" s="1697"/>
      <c r="F17" s="1698" t="s">
        <v>1631</v>
      </c>
      <c r="G17" s="1664"/>
      <c r="H17" s="1649"/>
      <c r="I17" s="1751"/>
      <c r="J17" s="1762"/>
      <c r="K17" s="1766"/>
      <c r="L17" s="1767" t="s">
        <v>1632</v>
      </c>
      <c r="M17" s="1768"/>
      <c r="N17" s="1768"/>
      <c r="O17" s="1769"/>
      <c r="P17" s="1690">
        <v>365</v>
      </c>
      <c r="Q17" s="1654"/>
      <c r="R17" s="1808">
        <f>ROUND(M17*N17*O17*P17/10000,0)</f>
        <v>0</v>
      </c>
      <c r="S17" s="1799"/>
      <c r="T17" s="1799"/>
      <c r="U17" s="1799"/>
      <c r="V17" s="1751"/>
    </row>
    <row r="18" s="1630" customFormat="1" customHeight="1" spans="1:22">
      <c r="A18" s="1665" t="s">
        <v>1633</v>
      </c>
      <c r="B18" s="1666"/>
      <c r="C18" s="1666"/>
      <c r="D18" s="1699">
        <f>ROUND(D6*E18,0)</f>
        <v>0</v>
      </c>
      <c r="E18" s="1700"/>
      <c r="F18" s="1701" t="s">
        <v>1634</v>
      </c>
      <c r="G18" s="1664"/>
      <c r="H18" s="1649"/>
      <c r="I18" s="1751"/>
      <c r="J18" s="1762"/>
      <c r="K18" s="1766"/>
      <c r="L18" s="1767" t="s">
        <v>1635</v>
      </c>
      <c r="M18" s="1768"/>
      <c r="N18" s="1768"/>
      <c r="O18" s="1769"/>
      <c r="P18" s="1690">
        <v>365</v>
      </c>
      <c r="Q18" s="1654"/>
      <c r="R18" s="1808">
        <f>ROUND(M18*N18*O18*P18/10000,0)</f>
        <v>0</v>
      </c>
      <c r="S18" s="1799"/>
      <c r="T18" s="1799"/>
      <c r="U18" s="1799"/>
      <c r="V18" s="1751"/>
    </row>
    <row r="19" s="1630" customFormat="1" customHeight="1" spans="1:22">
      <c r="A19" s="1702" t="s">
        <v>1636</v>
      </c>
      <c r="B19" s="1662"/>
      <c r="C19" s="1662"/>
      <c r="D19" s="1662"/>
      <c r="E19" s="1662"/>
      <c r="F19" s="1663"/>
      <c r="G19" s="1678"/>
      <c r="H19" s="1649"/>
      <c r="I19" s="1751"/>
      <c r="J19" s="1762"/>
      <c r="K19" s="1770"/>
      <c r="L19" s="1771" t="s">
        <v>1617</v>
      </c>
      <c r="M19" s="1772"/>
      <c r="N19" s="1772">
        <f>SUM(N16:N18)</f>
        <v>0</v>
      </c>
      <c r="O19" s="1773"/>
      <c r="P19" s="1774" t="s">
        <v>1637</v>
      </c>
      <c r="Q19" s="1769">
        <v>0</v>
      </c>
      <c r="R19" s="1809">
        <f>ROUND(IF(P19="按比例",R14*Q19,SUM(R16:R18)),0)</f>
        <v>0</v>
      </c>
      <c r="S19" s="1799"/>
      <c r="T19" s="1799"/>
      <c r="U19" s="1799"/>
      <c r="V19" s="1751"/>
    </row>
    <row r="20" s="1630" customFormat="1" customHeight="1" spans="1:22">
      <c r="A20" s="1665"/>
      <c r="B20" s="1666"/>
      <c r="C20" s="1666"/>
      <c r="D20" s="1666"/>
      <c r="E20" s="1666"/>
      <c r="F20" s="1703"/>
      <c r="G20" s="1678"/>
      <c r="H20" s="1649"/>
      <c r="I20" s="1751"/>
      <c r="J20" s="1762">
        <v>3</v>
      </c>
      <c r="K20" s="1763" t="s">
        <v>1638</v>
      </c>
      <c r="L20" s="1767" t="s">
        <v>1639</v>
      </c>
      <c r="M20" s="1768" t="s">
        <v>1640</v>
      </c>
      <c r="N20" s="1775" t="s">
        <v>1641</v>
      </c>
      <c r="O20" s="1769" t="s">
        <v>1642</v>
      </c>
      <c r="P20" s="1690" t="s">
        <v>1587</v>
      </c>
      <c r="Q20" s="1654" t="s">
        <v>124</v>
      </c>
      <c r="R20" s="1808" t="s">
        <v>1588</v>
      </c>
      <c r="S20" s="1796"/>
      <c r="T20" s="1796"/>
      <c r="U20" s="1796"/>
      <c r="V20" s="1751"/>
    </row>
    <row r="21" s="1630" customFormat="1" customHeight="1" spans="1:22">
      <c r="A21" s="1665"/>
      <c r="B21" s="1666"/>
      <c r="C21" s="1673" t="s">
        <v>1643</v>
      </c>
      <c r="D21" s="1704" t="s">
        <v>1644</v>
      </c>
      <c r="E21" s="1674" t="s">
        <v>1645</v>
      </c>
      <c r="F21" s="1703"/>
      <c r="G21" s="1678"/>
      <c r="H21" s="1649"/>
      <c r="I21" s="1751"/>
      <c r="J21" s="1762"/>
      <c r="K21" s="1766"/>
      <c r="L21" s="1767" t="s">
        <v>1646</v>
      </c>
      <c r="M21" s="1768"/>
      <c r="N21" s="1768"/>
      <c r="O21" s="1769"/>
      <c r="P21" s="1690">
        <v>365</v>
      </c>
      <c r="Q21" s="1654"/>
      <c r="R21" s="1810">
        <f>ROUND(M21*N21*O21*P21/10000,0)</f>
        <v>0</v>
      </c>
      <c r="S21" s="1796"/>
      <c r="T21" s="1796"/>
      <c r="U21" s="1796"/>
      <c r="V21" s="1751"/>
    </row>
    <row r="22" s="1630" customFormat="1" customHeight="1" spans="1:22">
      <c r="A22" s="1665"/>
      <c r="B22" s="1666"/>
      <c r="C22" s="1705" t="s">
        <v>1647</v>
      </c>
      <c r="D22" s="1706" t="s">
        <v>1648</v>
      </c>
      <c r="E22" s="1707" t="s">
        <v>1649</v>
      </c>
      <c r="F22" s="1703"/>
      <c r="G22" s="1708"/>
      <c r="H22" s="1649"/>
      <c r="I22" s="1751"/>
      <c r="J22" s="1762"/>
      <c r="K22" s="1766"/>
      <c r="L22" s="1767" t="s">
        <v>1650</v>
      </c>
      <c r="M22" s="1768"/>
      <c r="N22" s="1768"/>
      <c r="O22" s="1769"/>
      <c r="P22" s="1690">
        <v>365</v>
      </c>
      <c r="Q22" s="1654"/>
      <c r="R22" s="1810">
        <f>ROUND(M22*N22*O22*P22/10000,0)</f>
        <v>0</v>
      </c>
      <c r="S22" s="1796"/>
      <c r="T22" s="1796"/>
      <c r="U22" s="1796"/>
      <c r="V22" s="1751"/>
    </row>
    <row r="23" s="1630" customFormat="1" customHeight="1" spans="1:22">
      <c r="A23" s="1709">
        <v>1</v>
      </c>
      <c r="B23" s="1710" t="s">
        <v>1651</v>
      </c>
      <c r="C23" s="1711">
        <f>D6</f>
        <v>0</v>
      </c>
      <c r="D23" s="1712">
        <f>C23*(1+D24)</f>
        <v>0</v>
      </c>
      <c r="E23" s="1713">
        <f>D23*(1+E24)</f>
        <v>0</v>
      </c>
      <c r="F23" s="1714"/>
      <c r="G23" s="1715"/>
      <c r="H23" s="1649"/>
      <c r="I23" s="1751"/>
      <c r="J23" s="1762"/>
      <c r="K23" s="1766"/>
      <c r="L23" s="1767" t="s">
        <v>1652</v>
      </c>
      <c r="M23" s="1768"/>
      <c r="N23" s="1768"/>
      <c r="O23" s="1769"/>
      <c r="P23" s="1690">
        <v>365</v>
      </c>
      <c r="Q23" s="1654"/>
      <c r="R23" s="1810">
        <f>ROUND(M23*N23*O23*P23/10000,0)</f>
        <v>0</v>
      </c>
      <c r="S23" s="1799"/>
      <c r="T23" s="1799"/>
      <c r="U23" s="1799"/>
      <c r="V23" s="1751"/>
    </row>
    <row r="24" s="1630" customFormat="1" customHeight="1" spans="1:22">
      <c r="A24" s="1716"/>
      <c r="B24" s="1717" t="s">
        <v>1653</v>
      </c>
      <c r="C24" s="1718"/>
      <c r="D24" s="1719"/>
      <c r="E24" s="1720"/>
      <c r="F24" s="1721"/>
      <c r="G24" s="1715"/>
      <c r="H24" s="1649"/>
      <c r="I24" s="1751"/>
      <c r="J24" s="1762"/>
      <c r="K24" s="1770"/>
      <c r="L24" s="1771" t="s">
        <v>1617</v>
      </c>
      <c r="M24" s="1772">
        <f>SUM(M21:M23)</f>
        <v>0</v>
      </c>
      <c r="N24" s="1772"/>
      <c r="O24" s="1773"/>
      <c r="P24" s="1774" t="s">
        <v>1637</v>
      </c>
      <c r="Q24" s="1769">
        <v>0</v>
      </c>
      <c r="R24" s="1809">
        <f>ROUND(IF(P24="按比例",R14*Q24,SUM(R21:R23)),0)</f>
        <v>0</v>
      </c>
      <c r="S24" s="1799"/>
      <c r="T24" s="1799"/>
      <c r="U24" s="1799"/>
      <c r="V24" s="1751"/>
    </row>
    <row r="25" s="1631" customFormat="1" customHeight="1" spans="1:22">
      <c r="A25" s="1716"/>
      <c r="B25" s="1717"/>
      <c r="C25" s="1718"/>
      <c r="D25" s="1719"/>
      <c r="E25" s="1720"/>
      <c r="F25" s="1721"/>
      <c r="G25" s="1708"/>
      <c r="H25" s="1649"/>
      <c r="I25" s="1751"/>
      <c r="J25" s="1762">
        <v>4</v>
      </c>
      <c r="K25" s="1776" t="s">
        <v>1654</v>
      </c>
      <c r="L25" s="1777"/>
      <c r="M25" s="1777"/>
      <c r="N25" s="1777"/>
      <c r="O25" s="1777"/>
      <c r="P25" s="1778"/>
      <c r="Q25" s="1811">
        <v>0</v>
      </c>
      <c r="R25" s="1809">
        <f>ROUND(R14*Q25,0)</f>
        <v>0</v>
      </c>
      <c r="S25" s="1799"/>
      <c r="T25" s="1799"/>
      <c r="U25" s="1799"/>
      <c r="V25" s="1785"/>
    </row>
    <row r="26" s="1631" customFormat="1" customHeight="1" spans="1:22">
      <c r="A26" s="1709">
        <v>2</v>
      </c>
      <c r="B26" s="1710" t="s">
        <v>1655</v>
      </c>
      <c r="C26" s="1711">
        <f>D7</f>
        <v>0</v>
      </c>
      <c r="D26" s="1712">
        <f>D23*D27</f>
        <v>0</v>
      </c>
      <c r="E26" s="1713">
        <f>E23*E27</f>
        <v>0</v>
      </c>
      <c r="F26" s="1714"/>
      <c r="G26" s="1715"/>
      <c r="H26" s="1649"/>
      <c r="I26" s="1751"/>
      <c r="J26" s="1779">
        <v>5</v>
      </c>
      <c r="K26" s="1780" t="s">
        <v>1656</v>
      </c>
      <c r="L26" s="1781"/>
      <c r="M26" s="1782"/>
      <c r="N26" s="1783" t="s">
        <v>456</v>
      </c>
      <c r="O26" s="1783" t="s">
        <v>1657</v>
      </c>
      <c r="P26" s="1784" t="s">
        <v>1658</v>
      </c>
      <c r="Q26" s="1784" t="s">
        <v>1659</v>
      </c>
      <c r="R26" s="1803" t="s">
        <v>1588</v>
      </c>
      <c r="S26" s="1812"/>
      <c r="T26" s="1812"/>
      <c r="U26" s="1812"/>
      <c r="V26" s="1785"/>
    </row>
    <row r="27" s="1630" customFormat="1" customHeight="1" spans="1:22">
      <c r="A27" s="1716"/>
      <c r="B27" s="1717" t="s">
        <v>1660</v>
      </c>
      <c r="C27" s="1722" t="e">
        <f>E7</f>
        <v>#DIV/0!</v>
      </c>
      <c r="D27" s="1719"/>
      <c r="E27" s="1720"/>
      <c r="F27" s="1721"/>
      <c r="G27" s="1715"/>
      <c r="H27" s="1723"/>
      <c r="I27" s="1785"/>
      <c r="J27" s="1786"/>
      <c r="K27" s="1787"/>
      <c r="L27" s="1788"/>
      <c r="M27" s="1789"/>
      <c r="N27" s="1790"/>
      <c r="O27" s="1790"/>
      <c r="P27" s="1790"/>
      <c r="Q27" s="1813"/>
      <c r="R27" s="1809">
        <f>ROUND(O27*N27*P27*(1-Q27)/10000,0)</f>
        <v>0</v>
      </c>
      <c r="S27" s="1799"/>
      <c r="T27" s="1799"/>
      <c r="U27" s="1799"/>
      <c r="V27" s="1751"/>
    </row>
    <row r="28" s="1631" customFormat="1" customHeight="1" spans="1:22">
      <c r="A28" s="1716"/>
      <c r="B28" s="1717"/>
      <c r="C28" s="1722"/>
      <c r="D28" s="1719"/>
      <c r="E28" s="1720" t="s">
        <v>1661</v>
      </c>
      <c r="F28" s="1721"/>
      <c r="G28" s="1708"/>
      <c r="H28" s="1723"/>
      <c r="I28" s="1785"/>
      <c r="J28" s="1791">
        <v>6</v>
      </c>
      <c r="K28" s="1792" t="s">
        <v>1662</v>
      </c>
      <c r="L28" s="1793" t="s">
        <v>1663</v>
      </c>
      <c r="M28" s="1794"/>
      <c r="N28" s="1793" t="s">
        <v>1664</v>
      </c>
      <c r="O28" s="1795"/>
      <c r="P28" s="1793" t="s">
        <v>1665</v>
      </c>
      <c r="Q28" s="1814">
        <v>0.015</v>
      </c>
      <c r="R28" s="1815"/>
      <c r="S28" s="1796"/>
      <c r="T28" s="1796"/>
      <c r="U28" s="1796"/>
      <c r="V28" s="1785"/>
    </row>
    <row r="29" s="1631" customFormat="1" customHeight="1" spans="1:22">
      <c r="A29" s="1709">
        <v>3</v>
      </c>
      <c r="B29" s="1710" t="s">
        <v>1666</v>
      </c>
      <c r="C29" s="1711">
        <f>C23*C30</f>
        <v>0</v>
      </c>
      <c r="D29" s="1712">
        <f>D23*C30</f>
        <v>0</v>
      </c>
      <c r="E29" s="1713">
        <f>E23*C30</f>
        <v>0</v>
      </c>
      <c r="F29" s="1714"/>
      <c r="G29" s="1715"/>
      <c r="H29" s="1649"/>
      <c r="I29" s="1751"/>
      <c r="J29" s="1796"/>
      <c r="K29" s="1796"/>
      <c r="L29" s="1796"/>
      <c r="M29" s="1796"/>
      <c r="N29" s="1796"/>
      <c r="O29" s="1796"/>
      <c r="P29" s="1796"/>
      <c r="Q29" s="1796"/>
      <c r="R29" s="1796"/>
      <c r="S29" s="1796"/>
      <c r="T29" s="1796"/>
      <c r="U29" s="1796"/>
      <c r="V29" s="1785"/>
    </row>
    <row r="30" s="1630" customFormat="1" customHeight="1" spans="1:22">
      <c r="A30" s="1716"/>
      <c r="B30" s="1717" t="s">
        <v>1660</v>
      </c>
      <c r="C30" s="1722">
        <f>E18</f>
        <v>0</v>
      </c>
      <c r="D30" s="1724"/>
      <c r="E30" s="1689"/>
      <c r="F30" s="1721"/>
      <c r="G30" s="1715"/>
      <c r="H30" s="1723"/>
      <c r="I30" s="1785"/>
      <c r="J30" s="1796"/>
      <c r="K30" s="1796"/>
      <c r="L30" s="1796"/>
      <c r="M30" s="1796"/>
      <c r="N30" s="1796"/>
      <c r="O30" s="1796"/>
      <c r="P30" s="1796"/>
      <c r="Q30" s="1796"/>
      <c r="R30" s="1796"/>
      <c r="S30" s="1796"/>
      <c r="T30" s="1796"/>
      <c r="U30" s="1799"/>
      <c r="V30" s="1751"/>
    </row>
    <row r="31" s="1631" customFormat="1" customHeight="1" spans="1:22">
      <c r="A31" s="1716"/>
      <c r="B31" s="1717"/>
      <c r="C31" s="1725"/>
      <c r="D31" s="1724"/>
      <c r="E31" s="1689"/>
      <c r="F31" s="1721"/>
      <c r="G31" s="1708"/>
      <c r="H31" s="1723"/>
      <c r="I31" s="1785"/>
      <c r="J31" s="1749" t="s">
        <v>1667</v>
      </c>
      <c r="K31" s="1750"/>
      <c r="L31" s="1750"/>
      <c r="M31" s="1750"/>
      <c r="N31" s="1750"/>
      <c r="O31" s="1750"/>
      <c r="P31" s="1750"/>
      <c r="Q31" s="1750"/>
      <c r="R31" s="1798"/>
      <c r="S31" s="1796"/>
      <c r="T31" s="1799"/>
      <c r="U31" s="1799"/>
      <c r="V31" s="1785"/>
    </row>
    <row r="32" s="1631" customFormat="1" customHeight="1" spans="1:22">
      <c r="A32" s="1709">
        <v>4</v>
      </c>
      <c r="B32" s="1710" t="s">
        <v>1668</v>
      </c>
      <c r="C32" s="1711">
        <f>C23-C26-C29</f>
        <v>0</v>
      </c>
      <c r="D32" s="1712">
        <f>D23-D26-D29</f>
        <v>0</v>
      </c>
      <c r="E32" s="1713">
        <f>E23-E26-E29</f>
        <v>0</v>
      </c>
      <c r="F32" s="1714"/>
      <c r="G32" s="1708"/>
      <c r="H32" s="1649"/>
      <c r="I32" s="1751"/>
      <c r="J32" s="1752" t="s">
        <v>1566</v>
      </c>
      <c r="K32" s="1753"/>
      <c r="L32" s="1754" t="s">
        <v>1567</v>
      </c>
      <c r="M32" s="1754" t="s">
        <v>1568</v>
      </c>
      <c r="N32" s="1754" t="s">
        <v>1569</v>
      </c>
      <c r="O32" s="1754" t="s">
        <v>1570</v>
      </c>
      <c r="P32" s="1754" t="s">
        <v>1571</v>
      </c>
      <c r="Q32" s="1800" t="s">
        <v>1572</v>
      </c>
      <c r="R32" s="1816" t="s">
        <v>1573</v>
      </c>
      <c r="S32" s="1796"/>
      <c r="T32" s="1799"/>
      <c r="U32" s="1799"/>
      <c r="V32" s="1785"/>
    </row>
    <row r="33" s="1630" customFormat="1" customHeight="1" spans="1:22">
      <c r="A33" s="1709"/>
      <c r="B33" s="1710"/>
      <c r="C33" s="1711"/>
      <c r="D33" s="1726"/>
      <c r="E33" s="1684"/>
      <c r="F33" s="1714"/>
      <c r="G33" s="1708"/>
      <c r="H33" s="1723"/>
      <c r="I33" s="1785"/>
      <c r="J33" s="1755" t="s">
        <v>1574</v>
      </c>
      <c r="K33" s="1756"/>
      <c r="L33" s="1757"/>
      <c r="M33" s="1757"/>
      <c r="N33" s="1757"/>
      <c r="O33" s="1757"/>
      <c r="P33" s="1757"/>
      <c r="Q33" s="1802"/>
      <c r="R33" s="1817">
        <f>SUM(L33:Q33)</f>
        <v>0</v>
      </c>
      <c r="S33" s="1796"/>
      <c r="T33" s="1799"/>
      <c r="U33" s="1799"/>
      <c r="V33" s="1751"/>
    </row>
    <row r="34" s="1630" customFormat="1" customHeight="1" spans="1:22">
      <c r="A34" s="1709">
        <v>5</v>
      </c>
      <c r="B34" s="1710" t="s">
        <v>1669</v>
      </c>
      <c r="C34" s="1727"/>
      <c r="D34" s="1728"/>
      <c r="E34" s="1729"/>
      <c r="F34" s="1714"/>
      <c r="G34" s="1708"/>
      <c r="H34" s="1723"/>
      <c r="I34" s="1785"/>
      <c r="J34" s="1755" t="s">
        <v>1576</v>
      </c>
      <c r="K34" s="1756"/>
      <c r="L34" s="1758"/>
      <c r="M34" s="1758"/>
      <c r="N34" s="1758"/>
      <c r="O34" s="1758"/>
      <c r="P34" s="1758"/>
      <c r="Q34" s="1804"/>
      <c r="R34" s="1818">
        <f>SUM(L34:Q34)</f>
        <v>0</v>
      </c>
      <c r="S34" s="1796"/>
      <c r="T34" s="1799"/>
      <c r="U34" s="1799" t="e">
        <f>ROUND(R35*10000/365/R33,1)</f>
        <v>#DIV/0!</v>
      </c>
      <c r="V34" s="1751"/>
    </row>
    <row r="35" s="1630" customFormat="1" customHeight="1" spans="1:22">
      <c r="A35" s="1709">
        <v>6</v>
      </c>
      <c r="B35" s="1710" t="s">
        <v>1670</v>
      </c>
      <c r="C35" s="1730"/>
      <c r="D35" s="1731"/>
      <c r="E35" s="1732"/>
      <c r="F35" s="1714"/>
      <c r="G35" s="1733"/>
      <c r="H35" s="1649"/>
      <c r="I35" s="1785"/>
      <c r="J35" s="1759" t="s">
        <v>1578</v>
      </c>
      <c r="K35" s="1760"/>
      <c r="L35" s="1760"/>
      <c r="M35" s="1761"/>
      <c r="N35" s="1761"/>
      <c r="O35" s="1761"/>
      <c r="P35" s="1761"/>
      <c r="Q35" s="1761"/>
      <c r="R35" s="1819">
        <f>R40+R41+R43</f>
        <v>0</v>
      </c>
      <c r="S35" s="1796"/>
      <c r="T35" s="1799" t="s">
        <v>1579</v>
      </c>
      <c r="U35" s="1799"/>
      <c r="V35" s="1751"/>
    </row>
    <row r="36" s="1630" customFormat="1" customHeight="1" spans="1:22">
      <c r="A36" s="1709">
        <v>7</v>
      </c>
      <c r="B36" s="1734" t="s">
        <v>1671</v>
      </c>
      <c r="C36" s="1735"/>
      <c r="D36" s="1736"/>
      <c r="E36" s="1737"/>
      <c r="F36" s="1738">
        <f>C36+D36+E36</f>
        <v>0</v>
      </c>
      <c r="G36" s="1708"/>
      <c r="H36" s="1649"/>
      <c r="I36" s="1751"/>
      <c r="J36" s="1762">
        <v>1</v>
      </c>
      <c r="K36" s="1763" t="s">
        <v>1672</v>
      </c>
      <c r="L36" s="1764"/>
      <c r="M36" s="1765"/>
      <c r="N36" s="1765"/>
      <c r="O36" s="1765"/>
      <c r="P36" s="1765"/>
      <c r="Q36" s="1765"/>
      <c r="R36" s="1803" t="s">
        <v>1588</v>
      </c>
      <c r="S36" s="1796"/>
      <c r="T36" s="1799" t="s">
        <v>1589</v>
      </c>
      <c r="U36" s="1799"/>
      <c r="V36" s="1751"/>
    </row>
    <row r="37" s="1630" customFormat="1" customHeight="1" spans="1:22">
      <c r="A37" s="1709"/>
      <c r="B37" s="1710"/>
      <c r="C37" s="1710"/>
      <c r="D37" s="1710"/>
      <c r="E37" s="1710"/>
      <c r="F37" s="1714"/>
      <c r="G37" s="1708"/>
      <c r="H37" s="1649"/>
      <c r="I37" s="1751"/>
      <c r="J37" s="1762"/>
      <c r="K37" s="1766"/>
      <c r="L37" s="1767"/>
      <c r="M37" s="1768"/>
      <c r="N37" s="1654"/>
      <c r="O37" s="1769"/>
      <c r="P37" s="1769"/>
      <c r="Q37" s="1690"/>
      <c r="R37" s="1806"/>
      <c r="S37" s="1796"/>
      <c r="T37" s="1799" t="s">
        <v>1592</v>
      </c>
      <c r="U37" s="1799"/>
      <c r="V37" s="1751"/>
    </row>
    <row r="38" s="1630" customFormat="1" customHeight="1" spans="1:22">
      <c r="A38" s="1709">
        <v>8</v>
      </c>
      <c r="B38" s="1710"/>
      <c r="C38" s="1675" t="e">
        <f>ROUND(C32*(1-((1+C35)/(1+C34))^C36)/(C34-C35),0)</f>
        <v>#DIV/0!</v>
      </c>
      <c r="D38" s="1675">
        <f>IF(D23=0,0,ROUND(D32*(1-((1+D35)/(1+D34))^D36)/(D34-D35),0))</f>
        <v>0</v>
      </c>
      <c r="E38" s="1675">
        <f>IF(E23=0,0,ROUND(E32*(1-((1+E35)/(1+E34))^E36)/(E34-E35),0))</f>
        <v>0</v>
      </c>
      <c r="F38" s="1714"/>
      <c r="G38" s="1708"/>
      <c r="H38" s="1649"/>
      <c r="I38" s="1751"/>
      <c r="J38" s="1762"/>
      <c r="K38" s="1766"/>
      <c r="L38" s="1767"/>
      <c r="M38" s="1768"/>
      <c r="N38" s="1654"/>
      <c r="O38" s="1769"/>
      <c r="P38" s="1769"/>
      <c r="Q38" s="1690"/>
      <c r="R38" s="1806"/>
      <c r="S38" s="1796"/>
      <c r="T38" s="1799" t="s">
        <v>1599</v>
      </c>
      <c r="U38" s="1799"/>
      <c r="V38" s="1751"/>
    </row>
    <row r="39" s="1630" customFormat="1" customHeight="1" spans="1:22">
      <c r="A39" s="1709">
        <v>9</v>
      </c>
      <c r="B39" s="1710" t="s">
        <v>1673</v>
      </c>
      <c r="C39" s="1685" t="e">
        <f>C38</f>
        <v>#DIV/0!</v>
      </c>
      <c r="D39" s="1710">
        <f>D38/(1+D34)^C36</f>
        <v>0</v>
      </c>
      <c r="E39" s="1710">
        <f>E38/(1+E34)^(C36+D36)</f>
        <v>0</v>
      </c>
      <c r="F39" s="1714"/>
      <c r="G39" s="1739"/>
      <c r="H39" s="1649"/>
      <c r="I39" s="1751"/>
      <c r="J39" s="1762"/>
      <c r="K39" s="1766"/>
      <c r="L39" s="1767"/>
      <c r="M39" s="1768"/>
      <c r="N39" s="1654"/>
      <c r="O39" s="1769"/>
      <c r="P39" s="1769"/>
      <c r="Q39" s="1690"/>
      <c r="R39" s="1806"/>
      <c r="S39" s="1796"/>
      <c r="T39" s="1799"/>
      <c r="U39" s="1799"/>
      <c r="V39" s="1751"/>
    </row>
    <row r="40" s="1630" customFormat="1" customHeight="1" spans="1:22">
      <c r="A40" s="1740">
        <v>10</v>
      </c>
      <c r="B40" s="1710" t="s">
        <v>1674</v>
      </c>
      <c r="C40" s="1741" t="e">
        <f>C39+D39+E39</f>
        <v>#DIV/0!</v>
      </c>
      <c r="D40" s="1742"/>
      <c r="E40" s="1742"/>
      <c r="F40" s="1743"/>
      <c r="G40" s="1708"/>
      <c r="H40" s="1649"/>
      <c r="I40" s="1751"/>
      <c r="J40" s="1762"/>
      <c r="K40" s="1770"/>
      <c r="L40" s="1771" t="s">
        <v>1617</v>
      </c>
      <c r="M40" s="1772"/>
      <c r="N40" s="1772"/>
      <c r="O40" s="1773"/>
      <c r="P40" s="1773"/>
      <c r="Q40" s="1807"/>
      <c r="R40" s="1801">
        <f>SUM(R37:R39)</f>
        <v>0</v>
      </c>
      <c r="S40" s="1796"/>
      <c r="T40" s="1799"/>
      <c r="U40" s="1799"/>
      <c r="V40" s="1751"/>
    </row>
    <row r="41" s="1630" customFormat="1" customHeight="1" spans="1:22">
      <c r="A41" s="1744">
        <v>11</v>
      </c>
      <c r="B41" s="1745" t="s">
        <v>1675</v>
      </c>
      <c r="C41" s="1745" t="e">
        <f>ROUND(C40*10000/B4,0)</f>
        <v>#DIV/0!</v>
      </c>
      <c r="D41" s="1746"/>
      <c r="E41" s="1746"/>
      <c r="F41" s="1747"/>
      <c r="G41" s="1748"/>
      <c r="H41" s="1649"/>
      <c r="I41" s="1751"/>
      <c r="J41" s="1762">
        <v>2</v>
      </c>
      <c r="K41" s="1776" t="s">
        <v>1654</v>
      </c>
      <c r="L41" s="1777"/>
      <c r="M41" s="1777"/>
      <c r="N41" s="1777"/>
      <c r="O41" s="1777"/>
      <c r="P41" s="1778"/>
      <c r="Q41" s="1811"/>
      <c r="R41" s="1809">
        <f>ROUND(R40*Q41,0)</f>
        <v>0</v>
      </c>
      <c r="S41" s="1796"/>
      <c r="T41" s="1799"/>
      <c r="U41" s="1812"/>
      <c r="V41" s="1751"/>
    </row>
    <row r="42" s="1630" customFormat="1" customHeight="1" spans="7:22">
      <c r="G42" s="1748"/>
      <c r="H42" s="1649"/>
      <c r="I42" s="1751"/>
      <c r="J42" s="1779">
        <v>3</v>
      </c>
      <c r="K42" s="1780" t="s">
        <v>1656</v>
      </c>
      <c r="L42" s="1781"/>
      <c r="M42" s="1782"/>
      <c r="N42" s="1783" t="s">
        <v>456</v>
      </c>
      <c r="O42" s="1783" t="s">
        <v>1657</v>
      </c>
      <c r="P42" s="1784" t="s">
        <v>1658</v>
      </c>
      <c r="Q42" s="1784" t="s">
        <v>1659</v>
      </c>
      <c r="R42" s="1803" t="s">
        <v>1588</v>
      </c>
      <c r="S42" s="1812"/>
      <c r="T42" s="1812"/>
      <c r="U42" s="1799"/>
      <c r="V42" s="1751"/>
    </row>
    <row r="43" customHeight="1" spans="1:23">
      <c r="A43" s="1630"/>
      <c r="B43" s="1630"/>
      <c r="C43" s="1630"/>
      <c r="D43" s="1630"/>
      <c r="E43" s="1630"/>
      <c r="F43" s="1630"/>
      <c r="I43" s="1634"/>
      <c r="J43" s="1786"/>
      <c r="K43" s="1787"/>
      <c r="L43" s="1788"/>
      <c r="M43" s="1789"/>
      <c r="N43" s="1768"/>
      <c r="O43" s="1768"/>
      <c r="P43" s="1768"/>
      <c r="Q43" s="1811"/>
      <c r="R43" s="1809">
        <f>ROUND(O43*N43*P43*(1-Q43)/10000,0)</f>
        <v>0</v>
      </c>
      <c r="S43" s="1796"/>
      <c r="T43" s="1799"/>
      <c r="V43" s="1636"/>
      <c r="W43" s="1820"/>
    </row>
    <row r="44" customHeight="1" spans="10:18">
      <c r="J44" s="1791">
        <v>6</v>
      </c>
      <c r="K44" s="1792" t="s">
        <v>1662</v>
      </c>
      <c r="L44" s="1797" t="s">
        <v>1663</v>
      </c>
      <c r="M44" s="1794"/>
      <c r="N44" s="1797" t="s">
        <v>1664</v>
      </c>
      <c r="O44" s="1794"/>
      <c r="P44" s="1797" t="s">
        <v>1665</v>
      </c>
      <c r="Q44" s="1814">
        <v>0.015</v>
      </c>
      <c r="R44" s="181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727272727273" style="573" customWidth="1"/>
    <col min="2" max="2" width="15.7545454545455" style="573" customWidth="1"/>
    <col min="3" max="3" width="14.3727272727273" style="573" customWidth="1"/>
    <col min="4" max="4" width="12.2545454545455" style="573" customWidth="1"/>
    <col min="5" max="5" width="14.3727272727273" style="573" customWidth="1"/>
    <col min="6" max="6" width="12.2545454545455" style="573" customWidth="1"/>
    <col min="7" max="7" width="14.5" style="573" customWidth="1"/>
    <col min="8" max="8" width="12.2545454545455" style="573" customWidth="1"/>
    <col min="9" max="9" width="14.5" style="573" customWidth="1"/>
    <col min="10" max="10" width="12.2545454545455" style="573" customWidth="1"/>
    <col min="11" max="11" width="12.2545454545455" style="574" customWidth="1"/>
    <col min="12" max="12" width="12.2545454545455" style="575" customWidth="1"/>
    <col min="13" max="15" width="12.2545454545455" style="573" customWidth="1"/>
    <col min="16" max="16" width="4.75454545454545" style="573" customWidth="1"/>
    <col min="17" max="17" width="19.5" style="573" customWidth="1"/>
    <col min="18" max="22" width="6.12727272727273" style="573" customWidth="1"/>
    <col min="23" max="23" width="5.75454545454545" style="573" customWidth="1"/>
    <col min="24" max="24" width="4.25454545454545" style="573" customWidth="1"/>
    <col min="25" max="25" width="3.5" style="573" customWidth="1"/>
    <col min="26" max="26" width="19.7545454545455" style="573" customWidth="1"/>
    <col min="27" max="28" width="9.37272727272727" style="573" customWidth="1"/>
    <col min="29" max="16384" width="9" style="573"/>
  </cols>
  <sheetData>
    <row r="1" s="567" customFormat="1" ht="28.5" customHeight="1" spans="1:29">
      <c r="A1" s="1495" t="s">
        <v>1513</v>
      </c>
      <c r="B1" s="1496"/>
      <c r="C1" s="1497" t="s">
        <v>1491</v>
      </c>
      <c r="D1" s="1498"/>
      <c r="E1" s="1498"/>
      <c r="F1" s="1499" t="s">
        <v>1157</v>
      </c>
      <c r="G1" s="1498"/>
      <c r="H1" s="1498"/>
      <c r="I1" s="1498"/>
      <c r="J1" s="1498"/>
      <c r="K1" s="1572"/>
      <c r="L1" s="1573"/>
      <c r="M1" s="1574"/>
      <c r="N1" s="1574"/>
      <c r="O1" s="1574"/>
      <c r="P1" s="751"/>
      <c r="Q1" s="751"/>
      <c r="R1" s="751"/>
      <c r="S1" s="751"/>
      <c r="T1" s="751"/>
      <c r="U1" s="751"/>
      <c r="V1" s="751"/>
      <c r="W1" s="751"/>
      <c r="X1" s="751"/>
      <c r="Y1" s="751"/>
      <c r="Z1" s="751"/>
      <c r="AA1" s="751"/>
      <c r="AB1" s="751"/>
      <c r="AC1" s="847"/>
    </row>
    <row r="2" s="567" customFormat="1" ht="28.5" customHeight="1" spans="1:29">
      <c r="A2" s="393" t="s">
        <v>995</v>
      </c>
      <c r="B2" s="1500" t="e">
        <f>F61</f>
        <v>#DIV/0!</v>
      </c>
      <c r="C2" s="591"/>
      <c r="D2" s="591"/>
      <c r="E2" s="591"/>
      <c r="F2" s="596"/>
      <c r="G2" s="591"/>
      <c r="H2" s="591"/>
      <c r="I2" s="591"/>
      <c r="J2" s="591"/>
      <c r="K2" s="752"/>
      <c r="L2" s="749"/>
      <c r="M2" s="750"/>
      <c r="N2" s="750"/>
      <c r="O2" s="750"/>
      <c r="P2" s="751"/>
      <c r="Q2" s="751"/>
      <c r="R2" s="751"/>
      <c r="S2" s="751"/>
      <c r="T2" s="751"/>
      <c r="U2" s="751"/>
      <c r="V2" s="751"/>
      <c r="W2" s="751"/>
      <c r="X2" s="751"/>
      <c r="Y2" s="751"/>
      <c r="Z2" s="751"/>
      <c r="AA2" s="751"/>
      <c r="AB2" s="751"/>
      <c r="AC2" s="847"/>
    </row>
    <row r="3" s="567" customFormat="1" ht="28.5" customHeight="1" spans="1:29">
      <c r="A3" s="396" t="s">
        <v>997</v>
      </c>
      <c r="B3" s="592" t="e">
        <f>ROUND(IF(D3="",B2*10000/'数据-汇总表'!E3,B2*10000/D3),0)</f>
        <v>#DIV/0!</v>
      </c>
      <c r="C3" s="396" t="s">
        <v>1158</v>
      </c>
      <c r="D3" s="1501"/>
      <c r="E3" s="591"/>
      <c r="F3" s="596"/>
      <c r="G3" s="591"/>
      <c r="H3" s="591"/>
      <c r="I3" s="591"/>
      <c r="J3" s="591"/>
      <c r="K3" s="752"/>
      <c r="L3" s="749"/>
      <c r="M3" s="750"/>
      <c r="N3" s="750"/>
      <c r="O3" s="750"/>
      <c r="P3" s="751"/>
      <c r="Q3" s="751"/>
      <c r="R3" s="751"/>
      <c r="S3" s="751"/>
      <c r="T3" s="751"/>
      <c r="U3" s="751"/>
      <c r="V3" s="751"/>
      <c r="W3" s="751"/>
      <c r="X3" s="751"/>
      <c r="Y3" s="751"/>
      <c r="Z3" s="751"/>
      <c r="AA3" s="751"/>
      <c r="AB3" s="1600"/>
      <c r="AC3" s="1601"/>
    </row>
    <row r="4" spans="1:29">
      <c r="A4" s="597" t="s">
        <v>1159</v>
      </c>
      <c r="B4" s="598"/>
      <c r="C4" s="599" t="s">
        <v>1160</v>
      </c>
      <c r="D4" s="600"/>
      <c r="E4" s="601" t="s">
        <v>1161</v>
      </c>
      <c r="F4" s="602"/>
      <c r="G4" s="599" t="s">
        <v>1162</v>
      </c>
      <c r="H4" s="600"/>
      <c r="I4" s="599" t="s">
        <v>1163</v>
      </c>
      <c r="J4" s="600"/>
      <c r="K4" s="753" t="s">
        <v>1164</v>
      </c>
      <c r="L4" s="754"/>
      <c r="M4" s="755"/>
      <c r="N4" s="755"/>
      <c r="O4" s="755"/>
      <c r="P4" s="1575" t="s">
        <v>1165</v>
      </c>
      <c r="Q4" s="1594"/>
      <c r="R4" s="1595" t="s">
        <v>1161</v>
      </c>
      <c r="S4" s="1596"/>
      <c r="T4" s="1595" t="s">
        <v>1162</v>
      </c>
      <c r="U4" s="1596"/>
      <c r="V4" s="820" t="s">
        <v>1163</v>
      </c>
      <c r="W4" s="820"/>
      <c r="X4" s="821"/>
      <c r="Y4" s="1595" t="s">
        <v>1165</v>
      </c>
      <c r="Z4" s="1596"/>
      <c r="AA4" s="1602" t="s">
        <v>1161</v>
      </c>
      <c r="AB4" s="821" t="s">
        <v>1162</v>
      </c>
      <c r="AC4" s="1602" t="s">
        <v>1163</v>
      </c>
    </row>
    <row r="5" spans="1:29">
      <c r="A5" s="603"/>
      <c r="B5" s="604"/>
      <c r="C5" s="605" t="s">
        <v>1166</v>
      </c>
      <c r="D5" s="606"/>
      <c r="E5" s="609" t="s">
        <v>1453</v>
      </c>
      <c r="F5" s="608"/>
      <c r="G5" s="605" t="s">
        <v>1454</v>
      </c>
      <c r="H5" s="606"/>
      <c r="I5" s="605" t="s">
        <v>1455</v>
      </c>
      <c r="J5" s="606"/>
      <c r="K5" s="753"/>
      <c r="L5" s="754"/>
      <c r="M5" s="755"/>
      <c r="N5" s="755"/>
      <c r="O5" s="755"/>
      <c r="P5" s="1576"/>
      <c r="Q5" s="817"/>
      <c r="R5" s="818"/>
      <c r="S5" s="819"/>
      <c r="T5" s="818"/>
      <c r="U5" s="819"/>
      <c r="V5" s="820"/>
      <c r="W5" s="820"/>
      <c r="X5" s="821"/>
      <c r="Y5" s="818"/>
      <c r="Z5" s="819"/>
      <c r="AA5" s="821"/>
      <c r="AB5" s="821"/>
      <c r="AC5" s="821"/>
    </row>
    <row r="6" ht="14.75" spans="1:29">
      <c r="A6" s="610"/>
      <c r="B6" s="611"/>
      <c r="C6" s="1502" t="s">
        <v>1676</v>
      </c>
      <c r="D6" s="1503"/>
      <c r="E6" s="1504" t="s">
        <v>1676</v>
      </c>
      <c r="F6" s="1505"/>
      <c r="G6" s="1502" t="s">
        <v>1676</v>
      </c>
      <c r="H6" s="1503"/>
      <c r="I6" s="1502" t="s">
        <v>1676</v>
      </c>
      <c r="J6" s="1503"/>
      <c r="K6" s="753" t="s">
        <v>1171</v>
      </c>
      <c r="L6" s="754"/>
      <c r="M6" s="755"/>
      <c r="N6" s="755"/>
      <c r="O6" s="755"/>
      <c r="P6" s="1577"/>
      <c r="Q6" s="822"/>
      <c r="R6" s="818"/>
      <c r="S6" s="819"/>
      <c r="T6" s="823"/>
      <c r="U6" s="824"/>
      <c r="V6" s="820"/>
      <c r="W6" s="820"/>
      <c r="X6" s="821"/>
      <c r="Y6" s="823"/>
      <c r="Z6" s="824"/>
      <c r="AA6" s="850"/>
      <c r="AB6" s="850"/>
      <c r="AC6" s="850"/>
    </row>
    <row r="7" s="568" customFormat="1" ht="14.75" spans="1:29">
      <c r="A7" s="616" t="s">
        <v>1172</v>
      </c>
      <c r="B7" s="617"/>
      <c r="C7" s="618">
        <f>'数据-取费表'!B2</f>
        <v>45538</v>
      </c>
      <c r="D7" s="619">
        <v>100</v>
      </c>
      <c r="E7" s="620"/>
      <c r="F7" s="621">
        <f>SUMIF(65:65,YEAR(E7)&amp;"-"&amp;INT((MONTH(E7)+2)/3),66:66)</f>
        <v>0</v>
      </c>
      <c r="G7" s="1506"/>
      <c r="H7" s="619">
        <f>SUMIF(65:65,YEAR(G7)&amp;"-"&amp;INT((MONTH(G7)+2)/3),66:66)</f>
        <v>0</v>
      </c>
      <c r="I7" s="1506"/>
      <c r="J7" s="619">
        <f>SUMIF(65:65,YEAR(I7)&amp;"-"&amp;INT((MONTH(I7)+2)/3),66:66)</f>
        <v>0</v>
      </c>
      <c r="K7" s="759"/>
      <c r="L7" s="760"/>
      <c r="M7" s="761"/>
      <c r="N7" s="761"/>
      <c r="O7" s="761"/>
      <c r="P7" s="852" t="s">
        <v>1173</v>
      </c>
      <c r="Q7" s="825"/>
      <c r="R7" s="826" t="s">
        <v>1174</v>
      </c>
      <c r="S7" s="827">
        <f t="shared" ref="S7:S15" si="0">F7</f>
        <v>0</v>
      </c>
      <c r="T7" s="826" t="s">
        <v>1174</v>
      </c>
      <c r="U7" s="827">
        <f t="shared" ref="U7:U15" si="1">H7</f>
        <v>0</v>
      </c>
      <c r="V7" s="826" t="s">
        <v>1174</v>
      </c>
      <c r="W7" s="827">
        <f t="shared" ref="W7:W15" si="2">J7</f>
        <v>0</v>
      </c>
      <c r="X7" s="828"/>
      <c r="Y7" s="852" t="s">
        <v>1173</v>
      </c>
      <c r="Z7" s="829"/>
      <c r="AA7" s="853" t="e">
        <f>D7/F7</f>
        <v>#DIV/0!</v>
      </c>
      <c r="AB7" s="853" t="e">
        <f>D7/H7</f>
        <v>#DIV/0!</v>
      </c>
      <c r="AC7" s="853" t="e">
        <f>D7/J7</f>
        <v>#DIV/0!</v>
      </c>
    </row>
    <row r="8" s="568" customFormat="1" ht="14.75" spans="1:29">
      <c r="A8" s="616" t="s">
        <v>1175</v>
      </c>
      <c r="B8" s="617"/>
      <c r="C8" s="622" t="s">
        <v>1223</v>
      </c>
      <c r="D8" s="619">
        <v>100</v>
      </c>
      <c r="E8" s="622"/>
      <c r="F8" s="621">
        <f>SUMIF(68:68,E8,69:69)-SUMIF(68:68,C8,69:69)+100</f>
        <v>0</v>
      </c>
      <c r="G8" s="622"/>
      <c r="H8" s="619">
        <f>SUMIF(68:68,G8,69:69)-SUMIF(68:68,C8,69:69)+100</f>
        <v>0</v>
      </c>
      <c r="I8" s="622"/>
      <c r="J8" s="619">
        <f>SUMIF(68:68,I8,69:69)-SUMIF(68:68,C8,69:69)+100</f>
        <v>0</v>
      </c>
      <c r="K8" s="759"/>
      <c r="L8" s="760"/>
      <c r="M8" s="761"/>
      <c r="N8" s="761"/>
      <c r="O8" s="761"/>
      <c r="P8" s="852" t="s">
        <v>1177</v>
      </c>
      <c r="Q8" s="829"/>
      <c r="R8" s="826" t="s">
        <v>1174</v>
      </c>
      <c r="S8" s="827">
        <f t="shared" si="0"/>
        <v>0</v>
      </c>
      <c r="T8" s="826" t="s">
        <v>1174</v>
      </c>
      <c r="U8" s="827">
        <f t="shared" si="1"/>
        <v>0</v>
      </c>
      <c r="V8" s="826" t="s">
        <v>1174</v>
      </c>
      <c r="W8" s="827">
        <f t="shared" si="2"/>
        <v>0</v>
      </c>
      <c r="X8" s="828"/>
      <c r="Y8" s="852" t="s">
        <v>1177</v>
      </c>
      <c r="Z8" s="829"/>
      <c r="AA8" s="853" t="e">
        <f t="shared" ref="AA8:AA40" si="3">D8/F8</f>
        <v>#DIV/0!</v>
      </c>
      <c r="AB8" s="853" t="e">
        <f t="shared" ref="AB8:AB40" si="4">D8/H8</f>
        <v>#DIV/0!</v>
      </c>
      <c r="AC8" s="853" t="e">
        <f t="shared" ref="AC8:AC40" si="5">D8/J8</f>
        <v>#DIV/0!</v>
      </c>
    </row>
    <row r="9" s="568" customFormat="1" spans="1:29">
      <c r="A9" s="623" t="s">
        <v>1178</v>
      </c>
      <c r="B9" s="624" t="s">
        <v>1179</v>
      </c>
      <c r="C9" s="1507"/>
      <c r="D9" s="626">
        <v>100</v>
      </c>
      <c r="E9" s="1507"/>
      <c r="F9" s="626">
        <f>SUMIF(70:70,E9,71:71)-SUMIF(70:70,C9,71:71)+100</f>
        <v>100</v>
      </c>
      <c r="G9" s="1507"/>
      <c r="H9" s="626">
        <f>SUMIF(70:70,G9,71:71)-SUMIF(70:70,C9,71:71)+100</f>
        <v>100</v>
      </c>
      <c r="I9" s="1507"/>
      <c r="J9" s="626">
        <f>SUMIF(70:70,I9,71:71)-SUMIF(70:70,C9,71:71)+100</f>
        <v>100</v>
      </c>
      <c r="K9" s="759"/>
      <c r="L9" s="760"/>
      <c r="M9" s="761"/>
      <c r="N9" s="761"/>
      <c r="O9" s="1578"/>
      <c r="P9" s="831" t="s">
        <v>1182</v>
      </c>
      <c r="Q9" s="830" t="str">
        <f t="shared" ref="Q9:Q15" si="6">B9</f>
        <v>用途</v>
      </c>
      <c r="R9" s="826" t="s">
        <v>1174</v>
      </c>
      <c r="S9" s="827">
        <f t="shared" si="0"/>
        <v>100</v>
      </c>
      <c r="T9" s="826" t="s">
        <v>1174</v>
      </c>
      <c r="U9" s="827">
        <f t="shared" si="1"/>
        <v>100</v>
      </c>
      <c r="V9" s="826" t="s">
        <v>1174</v>
      </c>
      <c r="W9" s="827">
        <f t="shared" si="2"/>
        <v>100</v>
      </c>
      <c r="X9" s="828"/>
      <c r="Y9" s="830" t="s">
        <v>1183</v>
      </c>
      <c r="Z9" s="855" t="str">
        <f t="shared" ref="Z9:Z15" si="7">Q9</f>
        <v>用途</v>
      </c>
      <c r="AA9" s="853">
        <f t="shared" si="3"/>
        <v>1</v>
      </c>
      <c r="AB9" s="853">
        <f t="shared" si="4"/>
        <v>1</v>
      </c>
      <c r="AC9" s="853">
        <f t="shared" si="5"/>
        <v>1</v>
      </c>
    </row>
    <row r="10" s="569" customFormat="1" ht="28" spans="1:29">
      <c r="A10" s="629"/>
      <c r="B10" s="630" t="s">
        <v>1184</v>
      </c>
      <c r="C10" s="639"/>
      <c r="D10" s="632">
        <v>100</v>
      </c>
      <c r="E10" s="639"/>
      <c r="F10" s="632">
        <f>ROUND(100/'数据-取费表'!G16,0)</f>
        <v>119</v>
      </c>
      <c r="G10" s="639"/>
      <c r="H10" s="632">
        <f>ROUND(100/'数据-取费表'!G16,0)</f>
        <v>119</v>
      </c>
      <c r="I10" s="639"/>
      <c r="J10" s="632">
        <f>ROUND(100/'数据-取费表'!G16,0)</f>
        <v>119</v>
      </c>
      <c r="K10" s="1579"/>
      <c r="L10" s="764"/>
      <c r="M10" s="765"/>
      <c r="N10" s="765"/>
      <c r="O10" s="1580"/>
      <c r="P10" s="831"/>
      <c r="Q10" s="830" t="str">
        <f t="shared" si="6"/>
        <v>土地使用年限（年）</v>
      </c>
      <c r="R10" s="826" t="s">
        <v>1174</v>
      </c>
      <c r="S10" s="827">
        <f t="shared" si="0"/>
        <v>119</v>
      </c>
      <c r="T10" s="826" t="s">
        <v>1174</v>
      </c>
      <c r="U10" s="827">
        <f t="shared" si="1"/>
        <v>119</v>
      </c>
      <c r="V10" s="826" t="s">
        <v>1174</v>
      </c>
      <c r="W10" s="827">
        <f t="shared" si="2"/>
        <v>119</v>
      </c>
      <c r="X10" s="828"/>
      <c r="Y10" s="830"/>
      <c r="Z10" s="855" t="str">
        <f t="shared" si="7"/>
        <v>土地使用年限（年）</v>
      </c>
      <c r="AA10" s="853">
        <f t="shared" si="3"/>
        <v>0.840336134453782</v>
      </c>
      <c r="AB10" s="853">
        <f t="shared" si="4"/>
        <v>0.840336134453782</v>
      </c>
      <c r="AC10" s="853">
        <f t="shared" si="5"/>
        <v>0.840336134453782</v>
      </c>
    </row>
    <row r="11" ht="15.5" spans="1:29">
      <c r="A11" s="634"/>
      <c r="B11" s="630" t="s">
        <v>1185</v>
      </c>
      <c r="C11" s="635"/>
      <c r="D11" s="632">
        <v>100</v>
      </c>
      <c r="E11" s="635"/>
      <c r="F11" s="632" t="e">
        <f>LOOKUP(E11,75:75,76:76)-LOOKUP(C11,75:75,76:76)+100</f>
        <v>#N/A</v>
      </c>
      <c r="G11" s="636"/>
      <c r="H11" s="632" t="e">
        <f>LOOKUP(G11,75:75,76:76)-LOOKUP(C11,75:75,76:76)+100</f>
        <v>#N/A</v>
      </c>
      <c r="I11" s="635"/>
      <c r="J11" s="632" t="e">
        <f>LOOKUP(I11,75:75,76:76)-LOOKUP(C11,75:75,76:76)+100</f>
        <v>#N/A</v>
      </c>
      <c r="K11" s="1581"/>
      <c r="L11" s="767"/>
      <c r="M11" s="755"/>
      <c r="N11" s="755"/>
      <c r="O11" s="1582"/>
      <c r="P11" s="831"/>
      <c r="Q11" s="830" t="str">
        <f t="shared" si="6"/>
        <v>容积率</v>
      </c>
      <c r="R11" s="826" t="s">
        <v>1174</v>
      </c>
      <c r="S11" s="827" t="e">
        <f t="shared" si="0"/>
        <v>#N/A</v>
      </c>
      <c r="T11" s="826" t="s">
        <v>1174</v>
      </c>
      <c r="U11" s="827" t="e">
        <f t="shared" si="1"/>
        <v>#N/A</v>
      </c>
      <c r="V11" s="826" t="s">
        <v>1174</v>
      </c>
      <c r="W11" s="827" t="e">
        <f t="shared" si="2"/>
        <v>#N/A</v>
      </c>
      <c r="X11" s="828"/>
      <c r="Y11" s="830"/>
      <c r="Z11" s="855" t="str">
        <f t="shared" si="7"/>
        <v>容积率</v>
      </c>
      <c r="AA11" s="853" t="e">
        <f t="shared" si="3"/>
        <v>#N/A</v>
      </c>
      <c r="AB11" s="853" t="e">
        <f t="shared" si="4"/>
        <v>#N/A</v>
      </c>
      <c r="AC11" s="853" t="e">
        <f t="shared" si="5"/>
        <v>#N/A</v>
      </c>
    </row>
    <row r="12" s="568" customFormat="1" ht="15.5" spans="1:29">
      <c r="A12" s="637"/>
      <c r="B12" s="638">
        <v>111</v>
      </c>
      <c r="C12" s="639"/>
      <c r="D12" s="640">
        <v>100</v>
      </c>
      <c r="E12" s="873"/>
      <c r="F12" s="632">
        <f>SUMIF(77:77,E12,78:78)-SUMIF(77:77,C12,78:78)+100</f>
        <v>100</v>
      </c>
      <c r="G12" s="1508"/>
      <c r="H12" s="632">
        <f>SUMIF(77:77,G12,78:78)-SUMIF(77:77,C12,78:78)+100</f>
        <v>100</v>
      </c>
      <c r="I12" s="873"/>
      <c r="J12" s="632">
        <f>SUMIF(77:77,I12,78:78)-SUMIF(77:77,C12,78:78)+100</f>
        <v>100</v>
      </c>
      <c r="K12" s="1579"/>
      <c r="L12" s="760"/>
      <c r="M12" s="761"/>
      <c r="N12" s="761"/>
      <c r="O12" s="1578"/>
      <c r="P12" s="831"/>
      <c r="Q12" s="830">
        <f t="shared" si="6"/>
        <v>111</v>
      </c>
      <c r="R12" s="826" t="s">
        <v>1174</v>
      </c>
      <c r="S12" s="827">
        <f t="shared" si="0"/>
        <v>100</v>
      </c>
      <c r="T12" s="826" t="s">
        <v>1174</v>
      </c>
      <c r="U12" s="827">
        <f t="shared" si="1"/>
        <v>100</v>
      </c>
      <c r="V12" s="826" t="s">
        <v>1174</v>
      </c>
      <c r="W12" s="827">
        <f t="shared" si="2"/>
        <v>100</v>
      </c>
      <c r="X12" s="828"/>
      <c r="Y12" s="830"/>
      <c r="Z12" s="855">
        <f t="shared" si="7"/>
        <v>111</v>
      </c>
      <c r="AA12" s="853">
        <f t="shared" si="3"/>
        <v>1</v>
      </c>
      <c r="AB12" s="853">
        <f t="shared" si="4"/>
        <v>1</v>
      </c>
      <c r="AC12" s="853">
        <f t="shared" si="5"/>
        <v>1</v>
      </c>
    </row>
    <row r="13" ht="15.5" spans="1:29">
      <c r="A13" s="634"/>
      <c r="B13" s="638">
        <v>111</v>
      </c>
      <c r="C13" s="642"/>
      <c r="D13" s="643">
        <v>100</v>
      </c>
      <c r="E13" s="873"/>
      <c r="F13" s="632">
        <f>SUMIF(79:79,E13,80:80)-SUMIF(79:79,C13,80:80)+100</f>
        <v>100</v>
      </c>
      <c r="G13" s="1508"/>
      <c r="H13" s="643">
        <f>SUMIF(79:79,G13,80:80)-SUMIF(79:79,C13,80:80)+100</f>
        <v>100</v>
      </c>
      <c r="I13" s="873"/>
      <c r="J13" s="643">
        <f>SUMIF(79:79,I13,80:80)-SUMIF(79:79,C13,80:80)+100</f>
        <v>100</v>
      </c>
      <c r="K13" s="1579"/>
      <c r="L13" s="769"/>
      <c r="M13" s="755"/>
      <c r="N13" s="755"/>
      <c r="O13" s="1582"/>
      <c r="P13" s="831"/>
      <c r="Q13" s="830">
        <f t="shared" si="6"/>
        <v>111</v>
      </c>
      <c r="R13" s="826" t="s">
        <v>1174</v>
      </c>
      <c r="S13" s="827">
        <f t="shared" si="0"/>
        <v>100</v>
      </c>
      <c r="T13" s="826" t="s">
        <v>1174</v>
      </c>
      <c r="U13" s="827">
        <f t="shared" si="1"/>
        <v>100</v>
      </c>
      <c r="V13" s="826" t="s">
        <v>1174</v>
      </c>
      <c r="W13" s="827">
        <f t="shared" si="2"/>
        <v>100</v>
      </c>
      <c r="X13" s="828"/>
      <c r="Y13" s="830"/>
      <c r="Z13" s="855">
        <f t="shared" si="7"/>
        <v>111</v>
      </c>
      <c r="AA13" s="853">
        <f t="shared" si="3"/>
        <v>1</v>
      </c>
      <c r="AB13" s="853">
        <f t="shared" si="4"/>
        <v>1</v>
      </c>
      <c r="AC13" s="853">
        <f t="shared" si="5"/>
        <v>1</v>
      </c>
    </row>
    <row r="14" ht="16.25" spans="1:29">
      <c r="A14" s="644"/>
      <c r="B14" s="645">
        <v>111</v>
      </c>
      <c r="C14" s="646"/>
      <c r="D14" s="647">
        <v>100</v>
      </c>
      <c r="E14" s="873"/>
      <c r="F14" s="647">
        <f>SUMIF(81:81,E14,82:82)-SUMIF(81:81,C14,82:82)+100</f>
        <v>100</v>
      </c>
      <c r="G14" s="1508"/>
      <c r="H14" s="647">
        <f>SUMIF(81:81,G14,82:82)-SUMIF(81:81,C14,82:82)+100</f>
        <v>100</v>
      </c>
      <c r="I14" s="873"/>
      <c r="J14" s="647">
        <f>SUMIF(81:81,I14,82:82)-SUMIF(81:81,C14,82:82)+100</f>
        <v>100</v>
      </c>
      <c r="K14" s="1579"/>
      <c r="L14" s="769"/>
      <c r="M14" s="755"/>
      <c r="N14" s="755"/>
      <c r="O14" s="1582"/>
      <c r="P14" s="831"/>
      <c r="Q14" s="830">
        <f t="shared" si="6"/>
        <v>111</v>
      </c>
      <c r="R14" s="826" t="s">
        <v>1174</v>
      </c>
      <c r="S14" s="827">
        <f t="shared" si="0"/>
        <v>100</v>
      </c>
      <c r="T14" s="826" t="s">
        <v>1174</v>
      </c>
      <c r="U14" s="827">
        <f t="shared" si="1"/>
        <v>100</v>
      </c>
      <c r="V14" s="826" t="s">
        <v>1174</v>
      </c>
      <c r="W14" s="827">
        <f t="shared" si="2"/>
        <v>100</v>
      </c>
      <c r="X14" s="828"/>
      <c r="Y14" s="830"/>
      <c r="Z14" s="855">
        <f t="shared" si="7"/>
        <v>111</v>
      </c>
      <c r="AA14" s="853">
        <f t="shared" si="3"/>
        <v>1</v>
      </c>
      <c r="AB14" s="853">
        <f t="shared" si="4"/>
        <v>1</v>
      </c>
      <c r="AC14" s="853">
        <f t="shared" si="5"/>
        <v>1</v>
      </c>
    </row>
    <row r="15" ht="70" spans="1:29">
      <c r="A15" s="649" t="s">
        <v>1186</v>
      </c>
      <c r="B15" s="650" t="s">
        <v>1492</v>
      </c>
      <c r="C15" s="1509" t="str">
        <f>估价对象房地状况!G15</f>
        <v>估价对象位于XX开发区，园区建设成熟度XX，产业集聚程度XX</v>
      </c>
      <c r="D15" s="652">
        <v>100</v>
      </c>
      <c r="E15" s="654"/>
      <c r="F15" s="652">
        <f>SUMIF(83:83,E16,84:84)-SUMIF(83:83,C16,84:84)+100</f>
        <v>100</v>
      </c>
      <c r="G15" s="654"/>
      <c r="H15" s="652">
        <f>SUMIF(83:83,G16,84:84)-SUMIF(83:83,C16,84:84)+100</f>
        <v>100</v>
      </c>
      <c r="I15" s="653"/>
      <c r="J15" s="652">
        <f>SUMIF(83:83,I16,84:84)-SUMIF(83:83,C16,84:84)+100</f>
        <v>100</v>
      </c>
      <c r="K15" s="1581"/>
      <c r="L15" s="769"/>
      <c r="M15" s="755"/>
      <c r="N15" s="755"/>
      <c r="O15" s="1582"/>
      <c r="P15" s="856" t="s">
        <v>1189</v>
      </c>
      <c r="Q15" s="831" t="str">
        <f t="shared" si="6"/>
        <v>产业集聚程度</v>
      </c>
      <c r="R15" s="832" t="s">
        <v>1174</v>
      </c>
      <c r="S15" s="833">
        <f t="shared" si="0"/>
        <v>100</v>
      </c>
      <c r="T15" s="832" t="s">
        <v>1174</v>
      </c>
      <c r="U15" s="833">
        <f t="shared" si="1"/>
        <v>100</v>
      </c>
      <c r="V15" s="832" t="s">
        <v>1174</v>
      </c>
      <c r="W15" s="833">
        <f t="shared" si="2"/>
        <v>100</v>
      </c>
      <c r="X15" s="821"/>
      <c r="Y15" s="856" t="s">
        <v>1189</v>
      </c>
      <c r="Z15" s="820" t="str">
        <f t="shared" si="7"/>
        <v>产业集聚程度</v>
      </c>
      <c r="AA15" s="838">
        <f t="shared" si="3"/>
        <v>1</v>
      </c>
      <c r="AB15" s="838">
        <f t="shared" si="4"/>
        <v>1</v>
      </c>
      <c r="AC15" s="838">
        <f t="shared" si="5"/>
        <v>1</v>
      </c>
    </row>
    <row r="16" ht="15.5" spans="1:29">
      <c r="A16" s="634"/>
      <c r="B16" s="655"/>
      <c r="C16" s="669"/>
      <c r="D16" s="657"/>
      <c r="E16" s="656"/>
      <c r="F16" s="657"/>
      <c r="G16" s="656"/>
      <c r="H16" s="658"/>
      <c r="I16" s="656"/>
      <c r="J16" s="657"/>
      <c r="K16" s="1579"/>
      <c r="L16" s="769"/>
      <c r="M16" s="755"/>
      <c r="N16" s="755"/>
      <c r="O16" s="1582"/>
      <c r="P16" s="858"/>
      <c r="Q16" s="831"/>
      <c r="R16" s="832"/>
      <c r="S16" s="833"/>
      <c r="T16" s="832"/>
      <c r="U16" s="833"/>
      <c r="V16" s="832"/>
      <c r="W16" s="833"/>
      <c r="X16" s="821"/>
      <c r="Y16" s="858"/>
      <c r="Z16" s="820"/>
      <c r="AA16" s="838">
        <v>1</v>
      </c>
      <c r="AB16" s="838">
        <v>1</v>
      </c>
      <c r="AC16" s="838">
        <v>1</v>
      </c>
    </row>
    <row r="17" ht="98" spans="1:29">
      <c r="A17" s="634"/>
      <c r="B17" s="659" t="s">
        <v>1191</v>
      </c>
      <c r="C17" s="1510" t="str">
        <f>估价对象房地状况!G16</f>
        <v>估价对象周边道路状况、公共交通通达情况、停车便捷程度，综合评价交通便捷度较好</v>
      </c>
      <c r="D17" s="658">
        <v>100</v>
      </c>
      <c r="E17" s="662"/>
      <c r="F17" s="663">
        <f>SUMIF(85:85,E18,86:86)-SUMIF(85:85,C18,86:86)+100</f>
        <v>100</v>
      </c>
      <c r="G17" s="662"/>
      <c r="H17" s="663">
        <f>SUMIF(85:85,G18,86:86)-SUMIF(85:85,C18,86:86)+100</f>
        <v>100</v>
      </c>
      <c r="I17" s="661"/>
      <c r="J17" s="658">
        <f>SUMIF(85:85,I18,86:86)-SUMIF(85:85,C18,86:86)+100</f>
        <v>100</v>
      </c>
      <c r="K17" s="1581"/>
      <c r="L17" s="769"/>
      <c r="M17" s="755"/>
      <c r="N17" s="755"/>
      <c r="O17" s="1582"/>
      <c r="P17" s="858"/>
      <c r="Q17" s="831" t="str">
        <f>B17</f>
        <v>交通便捷度</v>
      </c>
      <c r="R17" s="832" t="s">
        <v>1174</v>
      </c>
      <c r="S17" s="833">
        <f>F17</f>
        <v>100</v>
      </c>
      <c r="T17" s="832" t="s">
        <v>1174</v>
      </c>
      <c r="U17" s="833">
        <f>H17</f>
        <v>100</v>
      </c>
      <c r="V17" s="832" t="s">
        <v>1174</v>
      </c>
      <c r="W17" s="833">
        <f>J17</f>
        <v>100</v>
      </c>
      <c r="X17" s="821"/>
      <c r="Y17" s="858"/>
      <c r="Z17" s="820" t="str">
        <f>Q17</f>
        <v>交通便捷度</v>
      </c>
      <c r="AA17" s="838">
        <f t="shared" si="3"/>
        <v>1</v>
      </c>
      <c r="AB17" s="838">
        <f t="shared" si="4"/>
        <v>1</v>
      </c>
      <c r="AC17" s="838">
        <f t="shared" si="5"/>
        <v>1</v>
      </c>
    </row>
    <row r="18" ht="15.5" spans="1:29">
      <c r="A18" s="634"/>
      <c r="B18" s="664"/>
      <c r="C18" s="669"/>
      <c r="D18" s="657"/>
      <c r="E18" s="1511"/>
      <c r="F18" s="657"/>
      <c r="G18" s="1511"/>
      <c r="H18" s="657"/>
      <c r="I18" s="1583"/>
      <c r="J18" s="657"/>
      <c r="K18" s="1579"/>
      <c r="L18" s="769"/>
      <c r="M18" s="755"/>
      <c r="N18" s="755"/>
      <c r="O18" s="1582"/>
      <c r="P18" s="858"/>
      <c r="Q18" s="831"/>
      <c r="R18" s="832"/>
      <c r="S18" s="833"/>
      <c r="T18" s="832"/>
      <c r="U18" s="833"/>
      <c r="V18" s="832"/>
      <c r="W18" s="833"/>
      <c r="X18" s="821"/>
      <c r="Y18" s="858"/>
      <c r="Z18" s="820"/>
      <c r="AA18" s="838">
        <v>1</v>
      </c>
      <c r="AB18" s="838">
        <v>1</v>
      </c>
      <c r="AC18" s="838">
        <v>1</v>
      </c>
    </row>
    <row r="19" ht="28" spans="1:29">
      <c r="A19" s="634"/>
      <c r="B19" s="659" t="s">
        <v>1519</v>
      </c>
      <c r="C19" s="1510">
        <f>估价对象房地状况!G17</f>
        <v>0</v>
      </c>
      <c r="D19" s="658">
        <v>100</v>
      </c>
      <c r="E19" s="662"/>
      <c r="F19" s="663">
        <f>SUMIF(87:87,E20,88:88)-SUMIF(87:87,C20,88:88)+100</f>
        <v>100</v>
      </c>
      <c r="G19" s="662"/>
      <c r="H19" s="663">
        <f>SUMIF(87:87,G20,88:88)-SUMIF(87:87,C20,88:88)+100</f>
        <v>100</v>
      </c>
      <c r="I19" s="662"/>
      <c r="J19" s="663">
        <f>SUMIF(87:87,I20,88:88)-SUMIF(87:87,C20,88:88)+100</f>
        <v>100</v>
      </c>
      <c r="K19" s="1581"/>
      <c r="L19" s="769"/>
      <c r="M19" s="755"/>
      <c r="N19" s="755"/>
      <c r="O19" s="1582"/>
      <c r="P19" s="858"/>
      <c r="Q19" s="831" t="str">
        <f t="shared" ref="Q19:Q34" si="8">B19</f>
        <v>区域土地利用方向</v>
      </c>
      <c r="R19" s="832" t="s">
        <v>1174</v>
      </c>
      <c r="S19" s="833">
        <f>F19</f>
        <v>100</v>
      </c>
      <c r="T19" s="832" t="s">
        <v>1174</v>
      </c>
      <c r="U19" s="833">
        <f>H19</f>
        <v>100</v>
      </c>
      <c r="V19" s="832" t="s">
        <v>1174</v>
      </c>
      <c r="W19" s="833">
        <f>J19</f>
        <v>100</v>
      </c>
      <c r="X19" s="821"/>
      <c r="Y19" s="858"/>
      <c r="Z19" s="820" t="str">
        <f>Q19</f>
        <v>区域土地利用方向</v>
      </c>
      <c r="AA19" s="838">
        <f t="shared" si="3"/>
        <v>1</v>
      </c>
      <c r="AB19" s="838">
        <f t="shared" si="4"/>
        <v>1</v>
      </c>
      <c r="AC19" s="838">
        <f t="shared" si="5"/>
        <v>1</v>
      </c>
    </row>
    <row r="20" ht="15.5" spans="1:29">
      <c r="A20" s="603"/>
      <c r="B20" s="664"/>
      <c r="C20" s="669"/>
      <c r="D20" s="657"/>
      <c r="E20" s="1511"/>
      <c r="F20" s="657"/>
      <c r="G20" s="1511"/>
      <c r="H20" s="657"/>
      <c r="I20" s="1511"/>
      <c r="J20" s="657"/>
      <c r="K20" s="1584"/>
      <c r="L20" s="769"/>
      <c r="M20" s="755"/>
      <c r="N20" s="755"/>
      <c r="O20" s="1582"/>
      <c r="P20" s="858"/>
      <c r="Q20" s="831"/>
      <c r="R20" s="832"/>
      <c r="S20" s="833"/>
      <c r="T20" s="832"/>
      <c r="U20" s="833"/>
      <c r="V20" s="832"/>
      <c r="W20" s="833"/>
      <c r="X20" s="821"/>
      <c r="Y20" s="858"/>
      <c r="Z20" s="820"/>
      <c r="AA20" s="838"/>
      <c r="AB20" s="838"/>
      <c r="AC20" s="838"/>
    </row>
    <row r="21" ht="84" spans="1:29">
      <c r="A21" s="603"/>
      <c r="B21" s="659" t="s">
        <v>1677</v>
      </c>
      <c r="C21" s="1510" t="str">
        <f>估价对象房地状况!G18</f>
        <v>该园区内是否有污染型企业，绿化情况，卫生条件，整体环境状况判断</v>
      </c>
      <c r="D21" s="658">
        <v>100</v>
      </c>
      <c r="E21" s="662"/>
      <c r="F21" s="658">
        <f>SUMIF(89:89,E22,90:90)-SUMIF(89:89,C22,90:90)+100</f>
        <v>100</v>
      </c>
      <c r="G21" s="662"/>
      <c r="H21" s="658">
        <f>SUMIF(89:89,G22,90:90)-SUMIF(89:89,C22,90:90)+100</f>
        <v>100</v>
      </c>
      <c r="I21" s="661"/>
      <c r="J21" s="658">
        <f>SUMIF(89:89,I22,90:90)-SUMIF(89:89,C22,90:90)+100</f>
        <v>100</v>
      </c>
      <c r="K21" s="1581"/>
      <c r="L21" s="769"/>
      <c r="M21" s="755"/>
      <c r="N21" s="755"/>
      <c r="O21" s="1582"/>
      <c r="P21" s="858"/>
      <c r="Q21" s="831" t="str">
        <f t="shared" si="8"/>
        <v>环境状况</v>
      </c>
      <c r="R21" s="832" t="s">
        <v>1174</v>
      </c>
      <c r="S21" s="833">
        <f>F21</f>
        <v>100</v>
      </c>
      <c r="T21" s="832" t="s">
        <v>1174</v>
      </c>
      <c r="U21" s="833">
        <f>H21</f>
        <v>100</v>
      </c>
      <c r="V21" s="832" t="s">
        <v>1174</v>
      </c>
      <c r="W21" s="833">
        <f>J21</f>
        <v>100</v>
      </c>
      <c r="X21" s="821"/>
      <c r="Y21" s="858"/>
      <c r="Z21" s="820" t="str">
        <f>Q21</f>
        <v>环境状况</v>
      </c>
      <c r="AA21" s="838">
        <f t="shared" si="3"/>
        <v>1</v>
      </c>
      <c r="AB21" s="838">
        <f t="shared" si="4"/>
        <v>1</v>
      </c>
      <c r="AC21" s="838">
        <f t="shared" si="5"/>
        <v>1</v>
      </c>
    </row>
    <row r="22" ht="15.5" spans="1:29">
      <c r="A22" s="603"/>
      <c r="B22" s="664"/>
      <c r="C22" s="669"/>
      <c r="D22" s="657"/>
      <c r="E22" s="656"/>
      <c r="F22" s="657"/>
      <c r="G22" s="656"/>
      <c r="H22" s="657"/>
      <c r="I22" s="669"/>
      <c r="J22" s="657"/>
      <c r="K22" s="1579"/>
      <c r="L22" s="769"/>
      <c r="M22" s="755"/>
      <c r="N22" s="755"/>
      <c r="O22" s="1582"/>
      <c r="P22" s="858"/>
      <c r="Q22" s="831"/>
      <c r="R22" s="832"/>
      <c r="S22" s="833"/>
      <c r="T22" s="832"/>
      <c r="U22" s="833"/>
      <c r="V22" s="832"/>
      <c r="W22" s="833"/>
      <c r="X22" s="821"/>
      <c r="Y22" s="858"/>
      <c r="Z22" s="820"/>
      <c r="AA22" s="838">
        <v>1</v>
      </c>
      <c r="AB22" s="838">
        <v>1</v>
      </c>
      <c r="AC22" s="838">
        <v>1</v>
      </c>
    </row>
    <row r="23" s="568" customFormat="1" ht="42" spans="1:29">
      <c r="A23" s="1512"/>
      <c r="B23" s="667" t="s">
        <v>1192</v>
      </c>
      <c r="C23" s="1510" t="str">
        <f>估价对象房地状况!G19</f>
        <v>估价对象所在区域公共配套设施齐备情况</v>
      </c>
      <c r="D23" s="658">
        <v>100</v>
      </c>
      <c r="E23" s="662"/>
      <c r="F23" s="658">
        <f>SUMIF(91:91,E24,92:92)-SUMIF(91:91,C24,92:92)+100</f>
        <v>100</v>
      </c>
      <c r="G23" s="662"/>
      <c r="H23" s="658">
        <f>SUMIF(91:91,G24,92:92)-SUMIF(91:91,C24,92:92)+100</f>
        <v>100</v>
      </c>
      <c r="I23" s="661"/>
      <c r="J23" s="658">
        <f>SUMIF(91:91,I24,92:92)-SUMIF(91:91,C24,92:92)+100</f>
        <v>100</v>
      </c>
      <c r="K23" s="1581"/>
      <c r="L23" s="760"/>
      <c r="M23" s="761"/>
      <c r="N23" s="761"/>
      <c r="O23" s="1578"/>
      <c r="P23" s="858"/>
      <c r="Q23" s="830" t="str">
        <f t="shared" si="8"/>
        <v>公共配套设施</v>
      </c>
      <c r="R23" s="826" t="s">
        <v>1174</v>
      </c>
      <c r="S23" s="827">
        <f>F23</f>
        <v>100</v>
      </c>
      <c r="T23" s="826" t="s">
        <v>1174</v>
      </c>
      <c r="U23" s="827">
        <f>H23</f>
        <v>100</v>
      </c>
      <c r="V23" s="826" t="s">
        <v>1174</v>
      </c>
      <c r="W23" s="827">
        <f>J23</f>
        <v>100</v>
      </c>
      <c r="X23" s="828"/>
      <c r="Y23" s="858"/>
      <c r="Z23" s="855" t="str">
        <f>Q23</f>
        <v>公共配套设施</v>
      </c>
      <c r="AA23" s="838">
        <f>D23/F23</f>
        <v>1</v>
      </c>
      <c r="AB23" s="838">
        <f>D23/H23</f>
        <v>1</v>
      </c>
      <c r="AC23" s="838">
        <f>D23/J23</f>
        <v>1</v>
      </c>
    </row>
    <row r="24" s="568" customFormat="1" ht="15.5" spans="1:29">
      <c r="A24" s="1512"/>
      <c r="B24" s="664"/>
      <c r="C24" s="1513"/>
      <c r="D24" s="657"/>
      <c r="E24" s="656"/>
      <c r="F24" s="657"/>
      <c r="G24" s="656"/>
      <c r="H24" s="657"/>
      <c r="I24" s="669"/>
      <c r="J24" s="657"/>
      <c r="K24" s="1579"/>
      <c r="L24" s="760"/>
      <c r="M24" s="761"/>
      <c r="N24" s="761"/>
      <c r="O24" s="1578"/>
      <c r="P24" s="858"/>
      <c r="Q24" s="830"/>
      <c r="R24" s="826"/>
      <c r="S24" s="827"/>
      <c r="T24" s="826"/>
      <c r="U24" s="827"/>
      <c r="V24" s="826"/>
      <c r="W24" s="827"/>
      <c r="X24" s="828"/>
      <c r="Y24" s="858"/>
      <c r="Z24" s="855"/>
      <c r="AA24" s="853">
        <v>1</v>
      </c>
      <c r="AB24" s="853">
        <v>1</v>
      </c>
      <c r="AC24" s="853">
        <v>1</v>
      </c>
    </row>
    <row r="25" s="568" customFormat="1" ht="42" spans="1:29">
      <c r="A25" s="1512"/>
      <c r="B25" s="667" t="s">
        <v>1193</v>
      </c>
      <c r="C25" s="1510" t="str">
        <f>估价对象房地状况!G20</f>
        <v>估价对象所在区域基础设施水平</v>
      </c>
      <c r="D25" s="658">
        <v>100</v>
      </c>
      <c r="E25" s="662"/>
      <c r="F25" s="658">
        <f>SUMIF(93:93,E26,94:94)-SUMIF(93:93,C26,94:94)+100</f>
        <v>100</v>
      </c>
      <c r="G25" s="662"/>
      <c r="H25" s="658">
        <f>SUMIF(93:93,G26,94:94)-SUMIF(93:93,C26,94:94)+100</f>
        <v>100</v>
      </c>
      <c r="I25" s="661"/>
      <c r="J25" s="658">
        <f>SUMIF(93:93,I26,94:94)-SUMIF(93:93,C26,94:94)+100</f>
        <v>100</v>
      </c>
      <c r="K25" s="1581"/>
      <c r="L25" s="760"/>
      <c r="M25" s="761"/>
      <c r="N25" s="761"/>
      <c r="O25" s="1578"/>
      <c r="P25" s="858"/>
      <c r="Q25" s="830" t="str">
        <f t="shared" ref="Q25" si="9">B25</f>
        <v>基础设施水平</v>
      </c>
      <c r="R25" s="826" t="s">
        <v>1174</v>
      </c>
      <c r="S25" s="827">
        <f>F25</f>
        <v>100</v>
      </c>
      <c r="T25" s="826" t="s">
        <v>1174</v>
      </c>
      <c r="U25" s="827">
        <f>H25</f>
        <v>100</v>
      </c>
      <c r="V25" s="826" t="s">
        <v>1174</v>
      </c>
      <c r="W25" s="827">
        <f>J25</f>
        <v>100</v>
      </c>
      <c r="X25" s="828"/>
      <c r="Y25" s="858"/>
      <c r="Z25" s="855" t="str">
        <f>Q25</f>
        <v>基础设施水平</v>
      </c>
      <c r="AA25" s="838">
        <f>D25/F25</f>
        <v>1</v>
      </c>
      <c r="AB25" s="838">
        <f>D25/H25</f>
        <v>1</v>
      </c>
      <c r="AC25" s="838">
        <f>D25/J25</f>
        <v>1</v>
      </c>
    </row>
    <row r="26" s="568" customFormat="1" ht="15.5" spans="1:29">
      <c r="A26" s="1512"/>
      <c r="B26" s="664"/>
      <c r="C26" s="1513"/>
      <c r="D26" s="657"/>
      <c r="E26" s="1514"/>
      <c r="F26" s="657"/>
      <c r="G26" s="1514"/>
      <c r="H26" s="657"/>
      <c r="I26" s="1514"/>
      <c r="J26" s="657"/>
      <c r="K26" s="1579"/>
      <c r="L26" s="760"/>
      <c r="M26" s="761"/>
      <c r="N26" s="761"/>
      <c r="O26" s="1578"/>
      <c r="P26" s="858"/>
      <c r="Q26" s="830"/>
      <c r="R26" s="826"/>
      <c r="S26" s="827"/>
      <c r="T26" s="826"/>
      <c r="U26" s="827"/>
      <c r="V26" s="826"/>
      <c r="W26" s="827"/>
      <c r="X26" s="828"/>
      <c r="Y26" s="858"/>
      <c r="Z26" s="855"/>
      <c r="AA26" s="853">
        <v>1</v>
      </c>
      <c r="AB26" s="853">
        <v>1</v>
      </c>
      <c r="AC26" s="853">
        <v>1</v>
      </c>
    </row>
    <row r="27" ht="15.5" spans="1:29">
      <c r="A27" s="634"/>
      <c r="B27" s="664" t="s">
        <v>1484</v>
      </c>
      <c r="C27" s="672"/>
      <c r="D27" s="643">
        <v>100</v>
      </c>
      <c r="E27" s="671"/>
      <c r="F27" s="643">
        <f>SUMIF(95:95,E27,96:96)-SUMIF(95:95,C27,96:96)+100</f>
        <v>100</v>
      </c>
      <c r="G27" s="671"/>
      <c r="H27" s="643">
        <f>SUMIF(95:95,G27,96:96)-SUMIF(95:95,C27,96:96)+100</f>
        <v>100</v>
      </c>
      <c r="I27" s="671"/>
      <c r="J27" s="643">
        <f>SUMIF(95:95,I27,96:96)-SUMIF(95:95,C27,96:96)+100</f>
        <v>100</v>
      </c>
      <c r="K27" s="1581"/>
      <c r="L27" s="769"/>
      <c r="M27" s="755"/>
      <c r="N27" s="755"/>
      <c r="O27" s="1582"/>
      <c r="P27" s="858"/>
      <c r="Q27" s="831" t="str">
        <f t="shared" si="8"/>
        <v>临街状况</v>
      </c>
      <c r="R27" s="832" t="s">
        <v>1174</v>
      </c>
      <c r="S27" s="833">
        <f t="shared" ref="S27:S40" si="10">F27</f>
        <v>100</v>
      </c>
      <c r="T27" s="832" t="s">
        <v>1174</v>
      </c>
      <c r="U27" s="833">
        <f t="shared" ref="U27:U40" si="11">H27</f>
        <v>100</v>
      </c>
      <c r="V27" s="832" t="s">
        <v>1174</v>
      </c>
      <c r="W27" s="833">
        <f t="shared" ref="W27:W40" si="12">J27</f>
        <v>100</v>
      </c>
      <c r="X27" s="821"/>
      <c r="Y27" s="858"/>
      <c r="Z27" s="820" t="str">
        <f t="shared" ref="Z27:Z40" si="13">Q27</f>
        <v>临街状况</v>
      </c>
      <c r="AA27" s="838">
        <f t="shared" si="3"/>
        <v>1</v>
      </c>
      <c r="AB27" s="838">
        <f t="shared" si="4"/>
        <v>1</v>
      </c>
      <c r="AC27" s="838">
        <f t="shared" si="5"/>
        <v>1</v>
      </c>
    </row>
    <row r="28" ht="28" spans="1:29">
      <c r="A28" s="634"/>
      <c r="B28" s="667" t="s">
        <v>1195</v>
      </c>
      <c r="C28" s="1515">
        <f>估价对象房地状况!G22</f>
        <v>0</v>
      </c>
      <c r="D28" s="658">
        <v>100</v>
      </c>
      <c r="E28" s="662"/>
      <c r="F28" s="658">
        <f>SUMIF(97:97,E29,98:98)-SUMIF(97:97,C29,98:98)+100</f>
        <v>100</v>
      </c>
      <c r="G28" s="662"/>
      <c r="H28" s="658">
        <f>SUMIF(97:97,G29,98:98)-SUMIF(97:97,C29,98:98)+100</f>
        <v>100</v>
      </c>
      <c r="I28" s="661"/>
      <c r="J28" s="658">
        <f>SUMIF(97:97,I29,98:98)-SUMIF(97:97,C29,98:98)+100</f>
        <v>100</v>
      </c>
      <c r="K28" s="1581"/>
      <c r="L28" s="769"/>
      <c r="M28" s="755"/>
      <c r="N28" s="755"/>
      <c r="O28" s="1582"/>
      <c r="P28" s="858"/>
      <c r="Q28" s="831" t="str">
        <f t="shared" si="8"/>
        <v>毗邻道路的类型与等级</v>
      </c>
      <c r="R28" s="832" t="s">
        <v>1174</v>
      </c>
      <c r="S28" s="833">
        <f t="shared" si="10"/>
        <v>100</v>
      </c>
      <c r="T28" s="832" t="s">
        <v>1174</v>
      </c>
      <c r="U28" s="833">
        <f t="shared" si="11"/>
        <v>100</v>
      </c>
      <c r="V28" s="832" t="s">
        <v>1174</v>
      </c>
      <c r="W28" s="833">
        <f t="shared" si="12"/>
        <v>100</v>
      </c>
      <c r="X28" s="821"/>
      <c r="Y28" s="858"/>
      <c r="Z28" s="820" t="str">
        <f t="shared" si="13"/>
        <v>毗邻道路的类型与等级</v>
      </c>
      <c r="AA28" s="838">
        <f t="shared" si="3"/>
        <v>1</v>
      </c>
      <c r="AB28" s="838">
        <f t="shared" si="4"/>
        <v>1</v>
      </c>
      <c r="AC28" s="838">
        <f t="shared" si="5"/>
        <v>1</v>
      </c>
    </row>
    <row r="29" ht="15.5" spans="1:29">
      <c r="A29" s="634"/>
      <c r="B29" s="664"/>
      <c r="C29" s="669"/>
      <c r="D29" s="657"/>
      <c r="E29" s="656"/>
      <c r="F29" s="657"/>
      <c r="G29" s="656"/>
      <c r="H29" s="657"/>
      <c r="I29" s="656"/>
      <c r="J29" s="657"/>
      <c r="K29" s="768"/>
      <c r="L29" s="769"/>
      <c r="M29" s="755"/>
      <c r="N29" s="755"/>
      <c r="O29" s="1582"/>
      <c r="P29" s="858"/>
      <c r="Q29" s="831"/>
      <c r="R29" s="832"/>
      <c r="S29" s="833"/>
      <c r="T29" s="832"/>
      <c r="U29" s="833"/>
      <c r="V29" s="832"/>
      <c r="W29" s="833"/>
      <c r="X29" s="821"/>
      <c r="Y29" s="858"/>
      <c r="Z29" s="820"/>
      <c r="AA29" s="838">
        <v>1</v>
      </c>
      <c r="AB29" s="838">
        <v>1</v>
      </c>
      <c r="AC29" s="838">
        <v>1</v>
      </c>
    </row>
    <row r="30" ht="15.5" spans="1:29">
      <c r="A30" s="634"/>
      <c r="B30" s="1516" t="s">
        <v>1521</v>
      </c>
      <c r="C30" s="1517">
        <f>估价对象房地状况!G23</f>
        <v>0</v>
      </c>
      <c r="D30" s="643">
        <v>100</v>
      </c>
      <c r="E30" s="671"/>
      <c r="F30" s="643">
        <f>SUMIF(99:99,E30,100:100)-SUMIF(99:99,C30,100:100)+100</f>
        <v>100</v>
      </c>
      <c r="G30" s="671"/>
      <c r="H30" s="643">
        <f>SUMIF(99:99,G30,100:100)-SUMIF(99:99,C30,100:100)+100</f>
        <v>100</v>
      </c>
      <c r="I30" s="671"/>
      <c r="J30" s="643">
        <f>SUMIF(99:99,I30,100:100)-SUMIF(99:99,C30,100:100)+100</f>
        <v>100</v>
      </c>
      <c r="K30" s="766"/>
      <c r="L30" s="769"/>
      <c r="M30" s="755"/>
      <c r="N30" s="755"/>
      <c r="O30" s="1582"/>
      <c r="P30" s="858"/>
      <c r="Q30" s="831" t="str">
        <f t="shared" si="8"/>
        <v>土地级别</v>
      </c>
      <c r="R30" s="832" t="s">
        <v>1174</v>
      </c>
      <c r="S30" s="833">
        <f t="shared" si="10"/>
        <v>100</v>
      </c>
      <c r="T30" s="832" t="s">
        <v>1174</v>
      </c>
      <c r="U30" s="833">
        <f t="shared" si="11"/>
        <v>100</v>
      </c>
      <c r="V30" s="832" t="s">
        <v>1174</v>
      </c>
      <c r="W30" s="833">
        <f t="shared" si="12"/>
        <v>100</v>
      </c>
      <c r="X30" s="821"/>
      <c r="Y30" s="858"/>
      <c r="Z30" s="820" t="str">
        <f t="shared" si="13"/>
        <v>土地级别</v>
      </c>
      <c r="AA30" s="838">
        <f t="shared" si="3"/>
        <v>1</v>
      </c>
      <c r="AB30" s="838">
        <f t="shared" si="4"/>
        <v>1</v>
      </c>
      <c r="AC30" s="838">
        <f t="shared" si="5"/>
        <v>1</v>
      </c>
    </row>
    <row r="31" ht="15.5" spans="1:29">
      <c r="A31" s="603"/>
      <c r="B31" s="676">
        <v>111</v>
      </c>
      <c r="C31" s="1508"/>
      <c r="D31" s="643">
        <v>100</v>
      </c>
      <c r="E31" s="1518"/>
      <c r="F31" s="643">
        <f>SUMIF(101:101,E31,102:102)-SUMIF(101:101,C31,102:102)+100</f>
        <v>100</v>
      </c>
      <c r="G31" s="1518"/>
      <c r="H31" s="643">
        <f>SUMIF(101:101,G31,102:102)-SUMIF(101:101,C31,102:102)+100</f>
        <v>100</v>
      </c>
      <c r="I31" s="873"/>
      <c r="J31" s="643">
        <f>SUMIF(101:101,I31,102:102)-SUMIF(101:101,C31,102:102)+100</f>
        <v>100</v>
      </c>
      <c r="K31" s="768"/>
      <c r="L31" s="769"/>
      <c r="M31" s="755"/>
      <c r="N31" s="755"/>
      <c r="O31" s="1582"/>
      <c r="P31" s="858"/>
      <c r="Q31" s="831">
        <f t="shared" si="8"/>
        <v>111</v>
      </c>
      <c r="R31" s="832" t="s">
        <v>1174</v>
      </c>
      <c r="S31" s="833">
        <f t="shared" si="10"/>
        <v>100</v>
      </c>
      <c r="T31" s="832" t="s">
        <v>1174</v>
      </c>
      <c r="U31" s="833">
        <f t="shared" si="11"/>
        <v>100</v>
      </c>
      <c r="V31" s="832" t="s">
        <v>1174</v>
      </c>
      <c r="W31" s="833">
        <f t="shared" si="12"/>
        <v>100</v>
      </c>
      <c r="X31" s="821"/>
      <c r="Y31" s="858"/>
      <c r="Z31" s="820">
        <f t="shared" si="13"/>
        <v>111</v>
      </c>
      <c r="AA31" s="838">
        <f t="shared" si="3"/>
        <v>1</v>
      </c>
      <c r="AB31" s="838">
        <f t="shared" si="4"/>
        <v>1</v>
      </c>
      <c r="AC31" s="838">
        <f t="shared" si="5"/>
        <v>1</v>
      </c>
    </row>
    <row r="32" ht="15.5" spans="1:29">
      <c r="A32" s="1519"/>
      <c r="B32" s="1520">
        <v>111</v>
      </c>
      <c r="C32" s="1508"/>
      <c r="D32" s="643">
        <v>100</v>
      </c>
      <c r="E32" s="1518"/>
      <c r="F32" s="643">
        <f>SUMIF(103:103,E33,104:104)-SUMIF(103:103,C33,104:104)+100</f>
        <v>100</v>
      </c>
      <c r="G32" s="1518"/>
      <c r="H32" s="643">
        <f>SUMIF(103:103,G32,104:104)-SUMIF(103:103,C32,104:104)+100</f>
        <v>100</v>
      </c>
      <c r="I32" s="1508"/>
      <c r="J32" s="643">
        <f>SUMIF(103:103,I32,104:104)-SUMIF(103:103,C32,104:104)+100</f>
        <v>100</v>
      </c>
      <c r="K32" s="768"/>
      <c r="L32" s="769"/>
      <c r="M32" s="755"/>
      <c r="N32" s="755"/>
      <c r="O32" s="1582"/>
      <c r="P32" s="1585" t="s">
        <v>1202</v>
      </c>
      <c r="Q32" s="831">
        <f t="shared" si="8"/>
        <v>111</v>
      </c>
      <c r="R32" s="832" t="s">
        <v>1174</v>
      </c>
      <c r="S32" s="833">
        <f t="shared" si="10"/>
        <v>100</v>
      </c>
      <c r="T32" s="832" t="s">
        <v>1174</v>
      </c>
      <c r="U32" s="833">
        <f t="shared" si="11"/>
        <v>100</v>
      </c>
      <c r="V32" s="832" t="s">
        <v>1174</v>
      </c>
      <c r="W32" s="833">
        <f t="shared" si="12"/>
        <v>100</v>
      </c>
      <c r="X32" s="821"/>
      <c r="Y32" s="859" t="s">
        <v>1202</v>
      </c>
      <c r="Z32" s="820">
        <f t="shared" si="13"/>
        <v>111</v>
      </c>
      <c r="AA32" s="838">
        <f t="shared" si="3"/>
        <v>1</v>
      </c>
      <c r="AB32" s="838">
        <f t="shared" si="4"/>
        <v>1</v>
      </c>
      <c r="AC32" s="838">
        <f t="shared" si="5"/>
        <v>1</v>
      </c>
    </row>
    <row r="33" s="570" customFormat="1" ht="16.25" spans="1:29">
      <c r="A33" s="1521"/>
      <c r="B33" s="1522">
        <v>111</v>
      </c>
      <c r="C33" s="1523"/>
      <c r="D33" s="1524">
        <v>100</v>
      </c>
      <c r="E33" s="1525"/>
      <c r="F33" s="647">
        <f>SUMIF(105:105,E33,106:106)-SUMIF(105:105,C33,106:106)+100</f>
        <v>100</v>
      </c>
      <c r="G33" s="1525"/>
      <c r="H33" s="647">
        <f>SUMIF(105:105,G33,106:106)-SUMIF(105:105,C33,106:106)+100</f>
        <v>100</v>
      </c>
      <c r="I33" s="1523"/>
      <c r="J33" s="647">
        <f>SUMIF(105:105,I33,106:106)-SUMIF(105:105,C33,106:106)+100</f>
        <v>100</v>
      </c>
      <c r="K33" s="768"/>
      <c r="L33" s="767"/>
      <c r="M33" s="777"/>
      <c r="N33" s="777"/>
      <c r="O33" s="1586"/>
      <c r="P33" s="859"/>
      <c r="Q33" s="831">
        <f t="shared" si="8"/>
        <v>111</v>
      </c>
      <c r="R33" s="835" t="s">
        <v>1174</v>
      </c>
      <c r="S33" s="836">
        <f t="shared" si="10"/>
        <v>100</v>
      </c>
      <c r="T33" s="835" t="s">
        <v>1174</v>
      </c>
      <c r="U33" s="836">
        <f t="shared" si="11"/>
        <v>100</v>
      </c>
      <c r="V33" s="835" t="s">
        <v>1174</v>
      </c>
      <c r="W33" s="836">
        <f t="shared" si="12"/>
        <v>100</v>
      </c>
      <c r="X33" s="837"/>
      <c r="Y33" s="859"/>
      <c r="Z33" s="860">
        <f t="shared" si="13"/>
        <v>111</v>
      </c>
      <c r="AA33" s="838">
        <f t="shared" si="3"/>
        <v>1</v>
      </c>
      <c r="AB33" s="838">
        <f t="shared" si="4"/>
        <v>1</v>
      </c>
      <c r="AC33" s="838">
        <f t="shared" si="5"/>
        <v>1</v>
      </c>
    </row>
    <row r="34" ht="15.5" spans="1:29">
      <c r="A34" s="649" t="s">
        <v>1198</v>
      </c>
      <c r="B34" s="1526" t="s">
        <v>1522</v>
      </c>
      <c r="C34" s="1527"/>
      <c r="D34" s="680">
        <v>100</v>
      </c>
      <c r="E34" s="1527"/>
      <c r="F34" s="680" t="e">
        <f>LOOKUP(E34,108:108,109:109)-LOOKUP(C34,108:108,109:109)+100</f>
        <v>#N/A</v>
      </c>
      <c r="G34" s="1527"/>
      <c r="H34" s="680" t="e">
        <f>LOOKUP(G34,108:108,109:109)-LOOKUP(C34,108:108,109:109)+100</f>
        <v>#N/A</v>
      </c>
      <c r="I34" s="745"/>
      <c r="J34" s="680" t="e">
        <f>LOOKUP(I34,108:108,109:109)-LOOKUP(C34,108:108,109:109)+100</f>
        <v>#N/A</v>
      </c>
      <c r="K34" s="768"/>
      <c r="L34" s="769"/>
      <c r="M34" s="755"/>
      <c r="N34" s="755"/>
      <c r="O34" s="1582"/>
      <c r="P34" s="859"/>
      <c r="Q34" s="831" t="str">
        <f t="shared" si="8"/>
        <v>宗地面积</v>
      </c>
      <c r="R34" s="832" t="s">
        <v>1174</v>
      </c>
      <c r="S34" s="833" t="e">
        <f t="shared" si="10"/>
        <v>#N/A</v>
      </c>
      <c r="T34" s="832" t="s">
        <v>1174</v>
      </c>
      <c r="U34" s="833" t="e">
        <f t="shared" si="11"/>
        <v>#N/A</v>
      </c>
      <c r="V34" s="832" t="s">
        <v>1174</v>
      </c>
      <c r="W34" s="833" t="e">
        <f t="shared" si="12"/>
        <v>#N/A</v>
      </c>
      <c r="X34" s="821"/>
      <c r="Y34" s="859"/>
      <c r="Z34" s="820" t="str">
        <f t="shared" si="13"/>
        <v>宗地面积</v>
      </c>
      <c r="AA34" s="838" t="e">
        <f t="shared" si="3"/>
        <v>#N/A</v>
      </c>
      <c r="AB34" s="838" t="e">
        <f t="shared" si="4"/>
        <v>#N/A</v>
      </c>
      <c r="AC34" s="838" t="e">
        <f t="shared" si="5"/>
        <v>#N/A</v>
      </c>
    </row>
    <row r="35" ht="15.5" spans="1:29">
      <c r="A35" s="685"/>
      <c r="B35" s="630" t="s">
        <v>1523</v>
      </c>
      <c r="C35" s="1528"/>
      <c r="D35" s="643">
        <v>100</v>
      </c>
      <c r="E35" s="1528"/>
      <c r="F35" s="643">
        <f>SUMIF(110:110,E35,111:111)-SUMIF(110:110,C35,111:111)+100</f>
        <v>100</v>
      </c>
      <c r="G35" s="1528"/>
      <c r="H35" s="643">
        <f>SUMIF(110:110,G35,111:111)-SUMIF(110:110,C35,111:111)+100</f>
        <v>100</v>
      </c>
      <c r="I35" s="1528"/>
      <c r="J35" s="643">
        <f>SUMIF(110:110,I35,111:111)-SUMIF(110:110,C35,111:111)+100</f>
        <v>100</v>
      </c>
      <c r="K35" s="766"/>
      <c r="L35" s="769"/>
      <c r="M35" s="755"/>
      <c r="N35" s="755"/>
      <c r="O35" s="1582"/>
      <c r="P35" s="859"/>
      <c r="Q35" s="831" t="str">
        <f t="shared" ref="Q35:Q40" si="14">B35</f>
        <v>宗地形状</v>
      </c>
      <c r="R35" s="832" t="s">
        <v>1174</v>
      </c>
      <c r="S35" s="833">
        <f t="shared" si="10"/>
        <v>100</v>
      </c>
      <c r="T35" s="832" t="s">
        <v>1174</v>
      </c>
      <c r="U35" s="833">
        <f t="shared" si="11"/>
        <v>100</v>
      </c>
      <c r="V35" s="832" t="s">
        <v>1174</v>
      </c>
      <c r="W35" s="833">
        <f t="shared" si="12"/>
        <v>100</v>
      </c>
      <c r="X35" s="821"/>
      <c r="Y35" s="859"/>
      <c r="Z35" s="820" t="str">
        <f t="shared" si="13"/>
        <v>宗地形状</v>
      </c>
      <c r="AA35" s="838">
        <f t="shared" si="3"/>
        <v>1</v>
      </c>
      <c r="AB35" s="838">
        <f t="shared" si="4"/>
        <v>1</v>
      </c>
      <c r="AC35" s="838">
        <f t="shared" si="5"/>
        <v>1</v>
      </c>
    </row>
    <row r="36" s="568" customFormat="1" ht="15.5" spans="1:29">
      <c r="A36" s="688"/>
      <c r="B36" s="630" t="s">
        <v>1527</v>
      </c>
      <c r="C36" s="1529"/>
      <c r="D36" s="632">
        <v>100</v>
      </c>
      <c r="E36" s="1529"/>
      <c r="F36" s="643">
        <f>SUMIF(112:112,E36,113:113)-SUMIF(112:112,C36,113:113)+100</f>
        <v>100</v>
      </c>
      <c r="G36" s="1529"/>
      <c r="H36" s="643">
        <f>SUMIF(112:112,G36,113:113)-SUMIF(112:112,C36,113:113)+100</f>
        <v>100</v>
      </c>
      <c r="I36" s="1529"/>
      <c r="J36" s="643">
        <f>SUMIF(112:112,I36,113:113)-SUMIF(112:112,C36,113:113)+100</f>
        <v>100</v>
      </c>
      <c r="K36" s="766"/>
      <c r="L36" s="760"/>
      <c r="M36" s="761"/>
      <c r="N36" s="761"/>
      <c r="O36" s="1578"/>
      <c r="P36" s="859"/>
      <c r="Q36" s="831" t="str">
        <f t="shared" si="14"/>
        <v>宗地开发程度</v>
      </c>
      <c r="R36" s="826" t="s">
        <v>1174</v>
      </c>
      <c r="S36" s="827">
        <f t="shared" si="10"/>
        <v>100</v>
      </c>
      <c r="T36" s="826" t="s">
        <v>1174</v>
      </c>
      <c r="U36" s="827">
        <f t="shared" si="11"/>
        <v>100</v>
      </c>
      <c r="V36" s="826" t="s">
        <v>1174</v>
      </c>
      <c r="W36" s="827">
        <f t="shared" si="12"/>
        <v>100</v>
      </c>
      <c r="X36" s="828"/>
      <c r="Y36" s="859"/>
      <c r="Z36" s="855" t="str">
        <f t="shared" si="13"/>
        <v>宗地开发程度</v>
      </c>
      <c r="AA36" s="853">
        <f t="shared" si="3"/>
        <v>1</v>
      </c>
      <c r="AB36" s="853">
        <f t="shared" si="4"/>
        <v>1</v>
      </c>
      <c r="AC36" s="853">
        <f t="shared" si="5"/>
        <v>1</v>
      </c>
    </row>
    <row r="37" ht="15.5" spans="1:29">
      <c r="A37" s="685"/>
      <c r="B37" s="630" t="s">
        <v>1528</v>
      </c>
      <c r="C37" s="1528"/>
      <c r="D37" s="643">
        <v>100</v>
      </c>
      <c r="E37" s="1528"/>
      <c r="F37" s="643">
        <f>SUMIF(114:114,E37,115:115)-SUMIF(114:114,C37,115:115)+100</f>
        <v>100</v>
      </c>
      <c r="G37" s="1528"/>
      <c r="H37" s="643">
        <f>SUMIF(114:114,G37,115:115)-SUMIF(114:114,C37,115:115)+100</f>
        <v>100</v>
      </c>
      <c r="I37" s="1528"/>
      <c r="J37" s="643">
        <f>SUMIF(114:114,I37,115:115)-SUMIF(114:114,C37,115:115)+100</f>
        <v>100</v>
      </c>
      <c r="K37" s="766"/>
      <c r="L37" s="769"/>
      <c r="M37" s="755"/>
      <c r="N37" s="755"/>
      <c r="O37" s="1582"/>
      <c r="P37" s="859" t="s">
        <v>1202</v>
      </c>
      <c r="Q37" s="831" t="str">
        <f t="shared" si="14"/>
        <v>工程地质条件</v>
      </c>
      <c r="R37" s="832" t="s">
        <v>1174</v>
      </c>
      <c r="S37" s="833">
        <f t="shared" si="10"/>
        <v>100</v>
      </c>
      <c r="T37" s="832" t="s">
        <v>1174</v>
      </c>
      <c r="U37" s="833">
        <f t="shared" si="11"/>
        <v>100</v>
      </c>
      <c r="V37" s="832" t="s">
        <v>1174</v>
      </c>
      <c r="W37" s="833">
        <f t="shared" si="12"/>
        <v>100</v>
      </c>
      <c r="X37" s="821"/>
      <c r="Y37" s="859" t="s">
        <v>1202</v>
      </c>
      <c r="Z37" s="820" t="str">
        <f t="shared" si="13"/>
        <v>工程地质条件</v>
      </c>
      <c r="AA37" s="838">
        <f t="shared" si="3"/>
        <v>1</v>
      </c>
      <c r="AB37" s="838">
        <f t="shared" si="4"/>
        <v>1</v>
      </c>
      <c r="AC37" s="838">
        <f t="shared" si="5"/>
        <v>1</v>
      </c>
    </row>
    <row r="38" ht="15.5" spans="1:29">
      <c r="A38" s="685"/>
      <c r="B38" s="1530">
        <v>111</v>
      </c>
      <c r="C38" s="1508"/>
      <c r="D38" s="643">
        <v>100</v>
      </c>
      <c r="E38" s="1508"/>
      <c r="F38" s="643">
        <f>SUMIF(116:116,E38,117:117)-SUMIF(116:116,C38,117:117)+100</f>
        <v>100</v>
      </c>
      <c r="G38" s="1508"/>
      <c r="H38" s="643">
        <f>SUMIF(116:116,G38,117:117)-SUMIF(116:116,C38,117:117)+100</f>
        <v>100</v>
      </c>
      <c r="I38" s="873"/>
      <c r="J38" s="643">
        <f>SUMIF(116:116,I38,117:117)-SUMIF(116:116,C38,117:117)+100</f>
        <v>100</v>
      </c>
      <c r="K38" s="768"/>
      <c r="L38" s="769"/>
      <c r="M38" s="755"/>
      <c r="N38" s="755"/>
      <c r="O38" s="1582"/>
      <c r="P38" s="859"/>
      <c r="Q38" s="831">
        <f t="shared" si="14"/>
        <v>111</v>
      </c>
      <c r="R38" s="832" t="s">
        <v>1174</v>
      </c>
      <c r="S38" s="833">
        <f t="shared" si="10"/>
        <v>100</v>
      </c>
      <c r="T38" s="832" t="s">
        <v>1174</v>
      </c>
      <c r="U38" s="833">
        <f t="shared" si="11"/>
        <v>100</v>
      </c>
      <c r="V38" s="832" t="s">
        <v>1174</v>
      </c>
      <c r="W38" s="833">
        <f t="shared" si="12"/>
        <v>100</v>
      </c>
      <c r="X38" s="821"/>
      <c r="Y38" s="859"/>
      <c r="Z38" s="820">
        <f t="shared" si="13"/>
        <v>111</v>
      </c>
      <c r="AA38" s="838">
        <f t="shared" si="3"/>
        <v>1</v>
      </c>
      <c r="AB38" s="838">
        <f t="shared" si="4"/>
        <v>1</v>
      </c>
      <c r="AC38" s="838">
        <f t="shared" si="5"/>
        <v>1</v>
      </c>
    </row>
    <row r="39" ht="15.5" spans="1:29">
      <c r="A39" s="685"/>
      <c r="B39" s="1530">
        <v>111</v>
      </c>
      <c r="C39" s="1508"/>
      <c r="D39" s="643">
        <v>100</v>
      </c>
      <c r="E39" s="1508"/>
      <c r="F39" s="643">
        <f>SUMIF(118:118,E39,119:119)-SUMIF(118:118,C39,119:119)+100</f>
        <v>100</v>
      </c>
      <c r="G39" s="1508"/>
      <c r="H39" s="643">
        <f>SUMIF(118:118,G39,119:119)-SUMIF(118:118,C39,119:119)+100</f>
        <v>100</v>
      </c>
      <c r="I39" s="873"/>
      <c r="J39" s="643">
        <f>SUMIF(118:118,I39,119:119)-SUMIF(118:118,C39,119:119)+100</f>
        <v>100</v>
      </c>
      <c r="K39" s="768"/>
      <c r="L39" s="769"/>
      <c r="M39" s="755"/>
      <c r="N39" s="755"/>
      <c r="O39" s="1582"/>
      <c r="P39" s="859"/>
      <c r="Q39" s="831">
        <f t="shared" si="14"/>
        <v>111</v>
      </c>
      <c r="R39" s="832" t="s">
        <v>1174</v>
      </c>
      <c r="S39" s="833">
        <f t="shared" si="10"/>
        <v>100</v>
      </c>
      <c r="T39" s="832" t="s">
        <v>1174</v>
      </c>
      <c r="U39" s="833">
        <f t="shared" si="11"/>
        <v>100</v>
      </c>
      <c r="V39" s="832" t="s">
        <v>1174</v>
      </c>
      <c r="W39" s="833">
        <f t="shared" si="12"/>
        <v>100</v>
      </c>
      <c r="X39" s="821"/>
      <c r="Y39" s="859"/>
      <c r="Z39" s="820">
        <f t="shared" si="13"/>
        <v>111</v>
      </c>
      <c r="AA39" s="838">
        <f t="shared" si="3"/>
        <v>1</v>
      </c>
      <c r="AB39" s="838">
        <f t="shared" si="4"/>
        <v>1</v>
      </c>
      <c r="AC39" s="838">
        <f t="shared" si="5"/>
        <v>1</v>
      </c>
    </row>
    <row r="40" s="570" customFormat="1" ht="16.25" spans="1:29">
      <c r="A40" s="682"/>
      <c r="B40" s="1530">
        <v>111</v>
      </c>
      <c r="C40" s="1531"/>
      <c r="D40" s="1524">
        <v>100</v>
      </c>
      <c r="E40" s="1508"/>
      <c r="F40" s="647">
        <f>SUMIF(120:120,E40,121:121)-SUMIF(120:120,C40,121:121)+100</f>
        <v>100</v>
      </c>
      <c r="G40" s="1508"/>
      <c r="H40" s="647">
        <f>SUMIF(120:120,G40,121:121)-SUMIF(120:120,C40,121:121)+100</f>
        <v>100</v>
      </c>
      <c r="I40" s="873"/>
      <c r="J40" s="647">
        <f>SUMIF(120:120,I40,121:121)-SUMIF(120:120,C40,121:121)+100</f>
        <v>100</v>
      </c>
      <c r="K40" s="1587"/>
      <c r="L40" s="767"/>
      <c r="M40" s="777"/>
      <c r="N40" s="777"/>
      <c r="O40" s="1586"/>
      <c r="P40" s="859"/>
      <c r="Q40" s="831">
        <f t="shared" si="14"/>
        <v>111</v>
      </c>
      <c r="R40" s="835" t="s">
        <v>1174</v>
      </c>
      <c r="S40" s="836">
        <f t="shared" si="10"/>
        <v>100</v>
      </c>
      <c r="T40" s="835" t="s">
        <v>1174</v>
      </c>
      <c r="U40" s="836">
        <f t="shared" si="11"/>
        <v>100</v>
      </c>
      <c r="V40" s="835" t="s">
        <v>1174</v>
      </c>
      <c r="W40" s="836">
        <f t="shared" si="12"/>
        <v>100</v>
      </c>
      <c r="X40" s="837"/>
      <c r="Y40" s="859"/>
      <c r="Z40" s="860">
        <f t="shared" si="13"/>
        <v>111</v>
      </c>
      <c r="AA40" s="838">
        <f t="shared" si="3"/>
        <v>1</v>
      </c>
      <c r="AB40" s="838">
        <f t="shared" si="4"/>
        <v>1</v>
      </c>
      <c r="AC40" s="838">
        <f t="shared" si="5"/>
        <v>1</v>
      </c>
    </row>
    <row r="41" spans="1:29">
      <c r="A41" s="693" t="s">
        <v>1505</v>
      </c>
      <c r="B41" s="1532" t="s">
        <v>1678</v>
      </c>
      <c r="C41" s="1533" t="s">
        <v>124</v>
      </c>
      <c r="D41" s="1534"/>
      <c r="E41" s="1535"/>
      <c r="F41" s="1536"/>
      <c r="G41" s="1537"/>
      <c r="H41" s="780"/>
      <c r="I41" s="1535"/>
      <c r="J41" s="780"/>
      <c r="K41" s="781"/>
      <c r="L41" s="782"/>
      <c r="M41" s="755"/>
      <c r="N41" s="755"/>
      <c r="O41" s="710"/>
      <c r="P41" s="831" t="str">
        <f>A41</f>
        <v>成交单价</v>
      </c>
      <c r="Q41" s="831"/>
      <c r="R41" s="820">
        <f>E41</f>
        <v>0</v>
      </c>
      <c r="S41" s="820"/>
      <c r="T41" s="820">
        <f>G41</f>
        <v>0</v>
      </c>
      <c r="U41" s="820"/>
      <c r="V41" s="820">
        <f>I41</f>
        <v>0</v>
      </c>
      <c r="W41" s="820"/>
      <c r="X41" s="721"/>
      <c r="Y41" s="862"/>
      <c r="Z41" s="721"/>
      <c r="AA41" s="721"/>
      <c r="AB41" s="721"/>
      <c r="AC41" s="721"/>
    </row>
    <row r="42" ht="14.75" spans="1:29">
      <c r="A42" s="701" t="s">
        <v>1215</v>
      </c>
      <c r="B42" s="1538"/>
      <c r="C42" s="1539" t="e">
        <f>R43</f>
        <v>#DIV/0!</v>
      </c>
      <c r="D42" s="704" t="s">
        <v>1216</v>
      </c>
      <c r="E42" s="1539" t="e">
        <f>R42</f>
        <v>#DIV/0!</v>
      </c>
      <c r="F42" s="706"/>
      <c r="G42" s="1540" t="e">
        <f>T42</f>
        <v>#DIV/0!</v>
      </c>
      <c r="H42" s="706"/>
      <c r="I42" s="1539" t="e">
        <f>V42</f>
        <v>#DIV/0!</v>
      </c>
      <c r="J42" s="706"/>
      <c r="K42" s="783">
        <f>F42+H42+J42</f>
        <v>0</v>
      </c>
      <c r="L42" s="782"/>
      <c r="M42" s="755"/>
      <c r="N42" s="755"/>
      <c r="O42" s="710"/>
      <c r="P42" s="831" t="str">
        <f>A42</f>
        <v>比较价值（元/平方米）</v>
      </c>
      <c r="Q42" s="831"/>
      <c r="R42" s="1597" t="e">
        <f>ROUND(PRODUCT(R41,AA7:AA40),0)</f>
        <v>#DIV/0!</v>
      </c>
      <c r="S42" s="1597"/>
      <c r="T42" s="1597" t="e">
        <f>ROUND(PRODUCT(T41,AB7:AB40),0)</f>
        <v>#DIV/0!</v>
      </c>
      <c r="U42" s="1597"/>
      <c r="V42" s="1597" t="e">
        <f>ROUND(PRODUCT(V41,AC7:AC40),0)</f>
        <v>#DIV/0!</v>
      </c>
      <c r="W42" s="1597"/>
      <c r="X42" s="721"/>
      <c r="Y42" s="721"/>
      <c r="Z42" s="721"/>
      <c r="AA42" s="721"/>
      <c r="AB42" s="721"/>
      <c r="AC42" s="721"/>
    </row>
    <row r="43" ht="14.75" spans="1:29">
      <c r="A43" s="707" t="s">
        <v>1217</v>
      </c>
      <c r="B43" s="708"/>
      <c r="C43" s="784" t="e">
        <f>R43</f>
        <v>#DIV/0!</v>
      </c>
      <c r="D43" s="784"/>
      <c r="E43" s="784"/>
      <c r="F43" s="784"/>
      <c r="G43" s="784"/>
      <c r="H43" s="784"/>
      <c r="I43" s="784"/>
      <c r="J43" s="784"/>
      <c r="K43" s="785"/>
      <c r="L43" s="782"/>
      <c r="M43" s="755"/>
      <c r="N43" s="755"/>
      <c r="O43" s="710"/>
      <c r="P43" s="689" t="str">
        <f>A43</f>
        <v>估价对象XX用房的比较价值（楼面单价，元/平方米）</v>
      </c>
      <c r="Q43" s="1598"/>
      <c r="R43" s="1599" t="e">
        <f>ROUND(IF(D42="简单平均",AVERAGE(R42:W42),R42*F42+T42*H42+V42*J42),0)</f>
        <v>#DIV/0!</v>
      </c>
      <c r="S43" s="1599"/>
      <c r="T43" s="1599"/>
      <c r="U43" s="1599"/>
      <c r="V43" s="1599"/>
      <c r="W43" s="1599"/>
      <c r="X43" s="721"/>
      <c r="Y43" s="721"/>
      <c r="Z43" s="721"/>
      <c r="AA43" s="721"/>
      <c r="AB43" s="721"/>
      <c r="AC43" s="721"/>
    </row>
    <row r="44" spans="1:31">
      <c r="A44" s="710"/>
      <c r="B44" s="710"/>
      <c r="C44" s="710"/>
      <c r="D44" s="710"/>
      <c r="E44" s="710"/>
      <c r="F44" s="710"/>
      <c r="G44" s="711"/>
      <c r="H44" s="710"/>
      <c r="I44" s="710"/>
      <c r="J44" s="710"/>
      <c r="K44" s="787"/>
      <c r="L44" s="788"/>
      <c r="M44" s="755"/>
      <c r="N44" s="755"/>
      <c r="O44" s="710"/>
      <c r="P44" s="710"/>
      <c r="Q44" s="710"/>
      <c r="R44" s="710"/>
      <c r="S44" s="710"/>
      <c r="T44" s="710"/>
      <c r="U44" s="710"/>
      <c r="V44" s="710"/>
      <c r="W44" s="710"/>
      <c r="X44" s="710"/>
      <c r="Y44" s="710"/>
      <c r="Z44" s="710"/>
      <c r="AA44" s="710"/>
      <c r="AB44" s="710"/>
      <c r="AC44" s="710"/>
      <c r="AD44" s="710"/>
      <c r="AE44" s="710"/>
    </row>
    <row r="45" spans="1:31">
      <c r="A45" s="710"/>
      <c r="B45" s="710"/>
      <c r="C45" s="710"/>
      <c r="D45" s="710"/>
      <c r="E45" s="710"/>
      <c r="F45" s="710"/>
      <c r="G45" s="710"/>
      <c r="H45" s="710"/>
      <c r="I45" s="710"/>
      <c r="J45" s="710"/>
      <c r="K45" s="787"/>
      <c r="L45" s="788"/>
      <c r="M45" s="755"/>
      <c r="N45" s="755"/>
      <c r="O45" s="710"/>
      <c r="P45" s="710"/>
      <c r="Q45" s="710"/>
      <c r="R45" s="710"/>
      <c r="S45" s="710"/>
      <c r="T45" s="710"/>
      <c r="U45" s="710"/>
      <c r="V45" s="710"/>
      <c r="W45" s="710"/>
      <c r="X45" s="710"/>
      <c r="Y45" s="710"/>
      <c r="Z45" s="710"/>
      <c r="AA45" s="710"/>
      <c r="AB45" s="710"/>
      <c r="AC45" s="710"/>
      <c r="AD45" s="710"/>
      <c r="AE45" s="710"/>
    </row>
    <row r="46" ht="13.5" customHeight="1" spans="1:31">
      <c r="A46" s="710"/>
      <c r="B46" s="710"/>
      <c r="C46" s="712" t="s">
        <v>1218</v>
      </c>
      <c r="D46" s="713"/>
      <c r="E46" s="714" t="e">
        <f>IF(E41&lt;E42,E42/E41-1,E41/E42-1)</f>
        <v>#DIV/0!</v>
      </c>
      <c r="F46" s="715" t="e">
        <f>IF(OR(E46&gt;=0.3,E46&lt;=-0.3),"超过30%","")</f>
        <v>#DIV/0!</v>
      </c>
      <c r="G46" s="714" t="e">
        <f>IF(G41&lt;G42,G42/G41-1,G41/G42-1)</f>
        <v>#DIV/0!</v>
      </c>
      <c r="H46" s="715" t="e">
        <f>IF(OR(G46&gt;=0.3,G46&lt;=-0.3),"超过30%","")</f>
        <v>#DIV/0!</v>
      </c>
      <c r="I46" s="714" t="e">
        <f>IF(I41&lt;I42,I42/I41-1,I41/I42-1)</f>
        <v>#DIV/0!</v>
      </c>
      <c r="J46" s="715" t="e">
        <f>IF(OR(I46&gt;=0.3,I46&lt;=-0.3),"超过30%","")</f>
        <v>#DIV/0!</v>
      </c>
      <c r="K46" s="787"/>
      <c r="L46" s="788"/>
      <c r="M46" s="755"/>
      <c r="N46" s="755"/>
      <c r="O46" s="710"/>
      <c r="P46" s="710"/>
      <c r="Q46" s="710"/>
      <c r="R46" s="710"/>
      <c r="S46" s="710"/>
      <c r="T46" s="710"/>
      <c r="U46" s="710"/>
      <c r="V46" s="710"/>
      <c r="W46" s="710"/>
      <c r="X46" s="710"/>
      <c r="Y46" s="710"/>
      <c r="Z46" s="710"/>
      <c r="AA46" s="710"/>
      <c r="AB46" s="710"/>
      <c r="AC46" s="710"/>
      <c r="AD46" s="710"/>
      <c r="AE46" s="710"/>
    </row>
    <row r="47" ht="13.5" customHeight="1" spans="1:31">
      <c r="A47" s="710"/>
      <c r="B47" s="710"/>
      <c r="C47" s="712" t="s">
        <v>1219</v>
      </c>
      <c r="D47" s="716"/>
      <c r="E47" s="714" t="e">
        <f>IF(E42&lt;G42,G42/E42-1,E42/G42-1)</f>
        <v>#DIV/0!</v>
      </c>
      <c r="F47" s="715" t="e">
        <f>IF(OR(E47&gt;=0.2,E47&lt;=-0.2),"超过20%","")</f>
        <v>#DIV/0!</v>
      </c>
      <c r="G47" s="714" t="e">
        <f>IF(G42&lt;I42,I42/G42-1,G42/I42-1)</f>
        <v>#DIV/0!</v>
      </c>
      <c r="H47" s="715" t="e">
        <f>IF(OR(G47&gt;=0.2,G47&lt;=-0.2),"超过20%","")</f>
        <v>#DIV/0!</v>
      </c>
      <c r="I47" s="714" t="e">
        <f>IF(I42&lt;E42,E42/I42-1,I42/E42-1)</f>
        <v>#DIV/0!</v>
      </c>
      <c r="J47" s="715" t="e">
        <f>IF(OR(I47&gt;=0.2,I47&lt;=-0.2),"超过20%","")</f>
        <v>#DIV/0!</v>
      </c>
      <c r="K47" s="787"/>
      <c r="L47" s="788"/>
      <c r="M47" s="710"/>
      <c r="N47" s="710"/>
      <c r="O47" s="710"/>
      <c r="P47" s="710"/>
      <c r="Q47" s="710"/>
      <c r="R47" s="710"/>
      <c r="S47" s="710"/>
      <c r="T47" s="710"/>
      <c r="U47" s="710"/>
      <c r="V47" s="710"/>
      <c r="W47" s="710"/>
      <c r="X47" s="710"/>
      <c r="Y47" s="710"/>
      <c r="Z47" s="710"/>
      <c r="AA47" s="710"/>
      <c r="AB47" s="710"/>
      <c r="AC47" s="710"/>
      <c r="AD47" s="710"/>
      <c r="AE47" s="710"/>
    </row>
    <row r="48" s="571" customFormat="1" ht="13.5" customHeight="1" spans="1:31">
      <c r="A48" s="717"/>
      <c r="B48" s="717"/>
      <c r="C48" s="712" t="s">
        <v>1220</v>
      </c>
      <c r="D48" s="716"/>
      <c r="E48" s="714" t="e">
        <f>IF(E41&lt;G41,G41/E41-1,E41/G41-1)</f>
        <v>#DIV/0!</v>
      </c>
      <c r="F48" s="715" t="e">
        <f>IF(OR(E48&gt;=0.3,E48&lt;=-0.3),"超过30%","")</f>
        <v>#DIV/0!</v>
      </c>
      <c r="G48" s="714" t="e">
        <f>IF(G41&lt;I41,I41/G41-1,G41/I41-1)</f>
        <v>#DIV/0!</v>
      </c>
      <c r="H48" s="715" t="e">
        <f>IF(OR(G48&gt;=0.3,G48&lt;=-0.3),"超过30%","")</f>
        <v>#DIV/0!</v>
      </c>
      <c r="I48" s="714" t="e">
        <f>IF(I41&lt;E41,E41/I41-1,I41/E41-1)</f>
        <v>#DIV/0!</v>
      </c>
      <c r="J48" s="715" t="e">
        <f>IF(OR(I48&gt;=0.3,I48&lt;=-0.3),"超过30%","")</f>
        <v>#DIV/0!</v>
      </c>
      <c r="K48" s="790"/>
      <c r="L48" s="791"/>
      <c r="M48" s="717"/>
      <c r="N48" s="717"/>
      <c r="O48" s="717"/>
      <c r="P48" s="717"/>
      <c r="Q48" s="717"/>
      <c r="R48" s="717"/>
      <c r="S48" s="717"/>
      <c r="T48" s="717"/>
      <c r="U48" s="717"/>
      <c r="V48" s="717"/>
      <c r="W48" s="717"/>
      <c r="X48" s="717"/>
      <c r="Y48" s="717"/>
      <c r="Z48" s="717"/>
      <c r="AA48" s="717"/>
      <c r="AB48" s="717"/>
      <c r="AC48" s="717"/>
      <c r="AD48" s="717"/>
      <c r="AE48" s="717"/>
    </row>
    <row r="49" s="571" customFormat="1" ht="14.75" spans="1:31">
      <c r="A49" s="717"/>
      <c r="B49" s="718"/>
      <c r="C49" s="1541"/>
      <c r="D49" s="1542"/>
      <c r="E49" s="1542"/>
      <c r="F49" s="1542"/>
      <c r="G49" s="1542"/>
      <c r="H49" s="1542"/>
      <c r="I49" s="1542"/>
      <c r="J49" s="1542"/>
      <c r="K49" s="790"/>
      <c r="L49" s="791"/>
      <c r="M49" s="717"/>
      <c r="N49" s="717"/>
      <c r="O49" s="717"/>
      <c r="P49" s="717"/>
      <c r="Q49" s="717"/>
      <c r="R49" s="717"/>
      <c r="S49" s="717"/>
      <c r="T49" s="717"/>
      <c r="U49" s="717"/>
      <c r="V49" s="717"/>
      <c r="W49" s="717"/>
      <c r="X49" s="717"/>
      <c r="Y49" s="717"/>
      <c r="Z49" s="717"/>
      <c r="AA49" s="717"/>
      <c r="AB49" s="717"/>
      <c r="AC49" s="717"/>
      <c r="AD49" s="717"/>
      <c r="AE49" s="717"/>
    </row>
    <row r="50" ht="28" spans="1:31">
      <c r="A50" s="1543" t="s">
        <v>1533</v>
      </c>
      <c r="B50" s="1544" t="s">
        <v>1534</v>
      </c>
      <c r="C50" s="1545" t="s">
        <v>1535</v>
      </c>
      <c r="D50" s="1546" t="s">
        <v>1536</v>
      </c>
      <c r="E50" s="815" t="s">
        <v>1537</v>
      </c>
      <c r="F50" s="1547" t="s">
        <v>1538</v>
      </c>
      <c r="G50" s="599" t="s">
        <v>1539</v>
      </c>
      <c r="H50" s="1079"/>
      <c r="I50" s="820" t="s">
        <v>1679</v>
      </c>
      <c r="J50" s="820">
        <f>项目基本情况!F35</f>
        <v>0</v>
      </c>
      <c r="K50" s="1588" t="s">
        <v>1541</v>
      </c>
      <c r="L50" s="788"/>
      <c r="M50" s="710"/>
      <c r="N50" s="710"/>
      <c r="O50" s="710"/>
      <c r="P50" s="710"/>
      <c r="Q50" s="710"/>
      <c r="R50" s="710"/>
      <c r="S50" s="710"/>
      <c r="T50" s="710"/>
      <c r="U50" s="710"/>
      <c r="V50" s="710"/>
      <c r="W50" s="710"/>
      <c r="X50" s="710"/>
      <c r="Y50" s="710"/>
      <c r="Z50" s="710"/>
      <c r="AA50" s="710"/>
      <c r="AB50" s="710"/>
      <c r="AC50" s="710"/>
      <c r="AD50" s="710"/>
      <c r="AE50" s="710"/>
    </row>
    <row r="51" s="1494" customFormat="1" spans="1:31">
      <c r="A51" s="1548" t="s">
        <v>1542</v>
      </c>
      <c r="B51" s="1549" t="e">
        <f>C43</f>
        <v>#DIV/0!</v>
      </c>
      <c r="C51" s="1550">
        <v>1</v>
      </c>
      <c r="D51" s="1551">
        <v>1</v>
      </c>
      <c r="E51" s="1550">
        <f>'数据-汇总表'!E8+'数据-汇总表'!E9</f>
        <v>3013</v>
      </c>
      <c r="F51" s="1552" t="e">
        <f t="shared" ref="F51:F60" si="15">ROUND(B51*E51/10000,0)</f>
        <v>#DIV/0!</v>
      </c>
      <c r="G51" s="763"/>
      <c r="H51" s="831"/>
      <c r="I51" s="1113">
        <v>1</v>
      </c>
      <c r="J51" s="1113">
        <v>1</v>
      </c>
      <c r="K51" s="717"/>
      <c r="L51" s="1589"/>
      <c r="M51" s="1589"/>
      <c r="N51" s="1589"/>
      <c r="O51" s="1589"/>
      <c r="P51" s="1589"/>
      <c r="Q51" s="1589"/>
      <c r="R51" s="1589"/>
      <c r="S51" s="1589"/>
      <c r="T51" s="1589"/>
      <c r="U51" s="1589"/>
      <c r="V51" s="1589"/>
      <c r="W51" s="1589"/>
      <c r="X51" s="1589"/>
      <c r="Y51" s="1589"/>
      <c r="Z51" s="1589"/>
      <c r="AA51" s="1589"/>
      <c r="AB51" s="1589"/>
      <c r="AC51" s="1589"/>
      <c r="AD51" s="1589"/>
      <c r="AE51" s="1589"/>
    </row>
    <row r="52" s="1494" customFormat="1" spans="1:31">
      <c r="A52" s="1553" t="s">
        <v>1543</v>
      </c>
      <c r="B52" s="410" t="e">
        <f>ROUND($C$43*C52*D52,0)</f>
        <v>#DIV/0!</v>
      </c>
      <c r="C52" s="998">
        <f t="shared" ref="C52:C60" si="16">IF($C$50="北京市系数",I52,J52)</f>
        <v>0</v>
      </c>
      <c r="D52" s="1554">
        <v>0.25</v>
      </c>
      <c r="E52" s="1555"/>
      <c r="F52" s="1552" t="e">
        <f t="shared" si="15"/>
        <v>#DIV/0!</v>
      </c>
      <c r="G52" s="1556" t="s">
        <v>1544</v>
      </c>
      <c r="H52" s="1557">
        <f>项目基本情况!B37</f>
        <v>0</v>
      </c>
      <c r="I52" s="1113">
        <f>SUMIF(修正!A57:A68,H52,修正!B57:B68)</f>
        <v>0</v>
      </c>
      <c r="J52" s="1590"/>
      <c r="K52" s="710"/>
      <c r="L52" s="1589"/>
      <c r="M52" s="1589"/>
      <c r="N52" s="1589"/>
      <c r="O52" s="1589"/>
      <c r="P52" s="1589"/>
      <c r="Q52" s="1589"/>
      <c r="R52" s="1589"/>
      <c r="S52" s="1589"/>
      <c r="T52" s="1589"/>
      <c r="U52" s="1589"/>
      <c r="V52" s="1589"/>
      <c r="W52" s="1589"/>
      <c r="X52" s="1589"/>
      <c r="Y52" s="1589"/>
      <c r="Z52" s="1589"/>
      <c r="AA52" s="1589"/>
      <c r="AB52" s="1589"/>
      <c r="AC52" s="1589"/>
      <c r="AD52" s="1589"/>
      <c r="AE52" s="1589"/>
    </row>
    <row r="53" s="1494" customFormat="1" spans="1:31">
      <c r="A53" s="1553" t="s">
        <v>1545</v>
      </c>
      <c r="B53" s="410" t="e">
        <f t="shared" ref="B53:B60" si="17">ROUND($C$43*C53*D53,0)</f>
        <v>#DIV/0!</v>
      </c>
      <c r="C53" s="998">
        <f t="shared" si="16"/>
        <v>0</v>
      </c>
      <c r="D53" s="1554">
        <v>0.25</v>
      </c>
      <c r="E53" s="1555"/>
      <c r="F53" s="1552" t="e">
        <f t="shared" si="15"/>
        <v>#DIV/0!</v>
      </c>
      <c r="G53" s="1558"/>
      <c r="H53" s="1557">
        <f>项目基本情况!B37</f>
        <v>0</v>
      </c>
      <c r="I53" s="1113">
        <f>SUMIF(修正!A57:A68,H53,修正!C57:C68)</f>
        <v>0</v>
      </c>
      <c r="J53" s="1590"/>
      <c r="K53" s="717"/>
      <c r="L53" s="1589"/>
      <c r="M53" s="1589"/>
      <c r="N53" s="1589"/>
      <c r="O53" s="1589"/>
      <c r="P53" s="1589"/>
      <c r="Q53" s="1589"/>
      <c r="R53" s="1589"/>
      <c r="S53" s="1589"/>
      <c r="T53" s="1589"/>
      <c r="U53" s="1589"/>
      <c r="V53" s="1589"/>
      <c r="W53" s="1589"/>
      <c r="X53" s="1589"/>
      <c r="Y53" s="1589"/>
      <c r="Z53" s="1589"/>
      <c r="AA53" s="1589"/>
      <c r="AB53" s="1589"/>
      <c r="AC53" s="1589"/>
      <c r="AD53" s="1589"/>
      <c r="AE53" s="1589"/>
    </row>
    <row r="54" s="1494" customFormat="1" spans="1:31">
      <c r="A54" s="1553" t="s">
        <v>1546</v>
      </c>
      <c r="B54" s="410" t="e">
        <f t="shared" si="17"/>
        <v>#DIV/0!</v>
      </c>
      <c r="C54" s="998">
        <f t="shared" si="16"/>
        <v>0</v>
      </c>
      <c r="D54" s="1554">
        <v>0.25</v>
      </c>
      <c r="E54" s="1555"/>
      <c r="F54" s="1552" t="e">
        <f t="shared" si="15"/>
        <v>#DIV/0!</v>
      </c>
      <c r="G54" s="1558"/>
      <c r="H54" s="1557">
        <f>项目基本情况!B37</f>
        <v>0</v>
      </c>
      <c r="I54" s="1113">
        <f>SUMIF(修正!A57:A68,H54,修正!D57:D68)</f>
        <v>0</v>
      </c>
      <c r="J54" s="1590"/>
      <c r="K54" s="710"/>
      <c r="L54" s="1589"/>
      <c r="M54" s="1589"/>
      <c r="N54" s="1589"/>
      <c r="O54" s="1589"/>
      <c r="P54" s="1589"/>
      <c r="Q54" s="1589"/>
      <c r="R54" s="1589"/>
      <c r="S54" s="1589"/>
      <c r="T54" s="1589"/>
      <c r="U54" s="1589"/>
      <c r="V54" s="1589"/>
      <c r="W54" s="1589"/>
      <c r="X54" s="1589"/>
      <c r="Y54" s="1589"/>
      <c r="Z54" s="1589"/>
      <c r="AA54" s="1589"/>
      <c r="AB54" s="1589"/>
      <c r="AC54" s="1589"/>
      <c r="AD54" s="1589"/>
      <c r="AE54" s="1589"/>
    </row>
    <row r="55" s="1494" customFormat="1" hidden="1" spans="1:31">
      <c r="A55" s="1553"/>
      <c r="B55" s="410"/>
      <c r="C55" s="998"/>
      <c r="D55" s="1554"/>
      <c r="E55" s="1555"/>
      <c r="F55" s="1552"/>
      <c r="G55" s="1559"/>
      <c r="H55" s="1557"/>
      <c r="I55" s="1113"/>
      <c r="J55" s="1590"/>
      <c r="K55" s="717"/>
      <c r="L55" s="1589"/>
      <c r="M55" s="1589"/>
      <c r="N55" s="1589"/>
      <c r="O55" s="1589"/>
      <c r="P55" s="1589"/>
      <c r="Q55" s="1589"/>
      <c r="R55" s="1589"/>
      <c r="S55" s="1589"/>
      <c r="T55" s="1589"/>
      <c r="U55" s="1589"/>
      <c r="V55" s="1589"/>
      <c r="W55" s="1589"/>
      <c r="X55" s="1589"/>
      <c r="Y55" s="1589"/>
      <c r="Z55" s="1589"/>
      <c r="AA55" s="1589"/>
      <c r="AB55" s="1589"/>
      <c r="AC55" s="1589"/>
      <c r="AD55" s="1589"/>
      <c r="AE55" s="1589"/>
    </row>
    <row r="56" s="1494" customFormat="1" spans="1:31">
      <c r="A56" s="1553" t="s">
        <v>1547</v>
      </c>
      <c r="B56" s="410" t="e">
        <f t="shared" si="17"/>
        <v>#DIV/0!</v>
      </c>
      <c r="C56" s="998">
        <f t="shared" si="16"/>
        <v>0</v>
      </c>
      <c r="D56" s="1554">
        <v>0.25</v>
      </c>
      <c r="E56" s="409">
        <f>'数据-汇总表'!E11</f>
        <v>0</v>
      </c>
      <c r="F56" s="1552" t="e">
        <f t="shared" si="15"/>
        <v>#DIV/0!</v>
      </c>
      <c r="G56" s="1560" t="s">
        <v>1548</v>
      </c>
      <c r="H56" s="1557">
        <f>项目基本情况!C37</f>
        <v>0</v>
      </c>
      <c r="I56" s="1113">
        <f>SUMIF(修正!A57:A68,H56,修正!E57:E68)</f>
        <v>0</v>
      </c>
      <c r="J56" s="1590"/>
      <c r="K56" s="710"/>
      <c r="L56" s="1589"/>
      <c r="M56" s="1589"/>
      <c r="N56" s="1589"/>
      <c r="O56" s="1589"/>
      <c r="P56" s="1589"/>
      <c r="Q56" s="1589"/>
      <c r="R56" s="1589"/>
      <c r="S56" s="1589"/>
      <c r="T56" s="1589"/>
      <c r="U56" s="1589"/>
      <c r="V56" s="1589"/>
      <c r="W56" s="1589"/>
      <c r="X56" s="1589"/>
      <c r="Y56" s="1589"/>
      <c r="Z56" s="1589"/>
      <c r="AA56" s="1589"/>
      <c r="AB56" s="1589"/>
      <c r="AC56" s="1589"/>
      <c r="AD56" s="1589"/>
      <c r="AE56" s="1589"/>
    </row>
    <row r="57" s="1494" customFormat="1" spans="1:31">
      <c r="A57" s="1553" t="s">
        <v>1549</v>
      </c>
      <c r="B57" s="410" t="e">
        <f t="shared" si="17"/>
        <v>#DIV/0!</v>
      </c>
      <c r="C57" s="998">
        <f t="shared" si="16"/>
        <v>0</v>
      </c>
      <c r="D57" s="1554">
        <v>0.25</v>
      </c>
      <c r="E57" s="409">
        <f>'数据-汇总表'!E12</f>
        <v>0</v>
      </c>
      <c r="F57" s="1552" t="e">
        <f t="shared" si="15"/>
        <v>#DIV/0!</v>
      </c>
      <c r="G57" s="1561" t="s">
        <v>1550</v>
      </c>
      <c r="H57" s="1557">
        <f>IF(G57="商业",项目基本情况!B37,IF(G57="办公",项目基本情况!C37,IF(G57="住宅",项目基本情况!D37,项目基本情况!E37)))</f>
        <v>0</v>
      </c>
      <c r="I57" s="1113">
        <f>SUMIF(修正!A57:A68,H57,修正!F57:F68)</f>
        <v>0</v>
      </c>
      <c r="J57" s="1590"/>
      <c r="K57" s="717"/>
      <c r="L57" s="1589"/>
      <c r="M57" s="1589"/>
      <c r="N57" s="1589"/>
      <c r="O57" s="1589"/>
      <c r="P57" s="1589"/>
      <c r="Q57" s="1589"/>
      <c r="R57" s="1589"/>
      <c r="S57" s="1589"/>
      <c r="T57" s="1589"/>
      <c r="U57" s="1589"/>
      <c r="V57" s="1589"/>
      <c r="W57" s="1589"/>
      <c r="X57" s="1589"/>
      <c r="Y57" s="1589"/>
      <c r="Z57" s="1589"/>
      <c r="AA57" s="1589"/>
      <c r="AB57" s="1589"/>
      <c r="AC57" s="1589"/>
      <c r="AD57" s="1589"/>
      <c r="AE57" s="1589"/>
    </row>
    <row r="58" s="1494" customFormat="1" spans="1:31">
      <c r="A58" s="1553" t="s">
        <v>1551</v>
      </c>
      <c r="B58" s="410" t="e">
        <f t="shared" si="17"/>
        <v>#DIV/0!</v>
      </c>
      <c r="C58" s="998">
        <f t="shared" si="16"/>
        <v>0</v>
      </c>
      <c r="D58" s="1554">
        <v>0.25</v>
      </c>
      <c r="E58" s="409">
        <f>'数据-汇总表'!E13</f>
        <v>0</v>
      </c>
      <c r="F58" s="1552" t="e">
        <f t="shared" si="15"/>
        <v>#DIV/0!</v>
      </c>
      <c r="G58" s="1561" t="s">
        <v>1552</v>
      </c>
      <c r="H58" s="1557">
        <f>IF(G58="商业",项目基本情况!B37,IF(G58="办公",项目基本情况!C37,IF(G58="住宅",项目基本情况!D37,项目基本情况!E37)))</f>
        <v>0</v>
      </c>
      <c r="I58" s="1113">
        <f>SUMIF(修正!A57:A68,H58,修正!G57:G68)</f>
        <v>0</v>
      </c>
      <c r="J58" s="1590"/>
      <c r="K58" s="710"/>
      <c r="L58" s="1589"/>
      <c r="M58" s="1589"/>
      <c r="N58" s="1589"/>
      <c r="O58" s="1589"/>
      <c r="P58" s="1589"/>
      <c r="Q58" s="1589"/>
      <c r="R58" s="1589"/>
      <c r="S58" s="1589"/>
      <c r="T58" s="1589"/>
      <c r="U58" s="1589"/>
      <c r="V58" s="1589"/>
      <c r="W58" s="1589"/>
      <c r="X58" s="1589"/>
      <c r="Y58" s="1589"/>
      <c r="Z58" s="1589"/>
      <c r="AA58" s="1589"/>
      <c r="AB58" s="1589"/>
      <c r="AC58" s="1589"/>
      <c r="AD58" s="1589"/>
      <c r="AE58" s="1589"/>
    </row>
    <row r="59" s="1494" customFormat="1" spans="1:31">
      <c r="A59" s="1553" t="s">
        <v>1553</v>
      </c>
      <c r="B59" s="410" t="e">
        <f t="shared" si="17"/>
        <v>#DIV/0!</v>
      </c>
      <c r="C59" s="998">
        <f t="shared" si="16"/>
        <v>0</v>
      </c>
      <c r="D59" s="1554">
        <v>0.25</v>
      </c>
      <c r="E59" s="409">
        <f>'数据-汇总表'!E14</f>
        <v>0</v>
      </c>
      <c r="F59" s="1552" t="e">
        <f t="shared" si="15"/>
        <v>#DIV/0!</v>
      </c>
      <c r="G59" s="1560" t="s">
        <v>1544</v>
      </c>
      <c r="H59" s="1557">
        <f>项目基本情况!B37</f>
        <v>0</v>
      </c>
      <c r="I59" s="1113">
        <f>SUMIF(修正!A57:A68,H59,修正!G57:G68)</f>
        <v>0</v>
      </c>
      <c r="J59" s="1590"/>
      <c r="K59" s="717"/>
      <c r="L59" s="1589"/>
      <c r="M59" s="1589"/>
      <c r="N59" s="1589"/>
      <c r="O59" s="1589"/>
      <c r="P59" s="1589"/>
      <c r="Q59" s="1589"/>
      <c r="R59" s="1589"/>
      <c r="S59" s="1589"/>
      <c r="T59" s="1589"/>
      <c r="U59" s="1589"/>
      <c r="V59" s="1589"/>
      <c r="W59" s="1589"/>
      <c r="X59" s="1589"/>
      <c r="Y59" s="1589"/>
      <c r="Z59" s="1589"/>
      <c r="AA59" s="1589"/>
      <c r="AB59" s="1589"/>
      <c r="AC59" s="1589"/>
      <c r="AD59" s="1589"/>
      <c r="AE59" s="1589"/>
    </row>
    <row r="60" s="1494" customFormat="1" ht="14.75" spans="1:31">
      <c r="A60" s="1553" t="s">
        <v>1554</v>
      </c>
      <c r="B60" s="410" t="e">
        <f t="shared" si="17"/>
        <v>#DIV/0!</v>
      </c>
      <c r="C60" s="998">
        <f t="shared" si="16"/>
        <v>0</v>
      </c>
      <c r="D60" s="1554">
        <v>0.25</v>
      </c>
      <c r="E60" s="409">
        <f>'数据-汇总表'!E15</f>
        <v>0</v>
      </c>
      <c r="F60" s="1552" t="e">
        <f t="shared" si="15"/>
        <v>#DIV/0!</v>
      </c>
      <c r="G60" s="1562" t="s">
        <v>1548</v>
      </c>
      <c r="H60" s="1563">
        <f>项目基本情况!C37</f>
        <v>0</v>
      </c>
      <c r="I60" s="1113">
        <f>SUMIF(修正!A57:A68,H60,修正!G57:G68)</f>
        <v>0</v>
      </c>
      <c r="J60" s="1590"/>
      <c r="K60" s="710"/>
      <c r="L60" s="1589"/>
      <c r="M60" s="1589"/>
      <c r="N60" s="1589"/>
      <c r="O60" s="1589"/>
      <c r="P60" s="1589"/>
      <c r="Q60" s="1589"/>
      <c r="R60" s="1589"/>
      <c r="S60" s="1589"/>
      <c r="T60" s="1589"/>
      <c r="U60" s="1589"/>
      <c r="V60" s="1589"/>
      <c r="W60" s="1589"/>
      <c r="X60" s="1589"/>
      <c r="Y60" s="1589"/>
      <c r="Z60" s="1589"/>
      <c r="AA60" s="1589"/>
      <c r="AB60" s="1589"/>
      <c r="AC60" s="1589"/>
      <c r="AD60" s="1589"/>
      <c r="AE60" s="1589"/>
    </row>
    <row r="61" s="1494" customFormat="1" ht="14.75" spans="1:31">
      <c r="A61" s="1564" t="s">
        <v>1555</v>
      </c>
      <c r="B61" s="1565" t="s">
        <v>1556</v>
      </c>
      <c r="C61" s="1565" t="s">
        <v>1556</v>
      </c>
      <c r="D61" s="1565" t="s">
        <v>1556</v>
      </c>
      <c r="E61" s="1565">
        <f>IF(B41="楼面地价",SUM(E51:E60),'数据-汇总表'!D3)</f>
        <v>0</v>
      </c>
      <c r="F61" s="1566" t="e">
        <f>IF(B41="楼面地价",SUM(F51:F60),ROUND(C43*E61/10000,0))</f>
        <v>#DIV/0!</v>
      </c>
      <c r="G61" s="1567"/>
      <c r="H61" s="1567"/>
      <c r="I61" s="1567"/>
      <c r="J61" s="1567"/>
      <c r="K61" s="787"/>
      <c r="L61" s="1589"/>
      <c r="M61" s="1589"/>
      <c r="N61" s="1589"/>
      <c r="O61" s="1589"/>
      <c r="P61" s="1589"/>
      <c r="Q61" s="1589"/>
      <c r="R61" s="1589"/>
      <c r="S61" s="1589"/>
      <c r="T61" s="1589"/>
      <c r="U61" s="1589"/>
      <c r="V61" s="1589"/>
      <c r="W61" s="1589"/>
      <c r="X61" s="1589"/>
      <c r="Y61" s="1589"/>
      <c r="Z61" s="1589"/>
      <c r="AA61" s="1589"/>
      <c r="AB61" s="1589"/>
      <c r="AC61" s="1589"/>
      <c r="AD61" s="1589"/>
      <c r="AE61" s="1589"/>
    </row>
    <row r="62" spans="1:31">
      <c r="A62" s="1568"/>
      <c r="B62" s="1569"/>
      <c r="C62" s="1570"/>
      <c r="D62" s="1568"/>
      <c r="E62" s="1568"/>
      <c r="F62" s="1568"/>
      <c r="G62" s="1568"/>
      <c r="H62" s="1568"/>
      <c r="I62" s="1568"/>
      <c r="J62" s="1568"/>
      <c r="K62" s="1591"/>
      <c r="L62" s="1592"/>
      <c r="M62" s="1568"/>
      <c r="N62" s="1568"/>
      <c r="O62" s="1568"/>
      <c r="P62" s="710"/>
      <c r="Q62" s="710"/>
      <c r="R62" s="710"/>
      <c r="S62" s="710"/>
      <c r="T62" s="710"/>
      <c r="U62" s="710"/>
      <c r="V62" s="710"/>
      <c r="W62" s="710"/>
      <c r="X62" s="710"/>
      <c r="Y62" s="710"/>
      <c r="Z62" s="710"/>
      <c r="AA62" s="710"/>
      <c r="AB62" s="710"/>
      <c r="AC62" s="710"/>
      <c r="AD62" s="710"/>
      <c r="AE62" s="710"/>
    </row>
    <row r="63" spans="1:31">
      <c r="A63" s="1568"/>
      <c r="B63" s="1569"/>
      <c r="C63" s="1571" t="str">
        <f>YEAR(C7)&amp;"-"&amp;MONTH(C7)&amp;"-1"</f>
        <v>2024-9-1</v>
      </c>
      <c r="D63" s="1571">
        <f>EDATE(C63,-3)</f>
        <v>45444</v>
      </c>
      <c r="E63" s="1571">
        <f>EDATE(D63,-3)</f>
        <v>45352</v>
      </c>
      <c r="F63" s="1571">
        <f t="shared" ref="F63:O63" si="18">EDATE(E63,-3)</f>
        <v>45261</v>
      </c>
      <c r="G63" s="1571">
        <f t="shared" si="18"/>
        <v>45170</v>
      </c>
      <c r="H63" s="1571">
        <f t="shared" si="18"/>
        <v>45078</v>
      </c>
      <c r="I63" s="1571">
        <f t="shared" si="18"/>
        <v>44986</v>
      </c>
      <c r="J63" s="1571">
        <f t="shared" si="18"/>
        <v>44896</v>
      </c>
      <c r="K63" s="1571">
        <f t="shared" si="18"/>
        <v>44805</v>
      </c>
      <c r="L63" s="1571">
        <f t="shared" si="18"/>
        <v>44713</v>
      </c>
      <c r="M63" s="1571">
        <f t="shared" si="18"/>
        <v>44621</v>
      </c>
      <c r="N63" s="1571">
        <f t="shared" si="18"/>
        <v>44531</v>
      </c>
      <c r="O63" s="1571">
        <f t="shared" si="18"/>
        <v>44440</v>
      </c>
      <c r="P63" s="710"/>
      <c r="Q63" s="710"/>
      <c r="R63" s="710"/>
      <c r="S63" s="710"/>
      <c r="T63" s="710"/>
      <c r="U63" s="710"/>
      <c r="V63" s="710"/>
      <c r="W63" s="710"/>
      <c r="X63" s="710"/>
      <c r="Y63" s="710"/>
      <c r="Z63" s="710"/>
      <c r="AA63" s="710"/>
      <c r="AB63" s="710"/>
      <c r="AC63" s="710"/>
      <c r="AD63" s="710"/>
      <c r="AE63" s="710"/>
    </row>
    <row r="64" ht="21.75" spans="1:31">
      <c r="A64" s="720" t="s">
        <v>1221</v>
      </c>
      <c r="B64" s="721"/>
      <c r="C64" s="722"/>
      <c r="D64" s="722"/>
      <c r="E64" s="722"/>
      <c r="F64" s="723"/>
      <c r="G64" s="723"/>
      <c r="H64" s="722"/>
      <c r="I64" s="722"/>
      <c r="J64" s="722"/>
      <c r="K64" s="793"/>
      <c r="L64" s="1593"/>
      <c r="M64" s="722"/>
      <c r="N64" s="722"/>
      <c r="O64" s="795"/>
      <c r="P64" s="796"/>
      <c r="Q64" s="843"/>
      <c r="R64" s="710"/>
      <c r="S64" s="710"/>
      <c r="T64" s="710"/>
      <c r="U64" s="710"/>
      <c r="V64" s="710"/>
      <c r="W64" s="710"/>
      <c r="X64" s="710"/>
      <c r="Y64" s="710"/>
      <c r="Z64" s="710"/>
      <c r="AA64" s="710"/>
      <c r="AB64" s="710"/>
      <c r="AC64" s="710"/>
      <c r="AD64" s="710"/>
      <c r="AE64" s="710"/>
    </row>
    <row r="65" s="572" customFormat="1" spans="1:31">
      <c r="A65" s="1603" t="s">
        <v>1557</v>
      </c>
      <c r="B65" s="1604"/>
      <c r="C65" s="1605" t="str">
        <f>YEAR(C63)&amp;"-"&amp;ROUNDUP(MONTH(C63)/3,0)</f>
        <v>2024-3</v>
      </c>
      <c r="D65" s="1605" t="str">
        <f t="shared" ref="D65:O65" si="19">YEAR(D63)&amp;"-"&amp;ROUNDUP(MONTH(D63)/3,0)</f>
        <v>2024-2</v>
      </c>
      <c r="E65" s="1605" t="str">
        <f t="shared" si="19"/>
        <v>2024-1</v>
      </c>
      <c r="F65" s="1605" t="str">
        <f t="shared" si="19"/>
        <v>2023-4</v>
      </c>
      <c r="G65" s="1605" t="str">
        <f t="shared" si="19"/>
        <v>2023-3</v>
      </c>
      <c r="H65" s="1605" t="str">
        <f t="shared" si="19"/>
        <v>2023-2</v>
      </c>
      <c r="I65" s="1605" t="str">
        <f t="shared" si="19"/>
        <v>2023-1</v>
      </c>
      <c r="J65" s="1605" t="str">
        <f t="shared" si="19"/>
        <v>2022-4</v>
      </c>
      <c r="K65" s="1605" t="str">
        <f t="shared" si="19"/>
        <v>2022-3</v>
      </c>
      <c r="L65" s="1605" t="str">
        <f t="shared" si="19"/>
        <v>2022-2</v>
      </c>
      <c r="M65" s="1605" t="str">
        <f t="shared" si="19"/>
        <v>2022-1</v>
      </c>
      <c r="N65" s="1605" t="str">
        <f t="shared" si="19"/>
        <v>2021-4</v>
      </c>
      <c r="O65" s="1605" t="str">
        <f t="shared" si="19"/>
        <v>2021-3</v>
      </c>
      <c r="P65" s="1613"/>
      <c r="Q65" s="844"/>
      <c r="R65" s="844"/>
      <c r="S65" s="844"/>
      <c r="T65" s="844"/>
      <c r="U65" s="844"/>
      <c r="V65" s="844"/>
      <c r="W65" s="844"/>
      <c r="X65" s="844"/>
      <c r="Y65" s="844"/>
      <c r="Z65" s="844"/>
      <c r="AA65" s="844"/>
      <c r="AB65" s="844"/>
      <c r="AC65" s="844"/>
      <c r="AD65" s="844"/>
      <c r="AE65" s="844"/>
    </row>
    <row r="66" s="568" customFormat="1" ht="30.75" customHeight="1" spans="1:31">
      <c r="A66" s="1606" t="s">
        <v>1680</v>
      </c>
      <c r="B66" s="1607" t="str">
        <f>"北京市平均增长率"&amp;TEXT(基准地价修正!P28,"0.00%")</f>
        <v>北京市平均增长率0.00%</v>
      </c>
      <c r="C66" s="899">
        <v>100</v>
      </c>
      <c r="D66" s="897"/>
      <c r="E66" s="897"/>
      <c r="F66" s="897"/>
      <c r="G66" s="897"/>
      <c r="H66" s="897"/>
      <c r="I66" s="897"/>
      <c r="J66" s="897"/>
      <c r="K66" s="897"/>
      <c r="L66" s="897"/>
      <c r="M66" s="1614"/>
      <c r="N66" s="1614"/>
      <c r="O66" s="1615"/>
      <c r="P66" s="843"/>
      <c r="Q66" s="845"/>
      <c r="R66" s="845"/>
      <c r="S66" s="845"/>
      <c r="T66" s="845"/>
      <c r="U66" s="845"/>
      <c r="V66" s="845"/>
      <c r="W66" s="845"/>
      <c r="X66" s="845"/>
      <c r="Y66" s="845"/>
      <c r="Z66" s="845"/>
      <c r="AA66" s="845"/>
      <c r="AB66" s="845"/>
      <c r="AC66" s="845"/>
      <c r="AD66" s="845"/>
      <c r="AE66" s="845"/>
    </row>
    <row r="67" s="568" customFormat="1" ht="14.75" spans="1:31">
      <c r="A67" s="732" t="s">
        <v>1222</v>
      </c>
      <c r="B67" s="733"/>
      <c r="C67" s="734"/>
      <c r="D67" s="735"/>
      <c r="E67" s="735"/>
      <c r="F67" s="735"/>
      <c r="G67" s="735"/>
      <c r="H67" s="735"/>
      <c r="I67" s="735"/>
      <c r="J67" s="735"/>
      <c r="K67" s="735"/>
      <c r="L67" s="735"/>
      <c r="M67" s="801"/>
      <c r="N67" s="801"/>
      <c r="O67" s="1616"/>
      <c r="P67" s="843"/>
      <c r="Q67" s="843"/>
      <c r="R67" s="845"/>
      <c r="S67" s="845"/>
      <c r="T67" s="845"/>
      <c r="U67" s="845"/>
      <c r="V67" s="845"/>
      <c r="W67" s="845"/>
      <c r="X67" s="845"/>
      <c r="Y67" s="845"/>
      <c r="Z67" s="845"/>
      <c r="AA67" s="845"/>
      <c r="AB67" s="845"/>
      <c r="AC67" s="845"/>
      <c r="AD67" s="845"/>
      <c r="AE67" s="845"/>
    </row>
    <row r="68" s="568" customFormat="1" spans="1:31">
      <c r="A68" s="736" t="s">
        <v>1175</v>
      </c>
      <c r="B68" s="729"/>
      <c r="C68" s="737" t="s">
        <v>1223</v>
      </c>
      <c r="D68" s="739"/>
      <c r="E68" s="739"/>
      <c r="F68" s="739"/>
      <c r="G68" s="739"/>
      <c r="H68" s="739"/>
      <c r="I68" s="739"/>
      <c r="J68" s="739"/>
      <c r="K68" s="739"/>
      <c r="L68" s="802"/>
      <c r="M68" s="803"/>
      <c r="N68" s="804"/>
      <c r="O68" s="804"/>
      <c r="P68" s="1617"/>
      <c r="Q68" s="843"/>
      <c r="R68" s="845"/>
      <c r="S68" s="845"/>
      <c r="T68" s="845"/>
      <c r="U68" s="845"/>
      <c r="V68" s="845"/>
      <c r="W68" s="845"/>
      <c r="X68" s="845"/>
      <c r="Y68" s="845"/>
      <c r="Z68" s="845"/>
      <c r="AA68" s="845"/>
      <c r="AB68" s="845"/>
      <c r="AC68" s="845"/>
      <c r="AD68" s="845"/>
      <c r="AE68" s="845"/>
    </row>
    <row r="69" s="568" customFormat="1" ht="14.75" spans="1:31">
      <c r="A69" s="736"/>
      <c r="B69" s="729"/>
      <c r="C69" s="1608">
        <v>100</v>
      </c>
      <c r="D69" s="731"/>
      <c r="E69" s="731"/>
      <c r="F69" s="731"/>
      <c r="G69" s="731"/>
      <c r="H69" s="731"/>
      <c r="I69" s="731"/>
      <c r="J69" s="731"/>
      <c r="K69" s="731"/>
      <c r="L69" s="731"/>
      <c r="M69" s="806"/>
      <c r="N69" s="804"/>
      <c r="O69" s="804"/>
      <c r="P69" s="843"/>
      <c r="Q69" s="843"/>
      <c r="R69" s="845"/>
      <c r="S69" s="845"/>
      <c r="T69" s="845"/>
      <c r="U69" s="845"/>
      <c r="V69" s="845"/>
      <c r="W69" s="845"/>
      <c r="X69" s="845"/>
      <c r="Y69" s="845"/>
      <c r="Z69" s="845"/>
      <c r="AA69" s="845"/>
      <c r="AB69" s="845"/>
      <c r="AC69" s="845"/>
      <c r="AD69" s="845"/>
      <c r="AE69" s="845"/>
    </row>
    <row r="70" spans="1:31">
      <c r="A70" s="741" t="s">
        <v>1224</v>
      </c>
      <c r="B70" s="742" t="s">
        <v>1179</v>
      </c>
      <c r="C70" s="745"/>
      <c r="D70" s="745"/>
      <c r="E70" s="745"/>
      <c r="F70" s="745"/>
      <c r="G70" s="745"/>
      <c r="H70" s="745"/>
      <c r="I70" s="745"/>
      <c r="J70" s="745"/>
      <c r="K70" s="807"/>
      <c r="L70" s="808"/>
      <c r="M70" s="809"/>
      <c r="N70" s="810"/>
      <c r="O70" s="810"/>
      <c r="P70" s="1618"/>
      <c r="Q70" s="843"/>
      <c r="R70" s="710"/>
      <c r="S70" s="710"/>
      <c r="T70" s="710"/>
      <c r="U70" s="710"/>
      <c r="V70" s="710"/>
      <c r="W70" s="710"/>
      <c r="X70" s="710"/>
      <c r="Y70" s="710"/>
      <c r="Z70" s="710"/>
      <c r="AA70" s="710"/>
      <c r="AB70" s="710"/>
      <c r="AC70" s="710"/>
      <c r="AD70" s="710"/>
      <c r="AE70" s="710"/>
    </row>
    <row r="71" ht="14.75" spans="1:31">
      <c r="A71" s="864"/>
      <c r="B71" s="865"/>
      <c r="C71" s="866"/>
      <c r="D71" s="866"/>
      <c r="E71" s="866"/>
      <c r="F71" s="866"/>
      <c r="G71" s="866"/>
      <c r="H71" s="866"/>
      <c r="I71" s="866"/>
      <c r="J71" s="866"/>
      <c r="K71" s="866"/>
      <c r="L71" s="866"/>
      <c r="M71" s="903"/>
      <c r="N71" s="904"/>
      <c r="O71" s="904"/>
      <c r="P71" s="1618"/>
      <c r="Q71" s="843"/>
      <c r="R71" s="710"/>
      <c r="S71" s="710"/>
      <c r="T71" s="710"/>
      <c r="U71" s="710"/>
      <c r="V71" s="710"/>
      <c r="W71" s="710"/>
      <c r="X71" s="710"/>
      <c r="Y71" s="710"/>
      <c r="Z71" s="710"/>
      <c r="AA71" s="710"/>
      <c r="AB71" s="710"/>
      <c r="AC71" s="710"/>
      <c r="AD71" s="710"/>
      <c r="AE71" s="710"/>
    </row>
    <row r="72" ht="28.75" spans="1:31">
      <c r="A72" s="864"/>
      <c r="B72" s="867" t="s">
        <v>1184</v>
      </c>
      <c r="C72" s="887"/>
      <c r="D72" s="887"/>
      <c r="E72" s="887"/>
      <c r="F72" s="887"/>
      <c r="G72" s="887"/>
      <c r="H72" s="887"/>
      <c r="I72" s="887"/>
      <c r="J72" s="887"/>
      <c r="K72" s="926"/>
      <c r="L72" s="927"/>
      <c r="M72" s="928"/>
      <c r="N72" s="810"/>
      <c r="O72" s="810"/>
      <c r="P72" s="1618"/>
      <c r="Q72" s="843"/>
      <c r="R72" s="710"/>
      <c r="S72" s="710"/>
      <c r="T72" s="710"/>
      <c r="U72" s="710"/>
      <c r="V72" s="710"/>
      <c r="W72" s="710"/>
      <c r="X72" s="710"/>
      <c r="Y72" s="710"/>
      <c r="Z72" s="710"/>
      <c r="AA72" s="710"/>
      <c r="AB72" s="710"/>
      <c r="AC72" s="710"/>
      <c r="AD72" s="710"/>
      <c r="AE72" s="710"/>
    </row>
    <row r="73" ht="14.75" spans="1:31">
      <c r="A73" s="864"/>
      <c r="B73" s="869"/>
      <c r="C73" s="874"/>
      <c r="D73" s="874"/>
      <c r="E73" s="874"/>
      <c r="F73" s="874"/>
      <c r="G73" s="874"/>
      <c r="H73" s="874"/>
      <c r="I73" s="874"/>
      <c r="J73" s="874"/>
      <c r="K73" s="874"/>
      <c r="L73" s="874"/>
      <c r="M73" s="911"/>
      <c r="N73" s="904"/>
      <c r="O73" s="904"/>
      <c r="P73" s="1618"/>
      <c r="Q73" s="843"/>
      <c r="R73" s="710"/>
      <c r="S73" s="710"/>
      <c r="T73" s="710"/>
      <c r="U73" s="710"/>
      <c r="V73" s="710"/>
      <c r="W73" s="710"/>
      <c r="X73" s="710"/>
      <c r="Y73" s="710"/>
      <c r="Z73" s="710"/>
      <c r="AA73" s="710"/>
      <c r="AB73" s="710"/>
      <c r="AC73" s="710"/>
      <c r="AD73" s="710"/>
      <c r="AE73" s="710"/>
    </row>
    <row r="74" ht="14.75" spans="1:31">
      <c r="A74" s="864"/>
      <c r="B74" s="870" t="s">
        <v>1185</v>
      </c>
      <c r="C74" s="871" t="str">
        <f>C75&amp;"（含）"&amp;"-"&amp;D75</f>
        <v>（含）-</v>
      </c>
      <c r="D74" s="871" t="str">
        <f t="shared" ref="D74:L74" si="20">D75&amp;"（含）"&amp;"-"&amp;E75</f>
        <v>（含）-</v>
      </c>
      <c r="E74" s="871" t="str">
        <f t="shared" si="20"/>
        <v>（含）-</v>
      </c>
      <c r="F74" s="871" t="str">
        <f t="shared" si="20"/>
        <v>（含）-</v>
      </c>
      <c r="G74" s="871" t="str">
        <f t="shared" si="20"/>
        <v>（含）-</v>
      </c>
      <c r="H74" s="871" t="str">
        <f t="shared" si="20"/>
        <v>（含）-</v>
      </c>
      <c r="I74" s="871" t="str">
        <f t="shared" si="20"/>
        <v>（含）-</v>
      </c>
      <c r="J74" s="871" t="str">
        <f t="shared" si="20"/>
        <v>（含）-</v>
      </c>
      <c r="K74" s="871" t="str">
        <f t="shared" si="20"/>
        <v>（含）-</v>
      </c>
      <c r="L74" s="871" t="str">
        <f t="shared" si="20"/>
        <v>（含）-</v>
      </c>
      <c r="M74" s="657" t="str">
        <f>M75&amp;"（含）"&amp;"-"&amp;P75</f>
        <v>（含）-</v>
      </c>
      <c r="N74" s="904"/>
      <c r="O74" s="904"/>
      <c r="P74" s="1618"/>
      <c r="Q74" s="843"/>
      <c r="R74" s="710"/>
      <c r="S74" s="710"/>
      <c r="T74" s="710"/>
      <c r="U74" s="710"/>
      <c r="V74" s="710"/>
      <c r="W74" s="710"/>
      <c r="X74" s="710"/>
      <c r="Y74" s="710"/>
      <c r="Z74" s="710"/>
      <c r="AA74" s="710"/>
      <c r="AB74" s="710"/>
      <c r="AC74" s="710"/>
      <c r="AD74" s="710"/>
      <c r="AE74" s="710"/>
    </row>
    <row r="75" spans="1:31">
      <c r="A75" s="864"/>
      <c r="B75" s="872"/>
      <c r="C75" s="873"/>
      <c r="D75" s="873"/>
      <c r="E75" s="873"/>
      <c r="F75" s="873"/>
      <c r="G75" s="873"/>
      <c r="H75" s="873"/>
      <c r="I75" s="873"/>
      <c r="J75" s="873"/>
      <c r="K75" s="908"/>
      <c r="L75" s="909"/>
      <c r="M75" s="910"/>
      <c r="N75" s="810"/>
      <c r="O75" s="810"/>
      <c r="P75" s="1618"/>
      <c r="Q75" s="843"/>
      <c r="R75" s="710"/>
      <c r="S75" s="710"/>
      <c r="T75" s="710"/>
      <c r="U75" s="710"/>
      <c r="V75" s="710"/>
      <c r="W75" s="710"/>
      <c r="X75" s="710"/>
      <c r="Y75" s="710"/>
      <c r="Z75" s="710"/>
      <c r="AA75" s="710"/>
      <c r="AB75" s="710"/>
      <c r="AC75" s="710"/>
      <c r="AD75" s="710"/>
      <c r="AE75" s="710"/>
    </row>
    <row r="76" ht="14.75" spans="1:31">
      <c r="A76" s="864"/>
      <c r="B76" s="865"/>
      <c r="C76" s="874">
        <v>100</v>
      </c>
      <c r="D76" s="874">
        <f>IF($B$41="单位面积地价",C76+$K11,C76-$K11)</f>
        <v>100</v>
      </c>
      <c r="E76" s="874">
        <f t="shared" ref="E76:M76" si="21">IF($B$41="单位面积地价",D76+$K11,D76-$K11)</f>
        <v>100</v>
      </c>
      <c r="F76" s="874">
        <f t="shared" si="21"/>
        <v>100</v>
      </c>
      <c r="G76" s="874">
        <f t="shared" si="21"/>
        <v>100</v>
      </c>
      <c r="H76" s="874">
        <f t="shared" si="21"/>
        <v>100</v>
      </c>
      <c r="I76" s="874">
        <f t="shared" si="21"/>
        <v>100</v>
      </c>
      <c r="J76" s="874">
        <f t="shared" si="21"/>
        <v>100</v>
      </c>
      <c r="K76" s="874">
        <f t="shared" si="21"/>
        <v>100</v>
      </c>
      <c r="L76" s="874">
        <f t="shared" si="21"/>
        <v>100</v>
      </c>
      <c r="M76" s="874">
        <f t="shared" si="21"/>
        <v>100</v>
      </c>
      <c r="N76" s="904"/>
      <c r="O76" s="904"/>
      <c r="P76" s="1618"/>
      <c r="Q76" s="843"/>
      <c r="R76" s="710"/>
      <c r="S76" s="710"/>
      <c r="T76" s="710"/>
      <c r="U76" s="710"/>
      <c r="V76" s="710"/>
      <c r="W76" s="710"/>
      <c r="X76" s="710"/>
      <c r="Y76" s="710"/>
      <c r="Z76" s="710"/>
      <c r="AA76" s="710"/>
      <c r="AB76" s="710"/>
      <c r="AC76" s="710"/>
      <c r="AD76" s="710"/>
      <c r="AE76" s="710"/>
    </row>
    <row r="77" s="570" customFormat="1" ht="14.75" spans="1:31">
      <c r="A77" s="875"/>
      <c r="B77" s="867">
        <f>B12</f>
        <v>111</v>
      </c>
      <c r="C77" s="876"/>
      <c r="D77" s="876"/>
      <c r="E77" s="876"/>
      <c r="F77" s="876"/>
      <c r="G77" s="876"/>
      <c r="H77" s="877"/>
      <c r="I77" s="877"/>
      <c r="J77" s="877"/>
      <c r="K77" s="877"/>
      <c r="L77" s="912"/>
      <c r="M77" s="913"/>
      <c r="N77" s="914"/>
      <c r="O77" s="914"/>
      <c r="P77" s="1619"/>
      <c r="Q77" s="947"/>
      <c r="R77" s="948"/>
      <c r="S77" s="948"/>
      <c r="T77" s="948"/>
      <c r="U77" s="948"/>
      <c r="V77" s="948"/>
      <c r="W77" s="948"/>
      <c r="X77" s="948"/>
      <c r="Y77" s="948"/>
      <c r="Z77" s="948"/>
      <c r="AA77" s="948"/>
      <c r="AB77" s="948"/>
      <c r="AC77" s="948"/>
      <c r="AD77" s="948"/>
      <c r="AE77" s="948"/>
    </row>
    <row r="78" s="570" customFormat="1" ht="14.75" spans="1:31">
      <c r="A78" s="875"/>
      <c r="B78" s="869"/>
      <c r="C78" s="878"/>
      <c r="D78" s="866"/>
      <c r="E78" s="866"/>
      <c r="F78" s="866"/>
      <c r="G78" s="866"/>
      <c r="H78" s="866"/>
      <c r="I78" s="866"/>
      <c r="J78" s="866"/>
      <c r="K78" s="866"/>
      <c r="L78" s="866"/>
      <c r="M78" s="903"/>
      <c r="N78" s="904"/>
      <c r="O78" s="904"/>
      <c r="P78" s="1619"/>
      <c r="Q78" s="947"/>
      <c r="R78" s="948"/>
      <c r="S78" s="948"/>
      <c r="T78" s="948"/>
      <c r="U78" s="948"/>
      <c r="V78" s="948"/>
      <c r="W78" s="948"/>
      <c r="X78" s="948"/>
      <c r="Y78" s="948"/>
      <c r="Z78" s="948"/>
      <c r="AA78" s="948"/>
      <c r="AB78" s="948"/>
      <c r="AC78" s="948"/>
      <c r="AD78" s="948"/>
      <c r="AE78" s="948"/>
    </row>
    <row r="79" s="570" customFormat="1" ht="14.75" spans="1:31">
      <c r="A79" s="875"/>
      <c r="B79" s="867">
        <f>B13</f>
        <v>111</v>
      </c>
      <c r="C79" s="876"/>
      <c r="D79" s="876"/>
      <c r="E79" s="876"/>
      <c r="F79" s="876"/>
      <c r="G79" s="876"/>
      <c r="H79" s="877"/>
      <c r="I79" s="877"/>
      <c r="J79" s="877"/>
      <c r="K79" s="877"/>
      <c r="L79" s="912"/>
      <c r="M79" s="913"/>
      <c r="N79" s="914"/>
      <c r="O79" s="914"/>
      <c r="P79" s="777"/>
      <c r="Q79" s="949"/>
      <c r="R79" s="948"/>
      <c r="S79" s="948"/>
      <c r="T79" s="948"/>
      <c r="U79" s="948"/>
      <c r="V79" s="948"/>
      <c r="W79" s="948"/>
      <c r="X79" s="948"/>
      <c r="Y79" s="948"/>
      <c r="Z79" s="948"/>
      <c r="AA79" s="948"/>
      <c r="AB79" s="948"/>
      <c r="AC79" s="948"/>
      <c r="AD79" s="948"/>
      <c r="AE79" s="948"/>
    </row>
    <row r="80" s="570" customFormat="1" ht="14.75" spans="1:31">
      <c r="A80" s="875"/>
      <c r="B80" s="869"/>
      <c r="C80" s="878"/>
      <c r="D80" s="878"/>
      <c r="E80" s="878"/>
      <c r="F80" s="878"/>
      <c r="G80" s="878"/>
      <c r="H80" s="879"/>
      <c r="I80" s="879"/>
      <c r="J80" s="879"/>
      <c r="K80" s="879"/>
      <c r="L80" s="879"/>
      <c r="M80" s="917"/>
      <c r="N80" s="914"/>
      <c r="O80" s="914"/>
      <c r="P80" s="1619"/>
      <c r="Q80" s="947"/>
      <c r="R80" s="948"/>
      <c r="S80" s="948"/>
      <c r="T80" s="948"/>
      <c r="U80" s="948"/>
      <c r="V80" s="948"/>
      <c r="W80" s="948"/>
      <c r="X80" s="948"/>
      <c r="Y80" s="948"/>
      <c r="Z80" s="948"/>
      <c r="AA80" s="948"/>
      <c r="AB80" s="948"/>
      <c r="AC80" s="948"/>
      <c r="AD80" s="948"/>
      <c r="AE80" s="948"/>
    </row>
    <row r="81" s="570" customFormat="1" ht="14.75" spans="1:31">
      <c r="A81" s="875"/>
      <c r="B81" s="870">
        <f>B14</f>
        <v>111</v>
      </c>
      <c r="C81" s="739"/>
      <c r="D81" s="739"/>
      <c r="E81" s="739"/>
      <c r="F81" s="739"/>
      <c r="G81" s="739"/>
      <c r="H81" s="880"/>
      <c r="I81" s="880"/>
      <c r="J81" s="880"/>
      <c r="K81" s="880"/>
      <c r="L81" s="918"/>
      <c r="M81" s="919"/>
      <c r="N81" s="914"/>
      <c r="O81" s="914"/>
      <c r="P81" s="1620"/>
      <c r="Q81" s="947"/>
      <c r="R81" s="948"/>
      <c r="S81" s="948"/>
      <c r="T81" s="948"/>
      <c r="U81" s="948"/>
      <c r="V81" s="948"/>
      <c r="W81" s="948"/>
      <c r="X81" s="948"/>
      <c r="Y81" s="948"/>
      <c r="Z81" s="948"/>
      <c r="AA81" s="948"/>
      <c r="AB81" s="948"/>
      <c r="AC81" s="948"/>
      <c r="AD81" s="948"/>
      <c r="AE81" s="948"/>
    </row>
    <row r="82" s="570" customFormat="1" ht="14.75" spans="1:31">
      <c r="A82" s="881"/>
      <c r="B82" s="882"/>
      <c r="C82" s="883"/>
      <c r="D82" s="883"/>
      <c r="E82" s="883"/>
      <c r="F82" s="883"/>
      <c r="G82" s="883"/>
      <c r="H82" s="884"/>
      <c r="I82" s="884"/>
      <c r="J82" s="884"/>
      <c r="K82" s="884"/>
      <c r="L82" s="884"/>
      <c r="M82" s="921"/>
      <c r="N82" s="914"/>
      <c r="O82" s="914"/>
      <c r="P82" s="1619"/>
      <c r="Q82" s="947"/>
      <c r="R82" s="948"/>
      <c r="S82" s="948"/>
      <c r="T82" s="948"/>
      <c r="U82" s="948"/>
      <c r="V82" s="948"/>
      <c r="W82" s="948"/>
      <c r="X82" s="948"/>
      <c r="Y82" s="948"/>
      <c r="Z82" s="948"/>
      <c r="AA82" s="948"/>
      <c r="AB82" s="948"/>
      <c r="AC82" s="948"/>
      <c r="AD82" s="948"/>
      <c r="AE82" s="948"/>
    </row>
    <row r="83" spans="1:31">
      <c r="A83" s="741" t="s">
        <v>1186</v>
      </c>
      <c r="B83" s="742" t="s">
        <v>1492</v>
      </c>
      <c r="C83" s="885" t="s">
        <v>1225</v>
      </c>
      <c r="D83" s="885" t="s">
        <v>1226</v>
      </c>
      <c r="E83" s="885" t="s">
        <v>1227</v>
      </c>
      <c r="F83" s="885" t="s">
        <v>1228</v>
      </c>
      <c r="G83" s="885" t="s">
        <v>1229</v>
      </c>
      <c r="H83" s="743"/>
      <c r="I83" s="743"/>
      <c r="J83" s="743"/>
      <c r="K83" s="922"/>
      <c r="L83" s="923"/>
      <c r="M83" s="924"/>
      <c r="N83" s="810"/>
      <c r="O83" s="810"/>
      <c r="P83" s="1621"/>
      <c r="Q83" s="843"/>
      <c r="R83" s="710"/>
      <c r="S83" s="710"/>
      <c r="T83" s="710"/>
      <c r="U83" s="710"/>
      <c r="V83" s="710"/>
      <c r="W83" s="710"/>
      <c r="X83" s="710"/>
      <c r="Y83" s="710"/>
      <c r="Z83" s="710"/>
      <c r="AA83" s="710"/>
      <c r="AB83" s="710"/>
      <c r="AC83" s="710"/>
      <c r="AD83" s="710"/>
      <c r="AE83" s="710"/>
    </row>
    <row r="84" ht="14.75" spans="1:31">
      <c r="A84" s="864"/>
      <c r="B84" s="869"/>
      <c r="C84" s="874">
        <v>100</v>
      </c>
      <c r="D84" s="874">
        <f>C84-$K15</f>
        <v>100</v>
      </c>
      <c r="E84" s="874">
        <f>D84-$K15</f>
        <v>100</v>
      </c>
      <c r="F84" s="874">
        <f>E84-$K15</f>
        <v>100</v>
      </c>
      <c r="G84" s="874">
        <f>F84-$K15</f>
        <v>100</v>
      </c>
      <c r="H84" s="874"/>
      <c r="I84" s="874"/>
      <c r="J84" s="874"/>
      <c r="K84" s="874"/>
      <c r="L84" s="874"/>
      <c r="M84" s="911"/>
      <c r="N84" s="904"/>
      <c r="O84" s="904"/>
      <c r="P84" s="1618"/>
      <c r="Q84" s="843"/>
      <c r="R84" s="710"/>
      <c r="S84" s="710"/>
      <c r="T84" s="710"/>
      <c r="U84" s="710"/>
      <c r="V84" s="710"/>
      <c r="W84" s="710"/>
      <c r="X84" s="710"/>
      <c r="Y84" s="710"/>
      <c r="Z84" s="710"/>
      <c r="AA84" s="710"/>
      <c r="AB84" s="710"/>
      <c r="AC84" s="710"/>
      <c r="AD84" s="710"/>
      <c r="AE84" s="710"/>
    </row>
    <row r="85" ht="14.75" spans="1:31">
      <c r="A85" s="864"/>
      <c r="B85" s="867" t="s">
        <v>1191</v>
      </c>
      <c r="C85" s="886" t="s">
        <v>1225</v>
      </c>
      <c r="D85" s="886" t="s">
        <v>1226</v>
      </c>
      <c r="E85" s="886" t="s">
        <v>1227</v>
      </c>
      <c r="F85" s="886" t="s">
        <v>1228</v>
      </c>
      <c r="G85" s="886" t="s">
        <v>1229</v>
      </c>
      <c r="H85" s="887"/>
      <c r="I85" s="887"/>
      <c r="J85" s="887"/>
      <c r="K85" s="926"/>
      <c r="L85" s="927"/>
      <c r="M85" s="928"/>
      <c r="N85" s="810"/>
      <c r="O85" s="810"/>
      <c r="P85" s="1618"/>
      <c r="Q85" s="843"/>
      <c r="R85" s="710"/>
      <c r="S85" s="710"/>
      <c r="T85" s="710"/>
      <c r="U85" s="710"/>
      <c r="V85" s="710"/>
      <c r="W85" s="710"/>
      <c r="X85" s="710"/>
      <c r="Y85" s="710"/>
      <c r="Z85" s="710"/>
      <c r="AA85" s="710"/>
      <c r="AB85" s="710"/>
      <c r="AC85" s="710"/>
      <c r="AD85" s="710"/>
      <c r="AE85" s="710"/>
    </row>
    <row r="86" ht="14.75" spans="1:31">
      <c r="A86" s="864"/>
      <c r="B86" s="869"/>
      <c r="C86" s="874">
        <v>100</v>
      </c>
      <c r="D86" s="874">
        <f>C86-$K17</f>
        <v>100</v>
      </c>
      <c r="E86" s="874">
        <f>D86-$K17</f>
        <v>100</v>
      </c>
      <c r="F86" s="874">
        <f>E86-$K17</f>
        <v>100</v>
      </c>
      <c r="G86" s="874">
        <f>F86-$K17</f>
        <v>100</v>
      </c>
      <c r="H86" s="874"/>
      <c r="I86" s="874"/>
      <c r="J86" s="874"/>
      <c r="K86" s="874"/>
      <c r="L86" s="874"/>
      <c r="M86" s="911"/>
      <c r="N86" s="904"/>
      <c r="O86" s="904"/>
      <c r="P86" s="1618"/>
      <c r="Q86" s="843"/>
      <c r="R86" s="710"/>
      <c r="S86" s="710"/>
      <c r="T86" s="710"/>
      <c r="U86" s="710"/>
      <c r="V86" s="710"/>
      <c r="W86" s="710"/>
      <c r="X86" s="710"/>
      <c r="Y86" s="710"/>
      <c r="Z86" s="710"/>
      <c r="AA86" s="710"/>
      <c r="AB86" s="710"/>
      <c r="AC86" s="710"/>
      <c r="AD86" s="710"/>
      <c r="AE86" s="710"/>
    </row>
    <row r="87" s="568" customFormat="1" ht="28.75" spans="1:31">
      <c r="A87" s="889"/>
      <c r="B87" s="867" t="s">
        <v>1519</v>
      </c>
      <c r="C87" s="885" t="s">
        <v>1225</v>
      </c>
      <c r="D87" s="885" t="s">
        <v>1226</v>
      </c>
      <c r="E87" s="885" t="s">
        <v>1227</v>
      </c>
      <c r="F87" s="885" t="s">
        <v>1228</v>
      </c>
      <c r="G87" s="885" t="s">
        <v>1229</v>
      </c>
      <c r="H87" s="886"/>
      <c r="I87" s="886"/>
      <c r="J87" s="886"/>
      <c r="K87" s="886"/>
      <c r="L87" s="1622"/>
      <c r="M87" s="936"/>
      <c r="N87" s="804"/>
      <c r="O87" s="804"/>
      <c r="P87" s="1618"/>
      <c r="Q87" s="843"/>
      <c r="R87" s="845"/>
      <c r="S87" s="845"/>
      <c r="T87" s="845"/>
      <c r="U87" s="845"/>
      <c r="V87" s="845"/>
      <c r="W87" s="845"/>
      <c r="X87" s="845"/>
      <c r="Y87" s="845"/>
      <c r="Z87" s="845"/>
      <c r="AA87" s="845"/>
      <c r="AB87" s="845"/>
      <c r="AC87" s="845"/>
      <c r="AD87" s="845"/>
      <c r="AE87" s="845"/>
    </row>
    <row r="88" s="568" customFormat="1" ht="14.75" spans="1:31">
      <c r="A88" s="889"/>
      <c r="B88" s="869"/>
      <c r="C88" s="890">
        <v>100</v>
      </c>
      <c r="D88" s="874">
        <f>C88-$K19</f>
        <v>100</v>
      </c>
      <c r="E88" s="874">
        <f>D88-$K19</f>
        <v>100</v>
      </c>
      <c r="F88" s="874">
        <f>E88-$K19</f>
        <v>100</v>
      </c>
      <c r="G88" s="874">
        <f>F88-$K19</f>
        <v>100</v>
      </c>
      <c r="H88" s="874"/>
      <c r="I88" s="874"/>
      <c r="J88" s="874"/>
      <c r="K88" s="874"/>
      <c r="L88" s="874"/>
      <c r="M88" s="911"/>
      <c r="N88" s="904"/>
      <c r="O88" s="904"/>
      <c r="P88" s="1618"/>
      <c r="Q88" s="843"/>
      <c r="R88" s="845"/>
      <c r="S88" s="845"/>
      <c r="T88" s="845"/>
      <c r="U88" s="845"/>
      <c r="V88" s="845"/>
      <c r="W88" s="845"/>
      <c r="X88" s="845"/>
      <c r="Y88" s="845"/>
      <c r="Z88" s="845"/>
      <c r="AA88" s="845"/>
      <c r="AB88" s="845"/>
      <c r="AC88" s="845"/>
      <c r="AD88" s="845"/>
      <c r="AE88" s="845"/>
    </row>
    <row r="89" s="568" customFormat="1" ht="28.75" spans="1:31">
      <c r="A89" s="889"/>
      <c r="B89" s="867" t="s">
        <v>1520</v>
      </c>
      <c r="C89" s="885" t="s">
        <v>1225</v>
      </c>
      <c r="D89" s="885" t="s">
        <v>1226</v>
      </c>
      <c r="E89" s="885" t="s">
        <v>1227</v>
      </c>
      <c r="F89" s="885" t="s">
        <v>1228</v>
      </c>
      <c r="G89" s="885" t="s">
        <v>1229</v>
      </c>
      <c r="H89" s="886"/>
      <c r="I89" s="886"/>
      <c r="J89" s="886"/>
      <c r="K89" s="886"/>
      <c r="L89" s="886"/>
      <c r="M89" s="936"/>
      <c r="N89" s="804"/>
      <c r="O89" s="804"/>
      <c r="P89" s="1618"/>
      <c r="Q89" s="843"/>
      <c r="R89" s="845"/>
      <c r="S89" s="845"/>
      <c r="T89" s="845"/>
      <c r="U89" s="845"/>
      <c r="V89" s="845"/>
      <c r="W89" s="845"/>
      <c r="X89" s="845"/>
      <c r="Y89" s="845"/>
      <c r="Z89" s="845"/>
      <c r="AA89" s="845"/>
      <c r="AB89" s="845"/>
      <c r="AC89" s="845"/>
      <c r="AD89" s="845"/>
      <c r="AE89" s="845"/>
    </row>
    <row r="90" s="568" customFormat="1" ht="14.75" spans="1:31">
      <c r="A90" s="889"/>
      <c r="B90" s="869"/>
      <c r="C90" s="874">
        <v>100</v>
      </c>
      <c r="D90" s="874">
        <f>C90-$K21</f>
        <v>100</v>
      </c>
      <c r="E90" s="874">
        <f>D90-$K21</f>
        <v>100</v>
      </c>
      <c r="F90" s="874">
        <f>E90-$K21</f>
        <v>100</v>
      </c>
      <c r="G90" s="874">
        <f>F90-$K21</f>
        <v>100</v>
      </c>
      <c r="H90" s="874"/>
      <c r="I90" s="874"/>
      <c r="J90" s="874"/>
      <c r="K90" s="874"/>
      <c r="L90" s="874"/>
      <c r="M90" s="911"/>
      <c r="N90" s="904"/>
      <c r="O90" s="904"/>
      <c r="P90" s="1618"/>
      <c r="Q90" s="843"/>
      <c r="R90" s="845"/>
      <c r="S90" s="845"/>
      <c r="T90" s="845"/>
      <c r="U90" s="845"/>
      <c r="V90" s="845"/>
      <c r="W90" s="845"/>
      <c r="X90" s="845"/>
      <c r="Y90" s="845"/>
      <c r="Z90" s="845"/>
      <c r="AA90" s="845"/>
      <c r="AB90" s="845"/>
      <c r="AC90" s="845"/>
      <c r="AD90" s="845"/>
      <c r="AE90" s="845"/>
    </row>
    <row r="91" s="570" customFormat="1" ht="14.75" spans="1:31">
      <c r="A91" s="875"/>
      <c r="B91" s="867" t="s">
        <v>1192</v>
      </c>
      <c r="C91" s="885" t="s">
        <v>1225</v>
      </c>
      <c r="D91" s="885" t="s">
        <v>1226</v>
      </c>
      <c r="E91" s="885" t="s">
        <v>1227</v>
      </c>
      <c r="F91" s="885" t="s">
        <v>1228</v>
      </c>
      <c r="G91" s="885" t="s">
        <v>1229</v>
      </c>
      <c r="H91" s="1609"/>
      <c r="I91" s="1609"/>
      <c r="J91" s="1609"/>
      <c r="K91" s="1609"/>
      <c r="L91" s="1623"/>
      <c r="M91" s="1624"/>
      <c r="N91" s="914"/>
      <c r="O91" s="914"/>
      <c r="P91" s="1619"/>
      <c r="Q91" s="947"/>
      <c r="R91" s="948"/>
      <c r="S91" s="948"/>
      <c r="T91" s="948"/>
      <c r="U91" s="948"/>
      <c r="V91" s="948"/>
      <c r="W91" s="948"/>
      <c r="X91" s="948"/>
      <c r="Y91" s="948"/>
      <c r="Z91" s="948"/>
      <c r="AA91" s="948"/>
      <c r="AB91" s="948"/>
      <c r="AC91" s="948"/>
      <c r="AD91" s="948"/>
      <c r="AE91" s="948"/>
    </row>
    <row r="92" s="570" customFormat="1" ht="14.75" spans="1:31">
      <c r="A92" s="875"/>
      <c r="B92" s="869"/>
      <c r="C92" s="874">
        <v>100</v>
      </c>
      <c r="D92" s="874">
        <f>C92-$K23</f>
        <v>100</v>
      </c>
      <c r="E92" s="874">
        <f>D92-$K23</f>
        <v>100</v>
      </c>
      <c r="F92" s="874">
        <f>E92-$K23</f>
        <v>100</v>
      </c>
      <c r="G92" s="874">
        <f>F92-$K23</f>
        <v>100</v>
      </c>
      <c r="H92" s="1610"/>
      <c r="I92" s="1610"/>
      <c r="J92" s="1610"/>
      <c r="K92" s="1610"/>
      <c r="L92" s="1610"/>
      <c r="M92" s="1625"/>
      <c r="N92" s="914"/>
      <c r="O92" s="914"/>
      <c r="P92" s="1619"/>
      <c r="Q92" s="947"/>
      <c r="R92" s="948"/>
      <c r="S92" s="948"/>
      <c r="T92" s="948"/>
      <c r="U92" s="948"/>
      <c r="V92" s="948"/>
      <c r="W92" s="948"/>
      <c r="X92" s="948"/>
      <c r="Y92" s="948"/>
      <c r="Z92" s="948"/>
      <c r="AA92" s="948"/>
      <c r="AB92" s="948"/>
      <c r="AC92" s="948"/>
      <c r="AD92" s="948"/>
      <c r="AE92" s="948"/>
    </row>
    <row r="93" s="570" customFormat="1" ht="14.75" spans="1:31">
      <c r="A93" s="875"/>
      <c r="B93" s="870" t="s">
        <v>1193</v>
      </c>
      <c r="C93" s="888" t="s">
        <v>1230</v>
      </c>
      <c r="D93" s="888" t="s">
        <v>1231</v>
      </c>
      <c r="E93" s="888" t="s">
        <v>1232</v>
      </c>
      <c r="F93" s="888" t="s">
        <v>1233</v>
      </c>
      <c r="G93" s="888" t="s">
        <v>1234</v>
      </c>
      <c r="H93" s="1609"/>
      <c r="I93" s="1609"/>
      <c r="J93" s="1609"/>
      <c r="K93" s="1609"/>
      <c r="L93" s="1609"/>
      <c r="M93" s="1624"/>
      <c r="N93" s="914"/>
      <c r="O93" s="914"/>
      <c r="P93" s="1619"/>
      <c r="Q93" s="947"/>
      <c r="R93" s="948"/>
      <c r="S93" s="948"/>
      <c r="T93" s="948"/>
      <c r="U93" s="948"/>
      <c r="V93" s="948"/>
      <c r="W93" s="948"/>
      <c r="X93" s="948"/>
      <c r="Y93" s="948"/>
      <c r="Z93" s="948"/>
      <c r="AA93" s="948"/>
      <c r="AB93" s="948"/>
      <c r="AC93" s="948"/>
      <c r="AD93" s="948"/>
      <c r="AE93" s="948"/>
    </row>
    <row r="94" s="570" customFormat="1" ht="14.75" spans="1:31">
      <c r="A94" s="875"/>
      <c r="B94" s="870"/>
      <c r="C94" s="874">
        <v>100</v>
      </c>
      <c r="D94" s="874">
        <f>C94-$K25</f>
        <v>100</v>
      </c>
      <c r="E94" s="874">
        <f>D94-$K25</f>
        <v>100</v>
      </c>
      <c r="F94" s="874">
        <f>E94-$K25</f>
        <v>100</v>
      </c>
      <c r="G94" s="874">
        <f>F94-$K25</f>
        <v>100</v>
      </c>
      <c r="H94" s="872"/>
      <c r="I94" s="872"/>
      <c r="J94" s="872"/>
      <c r="K94" s="872"/>
      <c r="L94" s="872"/>
      <c r="M94" s="1626"/>
      <c r="N94" s="914"/>
      <c r="O94" s="914"/>
      <c r="P94" s="1619"/>
      <c r="Q94" s="947"/>
      <c r="R94" s="948"/>
      <c r="S94" s="948"/>
      <c r="T94" s="948"/>
      <c r="U94" s="948"/>
      <c r="V94" s="948"/>
      <c r="W94" s="948"/>
      <c r="X94" s="948"/>
      <c r="Y94" s="948"/>
      <c r="Z94" s="948"/>
      <c r="AA94" s="948"/>
      <c r="AB94" s="948"/>
      <c r="AC94" s="948"/>
      <c r="AD94" s="948"/>
      <c r="AE94" s="948"/>
    </row>
    <row r="95" ht="14.75" spans="1:31">
      <c r="A95" s="864"/>
      <c r="B95" s="867" t="str">
        <f>B27</f>
        <v>临街状况</v>
      </c>
      <c r="C95" s="887" t="s">
        <v>1559</v>
      </c>
      <c r="D95" s="887" t="s">
        <v>1560</v>
      </c>
      <c r="E95" s="887" t="s">
        <v>1561</v>
      </c>
      <c r="F95" s="887" t="s">
        <v>1562</v>
      </c>
      <c r="G95" s="887"/>
      <c r="H95" s="887"/>
      <c r="I95" s="887"/>
      <c r="J95" s="887"/>
      <c r="K95" s="926"/>
      <c r="L95" s="927"/>
      <c r="M95" s="928"/>
      <c r="N95" s="810"/>
      <c r="O95" s="810"/>
      <c r="P95" s="1618"/>
      <c r="Q95" s="843"/>
      <c r="R95" s="710"/>
      <c r="S95" s="710"/>
      <c r="T95" s="710"/>
      <c r="U95" s="710"/>
      <c r="V95" s="710"/>
      <c r="W95" s="710"/>
      <c r="X95" s="710"/>
      <c r="Y95" s="710"/>
      <c r="Z95" s="710"/>
      <c r="AA95" s="710"/>
      <c r="AB95" s="710"/>
      <c r="AC95" s="710"/>
      <c r="AD95" s="710"/>
      <c r="AE95" s="710"/>
    </row>
    <row r="96" ht="14.75" spans="1:31">
      <c r="A96" s="864"/>
      <c r="B96" s="869"/>
      <c r="C96" s="874">
        <v>100</v>
      </c>
      <c r="D96" s="874">
        <f t="shared" ref="D96:M96" si="22">C96-$K27</f>
        <v>100</v>
      </c>
      <c r="E96" s="874">
        <f t="shared" si="22"/>
        <v>100</v>
      </c>
      <c r="F96" s="874">
        <f t="shared" si="22"/>
        <v>100</v>
      </c>
      <c r="G96" s="874">
        <f t="shared" si="22"/>
        <v>100</v>
      </c>
      <c r="H96" s="874">
        <f t="shared" si="22"/>
        <v>100</v>
      </c>
      <c r="I96" s="874">
        <f t="shared" si="22"/>
        <v>100</v>
      </c>
      <c r="J96" s="874">
        <f t="shared" si="22"/>
        <v>100</v>
      </c>
      <c r="K96" s="874">
        <f t="shared" si="22"/>
        <v>100</v>
      </c>
      <c r="L96" s="874">
        <f t="shared" si="22"/>
        <v>100</v>
      </c>
      <c r="M96" s="874">
        <f t="shared" si="22"/>
        <v>100</v>
      </c>
      <c r="N96" s="904"/>
      <c r="O96" s="904"/>
      <c r="P96" s="1618"/>
      <c r="Q96" s="843"/>
      <c r="R96" s="710"/>
      <c r="S96" s="710"/>
      <c r="T96" s="710"/>
      <c r="U96" s="710"/>
      <c r="V96" s="710"/>
      <c r="W96" s="710"/>
      <c r="X96" s="710"/>
      <c r="Y96" s="710"/>
      <c r="Z96" s="710"/>
      <c r="AA96" s="710"/>
      <c r="AB96" s="710"/>
      <c r="AC96" s="710"/>
      <c r="AD96" s="710"/>
      <c r="AE96" s="710"/>
    </row>
    <row r="97" ht="28.75" spans="1:31">
      <c r="A97" s="864"/>
      <c r="B97" s="867" t="s">
        <v>1195</v>
      </c>
      <c r="C97" s="876"/>
      <c r="D97" s="876"/>
      <c r="E97" s="876"/>
      <c r="F97" s="876"/>
      <c r="G97" s="876"/>
      <c r="H97" s="868"/>
      <c r="I97" s="868"/>
      <c r="J97" s="868"/>
      <c r="K97" s="905"/>
      <c r="L97" s="906"/>
      <c r="M97" s="907"/>
      <c r="N97" s="810"/>
      <c r="O97" s="810"/>
      <c r="P97" s="1618"/>
      <c r="Q97" s="843"/>
      <c r="R97" s="710"/>
      <c r="S97" s="710"/>
      <c r="T97" s="710"/>
      <c r="U97" s="710"/>
      <c r="V97" s="710"/>
      <c r="W97" s="710"/>
      <c r="X97" s="710"/>
      <c r="Y97" s="710"/>
      <c r="Z97" s="710"/>
      <c r="AA97" s="710"/>
      <c r="AB97" s="710"/>
      <c r="AC97" s="710"/>
      <c r="AD97" s="710"/>
      <c r="AE97" s="710"/>
    </row>
    <row r="98" ht="14.75" spans="1:31">
      <c r="A98" s="864"/>
      <c r="B98" s="869"/>
      <c r="C98" s="874">
        <v>100</v>
      </c>
      <c r="D98" s="874">
        <f t="shared" ref="D98:M98" si="23">C98-$K28</f>
        <v>100</v>
      </c>
      <c r="E98" s="874">
        <f t="shared" si="23"/>
        <v>100</v>
      </c>
      <c r="F98" s="874">
        <f t="shared" si="23"/>
        <v>100</v>
      </c>
      <c r="G98" s="874">
        <f t="shared" si="23"/>
        <v>100</v>
      </c>
      <c r="H98" s="874">
        <f t="shared" si="23"/>
        <v>100</v>
      </c>
      <c r="I98" s="874">
        <f t="shared" si="23"/>
        <v>100</v>
      </c>
      <c r="J98" s="874">
        <f t="shared" si="23"/>
        <v>100</v>
      </c>
      <c r="K98" s="874">
        <f t="shared" si="23"/>
        <v>100</v>
      </c>
      <c r="L98" s="874">
        <f t="shared" si="23"/>
        <v>100</v>
      </c>
      <c r="M98" s="874">
        <f t="shared" si="23"/>
        <v>100</v>
      </c>
      <c r="N98" s="904"/>
      <c r="O98" s="904"/>
      <c r="P98" s="1618"/>
      <c r="Q98" s="843"/>
      <c r="R98" s="710"/>
      <c r="S98" s="710"/>
      <c r="T98" s="710"/>
      <c r="U98" s="710"/>
      <c r="V98" s="710"/>
      <c r="W98" s="710"/>
      <c r="X98" s="710"/>
      <c r="Y98" s="710"/>
      <c r="Z98" s="710"/>
      <c r="AA98" s="710"/>
      <c r="AB98" s="710"/>
      <c r="AC98" s="710"/>
      <c r="AD98" s="710"/>
      <c r="AE98" s="710"/>
    </row>
    <row r="99" ht="14.75" spans="1:31">
      <c r="A99" s="864"/>
      <c r="B99" s="867" t="s">
        <v>1521</v>
      </c>
      <c r="C99" s="868"/>
      <c r="D99" s="868"/>
      <c r="E99" s="868"/>
      <c r="F99" s="868"/>
      <c r="G99" s="868"/>
      <c r="H99" s="868"/>
      <c r="I99" s="868"/>
      <c r="J99" s="868"/>
      <c r="K99" s="905"/>
      <c r="L99" s="906"/>
      <c r="M99" s="907"/>
      <c r="N99" s="810"/>
      <c r="O99" s="810"/>
      <c r="P99" s="1618"/>
      <c r="Q99" s="843"/>
      <c r="R99" s="710"/>
      <c r="S99" s="710"/>
      <c r="T99" s="710"/>
      <c r="U99" s="710"/>
      <c r="V99" s="710"/>
      <c r="W99" s="710"/>
      <c r="X99" s="710"/>
      <c r="Y99" s="710"/>
      <c r="Z99" s="710"/>
      <c r="AA99" s="710"/>
      <c r="AB99" s="710"/>
      <c r="AC99" s="710"/>
      <c r="AD99" s="710"/>
      <c r="AE99" s="710"/>
    </row>
    <row r="100" ht="14.75" spans="1:31">
      <c r="A100" s="864"/>
      <c r="B100" s="869"/>
      <c r="C100" s="874">
        <v>100</v>
      </c>
      <c r="D100" s="874">
        <f t="shared" ref="D100:M100" si="24">C100-$K30</f>
        <v>100</v>
      </c>
      <c r="E100" s="874">
        <f t="shared" si="24"/>
        <v>100</v>
      </c>
      <c r="F100" s="874">
        <f t="shared" si="24"/>
        <v>100</v>
      </c>
      <c r="G100" s="874">
        <f t="shared" si="24"/>
        <v>100</v>
      </c>
      <c r="H100" s="874">
        <f t="shared" si="24"/>
        <v>100</v>
      </c>
      <c r="I100" s="874">
        <f t="shared" si="24"/>
        <v>100</v>
      </c>
      <c r="J100" s="874">
        <f t="shared" si="24"/>
        <v>100</v>
      </c>
      <c r="K100" s="874">
        <f t="shared" si="24"/>
        <v>100</v>
      </c>
      <c r="L100" s="874">
        <f t="shared" si="24"/>
        <v>100</v>
      </c>
      <c r="M100" s="874">
        <f t="shared" si="24"/>
        <v>100</v>
      </c>
      <c r="N100" s="904"/>
      <c r="O100" s="904"/>
      <c r="P100" s="1618"/>
      <c r="Q100" s="843"/>
      <c r="R100" s="710"/>
      <c r="S100" s="710"/>
      <c r="T100" s="710"/>
      <c r="U100" s="710"/>
      <c r="V100" s="710"/>
      <c r="W100" s="710"/>
      <c r="X100" s="710"/>
      <c r="Y100" s="710"/>
      <c r="Z100" s="710"/>
      <c r="AA100" s="710"/>
      <c r="AB100" s="710"/>
      <c r="AC100" s="710"/>
      <c r="AD100" s="710"/>
      <c r="AE100" s="710"/>
    </row>
    <row r="101" ht="14.75" spans="1:31">
      <c r="A101" s="864"/>
      <c r="B101" s="870">
        <f>B31</f>
        <v>111</v>
      </c>
      <c r="C101" s="876"/>
      <c r="D101" s="876"/>
      <c r="E101" s="876"/>
      <c r="F101" s="876"/>
      <c r="G101" s="892"/>
      <c r="H101" s="892"/>
      <c r="I101" s="892"/>
      <c r="J101" s="892"/>
      <c r="K101" s="932"/>
      <c r="L101" s="933"/>
      <c r="M101" s="934"/>
      <c r="N101" s="810"/>
      <c r="O101" s="810"/>
      <c r="P101" s="1618"/>
      <c r="Q101" s="843"/>
      <c r="R101" s="710"/>
      <c r="S101" s="710"/>
      <c r="T101" s="710"/>
      <c r="U101" s="710"/>
      <c r="V101" s="710"/>
      <c r="W101" s="710"/>
      <c r="X101" s="710"/>
      <c r="Y101" s="710"/>
      <c r="Z101" s="710"/>
      <c r="AA101" s="710"/>
      <c r="AB101" s="710"/>
      <c r="AC101" s="710"/>
      <c r="AD101" s="710"/>
      <c r="AE101" s="710"/>
    </row>
    <row r="102" ht="14.75" spans="1:31">
      <c r="A102" s="864"/>
      <c r="B102" s="882"/>
      <c r="C102" s="878"/>
      <c r="D102" s="866"/>
      <c r="E102" s="866"/>
      <c r="F102" s="866"/>
      <c r="G102" s="894"/>
      <c r="H102" s="894"/>
      <c r="I102" s="894"/>
      <c r="J102" s="894"/>
      <c r="K102" s="894"/>
      <c r="L102" s="894"/>
      <c r="M102" s="935"/>
      <c r="N102" s="904"/>
      <c r="O102" s="904"/>
      <c r="P102" s="1618"/>
      <c r="Q102" s="843"/>
      <c r="R102" s="710"/>
      <c r="S102" s="710"/>
      <c r="T102" s="710"/>
      <c r="U102" s="710"/>
      <c r="V102" s="710"/>
      <c r="W102" s="710"/>
      <c r="X102" s="710"/>
      <c r="Y102" s="710"/>
      <c r="Z102" s="710"/>
      <c r="AA102" s="710"/>
      <c r="AB102" s="710"/>
      <c r="AC102" s="710"/>
      <c r="AD102" s="710"/>
      <c r="AE102" s="710"/>
    </row>
    <row r="103" ht="14.75" spans="1:31">
      <c r="A103" s="1519"/>
      <c r="B103" s="867">
        <f>B32</f>
        <v>111</v>
      </c>
      <c r="C103" s="876"/>
      <c r="D103" s="876"/>
      <c r="E103" s="876"/>
      <c r="F103" s="876"/>
      <c r="G103" s="868"/>
      <c r="H103" s="868"/>
      <c r="I103" s="868"/>
      <c r="J103" s="868"/>
      <c r="K103" s="905"/>
      <c r="L103" s="906"/>
      <c r="M103" s="907"/>
      <c r="N103" s="810"/>
      <c r="O103" s="810"/>
      <c r="P103" s="1618"/>
      <c r="Q103" s="843"/>
      <c r="R103" s="710"/>
      <c r="S103" s="710"/>
      <c r="T103" s="710"/>
      <c r="U103" s="710"/>
      <c r="V103" s="710"/>
      <c r="W103" s="710"/>
      <c r="X103" s="710"/>
      <c r="Y103" s="710"/>
      <c r="Z103" s="710"/>
      <c r="AA103" s="710"/>
      <c r="AB103" s="710"/>
      <c r="AC103" s="710"/>
      <c r="AD103" s="710"/>
      <c r="AE103" s="710"/>
    </row>
    <row r="104" ht="14.75" spans="1:31">
      <c r="A104" s="864"/>
      <c r="B104" s="869"/>
      <c r="C104" s="878"/>
      <c r="D104" s="878"/>
      <c r="E104" s="878"/>
      <c r="F104" s="878"/>
      <c r="G104" s="866"/>
      <c r="H104" s="866"/>
      <c r="I104" s="866"/>
      <c r="J104" s="866"/>
      <c r="K104" s="866"/>
      <c r="L104" s="866"/>
      <c r="M104" s="903"/>
      <c r="N104" s="904"/>
      <c r="O104" s="904"/>
      <c r="P104" s="1618"/>
      <c r="Q104" s="843"/>
      <c r="R104" s="710"/>
      <c r="S104" s="710"/>
      <c r="T104" s="710"/>
      <c r="U104" s="710"/>
      <c r="V104" s="710"/>
      <c r="W104" s="710"/>
      <c r="X104" s="710"/>
      <c r="Y104" s="710"/>
      <c r="Z104" s="710"/>
      <c r="AA104" s="710"/>
      <c r="AB104" s="710"/>
      <c r="AC104" s="710"/>
      <c r="AD104" s="710"/>
      <c r="AE104" s="710"/>
    </row>
    <row r="105" s="570" customFormat="1" ht="14.75" spans="1:31">
      <c r="A105" s="895"/>
      <c r="B105" s="896">
        <f>B33</f>
        <v>111</v>
      </c>
      <c r="C105" s="739"/>
      <c r="D105" s="739"/>
      <c r="E105" s="739"/>
      <c r="F105" s="739"/>
      <c r="G105" s="897"/>
      <c r="H105" s="897"/>
      <c r="I105" s="897"/>
      <c r="J105" s="937"/>
      <c r="K105" s="937"/>
      <c r="L105" s="938"/>
      <c r="M105" s="939"/>
      <c r="N105" s="914"/>
      <c r="O105" s="914"/>
      <c r="P105" s="1619"/>
      <c r="Q105" s="947"/>
      <c r="R105" s="948"/>
      <c r="S105" s="948"/>
      <c r="T105" s="948"/>
      <c r="U105" s="948"/>
      <c r="V105" s="948"/>
      <c r="W105" s="948"/>
      <c r="X105" s="948"/>
      <c r="Y105" s="948"/>
      <c r="Z105" s="948"/>
      <c r="AA105" s="948"/>
      <c r="AB105" s="948"/>
      <c r="AC105" s="948"/>
      <c r="AD105" s="948"/>
      <c r="AE105" s="948"/>
    </row>
    <row r="106" s="570" customFormat="1" ht="14.75" spans="1:31">
      <c r="A106" s="875"/>
      <c r="B106" s="870"/>
      <c r="C106" s="883"/>
      <c r="D106" s="883"/>
      <c r="E106" s="883"/>
      <c r="F106" s="883"/>
      <c r="G106" s="1611"/>
      <c r="H106" s="1611"/>
      <c r="I106" s="1611"/>
      <c r="J106" s="1611"/>
      <c r="K106" s="1611"/>
      <c r="L106" s="1611"/>
      <c r="M106" s="1627"/>
      <c r="N106" s="904"/>
      <c r="O106" s="904"/>
      <c r="P106" s="1619"/>
      <c r="Q106" s="947"/>
      <c r="R106" s="948"/>
      <c r="S106" s="948"/>
      <c r="T106" s="948"/>
      <c r="U106" s="948"/>
      <c r="V106" s="948"/>
      <c r="W106" s="948"/>
      <c r="X106" s="948"/>
      <c r="Y106" s="948"/>
      <c r="Z106" s="948"/>
      <c r="AA106" s="948"/>
      <c r="AB106" s="948"/>
      <c r="AC106" s="948"/>
      <c r="AD106" s="948"/>
      <c r="AE106" s="948"/>
    </row>
    <row r="107" spans="1:31">
      <c r="A107" s="741" t="s">
        <v>1198</v>
      </c>
      <c r="B107" s="742" t="s">
        <v>1522</v>
      </c>
      <c r="C107" s="743" t="str">
        <f t="shared" ref="C107:L107" si="25">C108&amp;"(含)"&amp;"-"&amp;D108</f>
        <v>(含)-</v>
      </c>
      <c r="D107" s="743" t="str">
        <f t="shared" si="25"/>
        <v>(含)-</v>
      </c>
      <c r="E107" s="743" t="str">
        <f t="shared" si="25"/>
        <v>(含)-</v>
      </c>
      <c r="F107" s="743" t="str">
        <f t="shared" si="25"/>
        <v>(含)-</v>
      </c>
      <c r="G107" s="743" t="str">
        <f t="shared" si="25"/>
        <v>(含)-</v>
      </c>
      <c r="H107" s="743" t="str">
        <f t="shared" si="25"/>
        <v>(含)-</v>
      </c>
      <c r="I107" s="743" t="str">
        <f t="shared" si="25"/>
        <v>(含)-</v>
      </c>
      <c r="J107" s="743" t="str">
        <f t="shared" si="25"/>
        <v>(含)-</v>
      </c>
      <c r="K107" s="1628" t="str">
        <f t="shared" si="25"/>
        <v>(含)-</v>
      </c>
      <c r="L107" s="1628" t="str">
        <f t="shared" si="25"/>
        <v>(含)-</v>
      </c>
      <c r="M107" s="1629" t="str">
        <f>M108&amp;"(含)"&amp;"-"&amp;P108</f>
        <v>(含)-</v>
      </c>
      <c r="N107" s="810"/>
      <c r="O107" s="810"/>
      <c r="P107" s="1618"/>
      <c r="Q107" s="843"/>
      <c r="R107" s="710"/>
      <c r="S107" s="710"/>
      <c r="T107" s="710"/>
      <c r="U107" s="710"/>
      <c r="V107" s="710"/>
      <c r="W107" s="710"/>
      <c r="X107" s="710"/>
      <c r="Y107" s="710"/>
      <c r="Z107" s="710"/>
      <c r="AA107" s="710"/>
      <c r="AB107" s="710"/>
      <c r="AC107" s="710"/>
      <c r="AD107" s="710"/>
      <c r="AE107" s="710"/>
    </row>
    <row r="108" spans="1:31">
      <c r="A108" s="864"/>
      <c r="B108" s="870"/>
      <c r="C108" s="897"/>
      <c r="D108" s="897"/>
      <c r="E108" s="897"/>
      <c r="F108" s="897"/>
      <c r="G108" s="897"/>
      <c r="H108" s="897"/>
      <c r="I108" s="897"/>
      <c r="J108" s="937"/>
      <c r="K108" s="937"/>
      <c r="L108" s="938"/>
      <c r="M108" s="939"/>
      <c r="N108" s="810"/>
      <c r="O108" s="810"/>
      <c r="P108" s="1618"/>
      <c r="Q108" s="843"/>
      <c r="R108" s="710"/>
      <c r="S108" s="710"/>
      <c r="T108" s="710"/>
      <c r="U108" s="710"/>
      <c r="V108" s="710"/>
      <c r="W108" s="710"/>
      <c r="X108" s="710"/>
      <c r="Y108" s="710"/>
      <c r="Z108" s="710"/>
      <c r="AA108" s="710"/>
      <c r="AB108" s="710"/>
      <c r="AC108" s="710"/>
      <c r="AD108" s="710"/>
      <c r="AE108" s="710"/>
    </row>
    <row r="109" ht="14.75" spans="1:31">
      <c r="A109" s="864"/>
      <c r="B109" s="869"/>
      <c r="C109" s="883"/>
      <c r="D109" s="894"/>
      <c r="E109" s="894"/>
      <c r="F109" s="894"/>
      <c r="G109" s="894"/>
      <c r="H109" s="894"/>
      <c r="I109" s="894"/>
      <c r="J109" s="894"/>
      <c r="K109" s="894"/>
      <c r="L109" s="894"/>
      <c r="M109" s="935"/>
      <c r="N109" s="904"/>
      <c r="O109" s="904"/>
      <c r="P109" s="1618"/>
      <c r="Q109" s="843"/>
      <c r="R109" s="710"/>
      <c r="S109" s="710"/>
      <c r="T109" s="710"/>
      <c r="U109" s="710"/>
      <c r="V109" s="710"/>
      <c r="W109" s="710"/>
      <c r="X109" s="710"/>
      <c r="Y109" s="710"/>
      <c r="Z109" s="710"/>
      <c r="AA109" s="710"/>
      <c r="AB109" s="710"/>
      <c r="AC109" s="710"/>
      <c r="AD109" s="710"/>
      <c r="AE109" s="710"/>
    </row>
    <row r="110" ht="14.75" spans="1:31">
      <c r="A110" s="898"/>
      <c r="B110" s="867" t="s">
        <v>1523</v>
      </c>
      <c r="C110" s="868"/>
      <c r="D110" s="868"/>
      <c r="E110" s="868"/>
      <c r="F110" s="868"/>
      <c r="G110" s="868"/>
      <c r="H110" s="868"/>
      <c r="I110" s="868"/>
      <c r="J110" s="868"/>
      <c r="K110" s="905"/>
      <c r="L110" s="906"/>
      <c r="M110" s="907"/>
      <c r="N110" s="810"/>
      <c r="O110" s="810"/>
      <c r="P110" s="1618"/>
      <c r="Q110" s="843"/>
      <c r="R110" s="710"/>
      <c r="S110" s="710"/>
      <c r="T110" s="710"/>
      <c r="U110" s="710"/>
      <c r="V110" s="710"/>
      <c r="W110" s="710"/>
      <c r="X110" s="710"/>
      <c r="Y110" s="710"/>
      <c r="Z110" s="710"/>
      <c r="AA110" s="710"/>
      <c r="AB110" s="710"/>
      <c r="AC110" s="710"/>
      <c r="AD110" s="710"/>
      <c r="AE110" s="710"/>
    </row>
    <row r="111" ht="14.75" spans="1:31">
      <c r="A111" s="864"/>
      <c r="B111" s="869"/>
      <c r="C111" s="874">
        <v>100</v>
      </c>
      <c r="D111" s="874">
        <f t="shared" ref="D111:M111" si="26">C111-$K35</f>
        <v>100</v>
      </c>
      <c r="E111" s="874">
        <f t="shared" si="26"/>
        <v>100</v>
      </c>
      <c r="F111" s="874">
        <f t="shared" si="26"/>
        <v>100</v>
      </c>
      <c r="G111" s="874">
        <f t="shared" si="26"/>
        <v>100</v>
      </c>
      <c r="H111" s="874">
        <f t="shared" si="26"/>
        <v>100</v>
      </c>
      <c r="I111" s="874">
        <f t="shared" si="26"/>
        <v>100</v>
      </c>
      <c r="J111" s="874">
        <f t="shared" si="26"/>
        <v>100</v>
      </c>
      <c r="K111" s="874">
        <f t="shared" si="26"/>
        <v>100</v>
      </c>
      <c r="L111" s="874">
        <f t="shared" si="26"/>
        <v>100</v>
      </c>
      <c r="M111" s="911">
        <f t="shared" si="26"/>
        <v>100</v>
      </c>
      <c r="N111" s="904"/>
      <c r="O111" s="904"/>
      <c r="P111" s="1618"/>
      <c r="Q111" s="843"/>
      <c r="R111" s="710"/>
      <c r="S111" s="710"/>
      <c r="T111" s="710"/>
      <c r="U111" s="710"/>
      <c r="V111" s="710"/>
      <c r="W111" s="710"/>
      <c r="X111" s="710"/>
      <c r="Y111" s="710"/>
      <c r="Z111" s="710"/>
      <c r="AA111" s="710"/>
      <c r="AB111" s="710"/>
      <c r="AC111" s="710"/>
      <c r="AD111" s="710"/>
      <c r="AE111" s="710"/>
    </row>
    <row r="112" s="570" customFormat="1" ht="14.75" spans="1:31">
      <c r="A112" s="895"/>
      <c r="B112" s="867" t="s">
        <v>1527</v>
      </c>
      <c r="C112" s="876"/>
      <c r="D112" s="876"/>
      <c r="E112" s="876"/>
      <c r="F112" s="876"/>
      <c r="G112" s="876"/>
      <c r="H112" s="868"/>
      <c r="I112" s="868"/>
      <c r="J112" s="868"/>
      <c r="K112" s="905"/>
      <c r="L112" s="906"/>
      <c r="M112" s="907"/>
      <c r="N112" s="914"/>
      <c r="O112" s="914"/>
      <c r="P112" s="1619"/>
      <c r="Q112" s="947"/>
      <c r="R112" s="948"/>
      <c r="S112" s="948"/>
      <c r="T112" s="948"/>
      <c r="U112" s="948"/>
      <c r="V112" s="948"/>
      <c r="W112" s="948"/>
      <c r="X112" s="948"/>
      <c r="Y112" s="948"/>
      <c r="Z112" s="948"/>
      <c r="AA112" s="948"/>
      <c r="AB112" s="948"/>
      <c r="AC112" s="948"/>
      <c r="AD112" s="948"/>
      <c r="AE112" s="948"/>
    </row>
    <row r="113" s="570" customFormat="1" ht="14.75" spans="1:31">
      <c r="A113" s="875"/>
      <c r="B113" s="869"/>
      <c r="C113" s="874">
        <v>100</v>
      </c>
      <c r="D113" s="874">
        <f t="shared" ref="D113:M113" si="27">C113-$K36</f>
        <v>100</v>
      </c>
      <c r="E113" s="874">
        <f t="shared" si="27"/>
        <v>100</v>
      </c>
      <c r="F113" s="874">
        <f t="shared" si="27"/>
        <v>100</v>
      </c>
      <c r="G113" s="874">
        <f t="shared" si="27"/>
        <v>100</v>
      </c>
      <c r="H113" s="874">
        <f t="shared" si="27"/>
        <v>100</v>
      </c>
      <c r="I113" s="874">
        <f t="shared" si="27"/>
        <v>100</v>
      </c>
      <c r="J113" s="874">
        <f t="shared" si="27"/>
        <v>100</v>
      </c>
      <c r="K113" s="874">
        <f t="shared" si="27"/>
        <v>100</v>
      </c>
      <c r="L113" s="874">
        <f t="shared" si="27"/>
        <v>100</v>
      </c>
      <c r="M113" s="911">
        <f t="shared" si="27"/>
        <v>100</v>
      </c>
      <c r="N113" s="914"/>
      <c r="O113" s="914"/>
      <c r="P113" s="1619"/>
      <c r="Q113" s="947"/>
      <c r="R113" s="948"/>
      <c r="S113" s="948"/>
      <c r="T113" s="948"/>
      <c r="U113" s="948"/>
      <c r="V113" s="948"/>
      <c r="W113" s="948"/>
      <c r="X113" s="948"/>
      <c r="Y113" s="948"/>
      <c r="Z113" s="948"/>
      <c r="AA113" s="948"/>
      <c r="AB113" s="948"/>
      <c r="AC113" s="948"/>
      <c r="AD113" s="948"/>
      <c r="AE113" s="948"/>
    </row>
    <row r="114" ht="14.75" spans="1:31">
      <c r="A114" s="898"/>
      <c r="B114" s="867" t="s">
        <v>1528</v>
      </c>
      <c r="C114" s="876"/>
      <c r="D114" s="876"/>
      <c r="E114" s="868"/>
      <c r="F114" s="868"/>
      <c r="G114" s="868"/>
      <c r="H114" s="868"/>
      <c r="I114" s="868"/>
      <c r="J114" s="868"/>
      <c r="K114" s="905"/>
      <c r="L114" s="906"/>
      <c r="M114" s="907"/>
      <c r="N114" s="810"/>
      <c r="O114" s="810"/>
      <c r="P114" s="1618"/>
      <c r="Q114" s="843"/>
      <c r="R114" s="710"/>
      <c r="S114" s="710"/>
      <c r="T114" s="710"/>
      <c r="U114" s="710"/>
      <c r="V114" s="710"/>
      <c r="W114" s="710"/>
      <c r="X114" s="710"/>
      <c r="Y114" s="710"/>
      <c r="Z114" s="710"/>
      <c r="AA114" s="710"/>
      <c r="AB114" s="710"/>
      <c r="AC114" s="710"/>
      <c r="AD114" s="710"/>
      <c r="AE114" s="710"/>
    </row>
    <row r="115" ht="14.75" spans="1:31">
      <c r="A115" s="864"/>
      <c r="B115" s="869"/>
      <c r="C115" s="874">
        <v>100</v>
      </c>
      <c r="D115" s="874">
        <f t="shared" ref="D115:M115" si="28">C115-$K37</f>
        <v>100</v>
      </c>
      <c r="E115" s="874">
        <f t="shared" si="28"/>
        <v>100</v>
      </c>
      <c r="F115" s="874">
        <f t="shared" si="28"/>
        <v>100</v>
      </c>
      <c r="G115" s="874">
        <f t="shared" si="28"/>
        <v>100</v>
      </c>
      <c r="H115" s="874">
        <f t="shared" si="28"/>
        <v>100</v>
      </c>
      <c r="I115" s="874">
        <f t="shared" si="28"/>
        <v>100</v>
      </c>
      <c r="J115" s="874">
        <f t="shared" si="28"/>
        <v>100</v>
      </c>
      <c r="K115" s="874">
        <f t="shared" si="28"/>
        <v>100</v>
      </c>
      <c r="L115" s="874">
        <f t="shared" si="28"/>
        <v>100</v>
      </c>
      <c r="M115" s="911">
        <f t="shared" si="28"/>
        <v>100</v>
      </c>
      <c r="N115" s="904"/>
      <c r="O115" s="904"/>
      <c r="P115" s="1618"/>
      <c r="Q115" s="843"/>
      <c r="R115" s="710"/>
      <c r="S115" s="710"/>
      <c r="T115" s="710"/>
      <c r="U115" s="710"/>
      <c r="V115" s="710"/>
      <c r="W115" s="710"/>
      <c r="X115" s="710"/>
      <c r="Y115" s="710"/>
      <c r="Z115" s="710"/>
      <c r="AA115" s="710"/>
      <c r="AB115" s="710"/>
      <c r="AC115" s="710"/>
      <c r="AD115" s="710"/>
      <c r="AE115" s="710"/>
    </row>
    <row r="116" ht="14.75" spans="1:31">
      <c r="A116" s="898"/>
      <c r="B116" s="867">
        <f>B38</f>
        <v>111</v>
      </c>
      <c r="C116" s="876"/>
      <c r="D116" s="876"/>
      <c r="E116" s="876"/>
      <c r="F116" s="876"/>
      <c r="G116" s="876"/>
      <c r="H116" s="868"/>
      <c r="I116" s="868"/>
      <c r="J116" s="868"/>
      <c r="K116" s="905"/>
      <c r="L116" s="906"/>
      <c r="M116" s="907"/>
      <c r="N116" s="810"/>
      <c r="O116" s="810"/>
      <c r="P116" s="1618"/>
      <c r="Q116" s="843"/>
      <c r="R116" s="710"/>
      <c r="S116" s="710"/>
      <c r="T116" s="710"/>
      <c r="U116" s="710"/>
      <c r="V116" s="710"/>
      <c r="W116" s="710"/>
      <c r="X116" s="710"/>
      <c r="Y116" s="710"/>
      <c r="Z116" s="710"/>
      <c r="AA116" s="710"/>
      <c r="AB116" s="710"/>
      <c r="AC116" s="710"/>
      <c r="AD116" s="710"/>
      <c r="AE116" s="710"/>
    </row>
    <row r="117" ht="14.75" spans="1:31">
      <c r="A117" s="864"/>
      <c r="B117" s="869"/>
      <c r="C117" s="878"/>
      <c r="D117" s="866"/>
      <c r="E117" s="866"/>
      <c r="F117" s="866"/>
      <c r="G117" s="866"/>
      <c r="H117" s="866"/>
      <c r="I117" s="866"/>
      <c r="J117" s="866"/>
      <c r="K117" s="866"/>
      <c r="L117" s="866"/>
      <c r="M117" s="903"/>
      <c r="N117" s="904"/>
      <c r="O117" s="904"/>
      <c r="P117" s="1618"/>
      <c r="Q117" s="843"/>
      <c r="R117" s="710"/>
      <c r="S117" s="710"/>
      <c r="T117" s="710"/>
      <c r="U117" s="710"/>
      <c r="V117" s="710"/>
      <c r="W117" s="710"/>
      <c r="X117" s="710"/>
      <c r="Y117" s="710"/>
      <c r="Z117" s="710"/>
      <c r="AA117" s="710"/>
      <c r="AB117" s="710"/>
      <c r="AC117" s="710"/>
      <c r="AD117" s="710"/>
      <c r="AE117" s="710"/>
    </row>
    <row r="118" ht="14.75" spans="1:31">
      <c r="A118" s="898"/>
      <c r="B118" s="867">
        <f>B39</f>
        <v>111</v>
      </c>
      <c r="C118" s="876"/>
      <c r="D118" s="876"/>
      <c r="E118" s="876"/>
      <c r="F118" s="876"/>
      <c r="G118" s="868"/>
      <c r="H118" s="868"/>
      <c r="I118" s="868"/>
      <c r="J118" s="868"/>
      <c r="K118" s="905"/>
      <c r="L118" s="906"/>
      <c r="M118" s="907"/>
      <c r="N118" s="810"/>
      <c r="O118" s="810"/>
      <c r="P118" s="1618"/>
      <c r="Q118" s="843"/>
      <c r="R118" s="710"/>
      <c r="S118" s="710"/>
      <c r="T118" s="710"/>
      <c r="U118" s="710"/>
      <c r="V118" s="710"/>
      <c r="W118" s="710"/>
      <c r="X118" s="710"/>
      <c r="Y118" s="710"/>
      <c r="Z118" s="710"/>
      <c r="AA118" s="710"/>
      <c r="AB118" s="710"/>
      <c r="AC118" s="710"/>
      <c r="AD118" s="710"/>
      <c r="AE118" s="710"/>
    </row>
    <row r="119" ht="14.75" spans="1:31">
      <c r="A119" s="864"/>
      <c r="B119" s="869"/>
      <c r="C119" s="878"/>
      <c r="D119" s="878"/>
      <c r="E119" s="878"/>
      <c r="F119" s="878"/>
      <c r="G119" s="866"/>
      <c r="H119" s="866"/>
      <c r="I119" s="866"/>
      <c r="J119" s="866"/>
      <c r="K119" s="866"/>
      <c r="L119" s="866"/>
      <c r="M119" s="903"/>
      <c r="N119" s="904"/>
      <c r="O119" s="904"/>
      <c r="P119" s="1618"/>
      <c r="Q119" s="843"/>
      <c r="R119" s="710"/>
      <c r="S119" s="710"/>
      <c r="T119" s="710"/>
      <c r="U119" s="710"/>
      <c r="V119" s="710"/>
      <c r="W119" s="710"/>
      <c r="X119" s="710"/>
      <c r="Y119" s="710"/>
      <c r="Z119" s="710"/>
      <c r="AA119" s="710"/>
      <c r="AB119" s="710"/>
      <c r="AC119" s="710"/>
      <c r="AD119" s="710"/>
      <c r="AE119" s="710"/>
    </row>
    <row r="120" s="570" customFormat="1" ht="14.75" spans="1:31">
      <c r="A120" s="895"/>
      <c r="B120" s="867">
        <f>B40</f>
        <v>111</v>
      </c>
      <c r="C120" s="739"/>
      <c r="D120" s="739"/>
      <c r="E120" s="739"/>
      <c r="F120" s="739"/>
      <c r="G120" s="877"/>
      <c r="H120" s="877"/>
      <c r="I120" s="877"/>
      <c r="J120" s="877"/>
      <c r="K120" s="877"/>
      <c r="L120" s="912"/>
      <c r="M120" s="913"/>
      <c r="N120" s="914"/>
      <c r="O120" s="914"/>
      <c r="P120" s="1619"/>
      <c r="Q120" s="947"/>
      <c r="R120" s="948"/>
      <c r="S120" s="948"/>
      <c r="T120" s="948"/>
      <c r="U120" s="948"/>
      <c r="V120" s="948"/>
      <c r="W120" s="948"/>
      <c r="X120" s="948"/>
      <c r="Y120" s="948"/>
      <c r="Z120" s="948"/>
      <c r="AA120" s="948"/>
      <c r="AB120" s="948"/>
      <c r="AC120" s="948"/>
      <c r="AD120" s="948"/>
      <c r="AE120" s="948"/>
    </row>
    <row r="121" s="570" customFormat="1" ht="14.75" spans="1:31">
      <c r="A121" s="881"/>
      <c r="B121" s="1612"/>
      <c r="C121" s="883"/>
      <c r="D121" s="883"/>
      <c r="E121" s="883"/>
      <c r="F121" s="883"/>
      <c r="G121" s="894"/>
      <c r="H121" s="894"/>
      <c r="I121" s="894"/>
      <c r="J121" s="894"/>
      <c r="K121" s="894"/>
      <c r="L121" s="894"/>
      <c r="M121" s="935"/>
      <c r="N121" s="914"/>
      <c r="O121" s="914"/>
      <c r="P121" s="1619"/>
      <c r="Q121" s="947"/>
      <c r="R121" s="948"/>
      <c r="S121" s="948"/>
      <c r="T121" s="948"/>
      <c r="U121" s="948"/>
      <c r="V121" s="948"/>
      <c r="W121" s="948"/>
      <c r="X121" s="948"/>
      <c r="Y121" s="948"/>
      <c r="Z121" s="948"/>
      <c r="AA121" s="948"/>
      <c r="AB121" s="948"/>
      <c r="AC121" s="948"/>
      <c r="AD121" s="948"/>
      <c r="AE121" s="948"/>
    </row>
    <row r="122" spans="14:31">
      <c r="N122" s="710"/>
      <c r="O122" s="710"/>
      <c r="P122" s="710"/>
      <c r="Q122" s="710"/>
      <c r="R122" s="710"/>
      <c r="S122" s="710"/>
      <c r="T122" s="710"/>
      <c r="U122" s="710"/>
      <c r="V122" s="710"/>
      <c r="W122" s="710"/>
      <c r="X122" s="710"/>
      <c r="Y122" s="710"/>
      <c r="Z122" s="710"/>
      <c r="AA122" s="710"/>
      <c r="AB122" s="710"/>
      <c r="AC122" s="710"/>
      <c r="AD122" s="710"/>
      <c r="AE122" s="710"/>
    </row>
    <row r="123" spans="16:31">
      <c r="P123" s="710"/>
      <c r="Q123" s="710"/>
      <c r="R123" s="710"/>
      <c r="S123" s="710"/>
      <c r="T123" s="710"/>
      <c r="U123" s="710"/>
      <c r="V123" s="710"/>
      <c r="W123" s="710"/>
      <c r="X123" s="710"/>
      <c r="Y123" s="710"/>
      <c r="Z123" s="710"/>
      <c r="AA123" s="710"/>
      <c r="AB123" s="710"/>
      <c r="AC123" s="710"/>
      <c r="AD123" s="710"/>
      <c r="AE123" s="71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U29" sqref="U29"/>
    </sheetView>
  </sheetViews>
  <sheetFormatPr defaultColWidth="9" defaultRowHeight="12.5"/>
  <cols>
    <col min="1" max="1" width="11.5" style="1370" customWidth="1"/>
    <col min="2" max="2" width="9.25454545454545" style="1371" customWidth="1"/>
    <col min="3" max="3" width="5" style="1371" customWidth="1"/>
    <col min="4" max="4" width="9" style="1371"/>
    <col min="5" max="5" width="5" style="1371" customWidth="1"/>
    <col min="6" max="6" width="9" style="1371"/>
    <col min="7" max="7" width="5" style="1371" customWidth="1"/>
    <col min="8" max="8" width="9" style="1371"/>
    <col min="9" max="9" width="5" style="1371" customWidth="1"/>
    <col min="10" max="10" width="9" style="1371"/>
    <col min="11" max="11" width="5" style="1371" customWidth="1"/>
    <col min="12" max="12" width="9" style="1371"/>
    <col min="13" max="13" width="5" style="1371" customWidth="1"/>
    <col min="14" max="14" width="9" style="1371"/>
    <col min="15" max="15" width="5" style="1371" customWidth="1"/>
    <col min="16" max="16" width="9" style="1371"/>
    <col min="17" max="17" width="5" style="1371" customWidth="1"/>
    <col min="18" max="18" width="9" style="1372"/>
    <col min="19" max="19" width="9" style="1370"/>
    <col min="20" max="45" width="9" style="1373"/>
    <col min="46" max="16384" width="9" style="1370"/>
  </cols>
  <sheetData>
    <row r="1" ht="14.25" customHeight="1" spans="1:20">
      <c r="A1" s="1374"/>
      <c r="B1" s="1375" t="s">
        <v>1681</v>
      </c>
      <c r="C1" s="1376" t="s">
        <v>1682</v>
      </c>
      <c r="D1" s="1377"/>
      <c r="E1" s="1377"/>
      <c r="F1" s="1377"/>
      <c r="G1" s="1377"/>
      <c r="H1" s="1377"/>
      <c r="I1" s="1377"/>
      <c r="J1" s="1377"/>
      <c r="K1" s="1377"/>
      <c r="L1" s="1377"/>
      <c r="M1" s="1377"/>
      <c r="N1" s="1377"/>
      <c r="O1" s="1377"/>
      <c r="P1" s="1377"/>
      <c r="Q1" s="1377"/>
      <c r="R1" s="1377"/>
      <c r="S1" s="1459"/>
      <c r="T1" s="1375" t="s">
        <v>1683</v>
      </c>
    </row>
    <row r="2" s="1365" customFormat="1" ht="25.5" spans="1:45">
      <c r="A2" s="1378"/>
      <c r="B2" s="1379" t="s">
        <v>456</v>
      </c>
      <c r="C2" s="1380" t="str">
        <f t="shared" ref="C2:L2" si="0">C3&amp;"(含)"&amp;"-"&amp;D3</f>
        <v>0(含)-</v>
      </c>
      <c r="D2" s="1381" t="str">
        <f t="shared" si="0"/>
        <v>(含)-</v>
      </c>
      <c r="E2" s="1381" t="str">
        <f t="shared" si="0"/>
        <v>(含)-</v>
      </c>
      <c r="F2" s="1381" t="str">
        <f t="shared" si="0"/>
        <v>(含)-</v>
      </c>
      <c r="G2" s="1381" t="str">
        <f t="shared" si="0"/>
        <v>(含)-</v>
      </c>
      <c r="H2" s="1381" t="str">
        <f t="shared" si="0"/>
        <v>(含)-</v>
      </c>
      <c r="I2" s="1381" t="str">
        <f t="shared" si="0"/>
        <v>(含)-</v>
      </c>
      <c r="J2" s="1381" t="str">
        <f t="shared" si="0"/>
        <v>(含)-</v>
      </c>
      <c r="K2" s="1381" t="str">
        <f t="shared" si="0"/>
        <v>(含)-</v>
      </c>
      <c r="L2" s="1381" t="str">
        <f t="shared" si="0"/>
        <v>(含)-</v>
      </c>
      <c r="M2" s="1381" t="str">
        <f t="shared" ref="M2" si="1">M3&amp;"(含)"&amp;"-"&amp;N3</f>
        <v>(含)-</v>
      </c>
      <c r="N2" s="1381" t="str">
        <f t="shared" ref="N2" si="2">N3&amp;"(含)"&amp;"-"&amp;O3</f>
        <v>(含)-</v>
      </c>
      <c r="O2" s="1381" t="str">
        <f t="shared" ref="O2" si="3">O3&amp;"(含)"&amp;"-"&amp;P3</f>
        <v>(含)-</v>
      </c>
      <c r="P2" s="1381" t="str">
        <f t="shared" ref="P2" si="4">P3&amp;"(含)"&amp;"-"&amp;Q3</f>
        <v>(含)-</v>
      </c>
      <c r="Q2" s="1381" t="str">
        <f t="shared" ref="Q2" si="5">Q3&amp;"(含)"&amp;"-"&amp;R3</f>
        <v>(含)-</v>
      </c>
      <c r="R2" s="1381" t="str">
        <f t="shared" ref="R2" si="6">R3&amp;"(含)"&amp;"-"&amp;S3</f>
        <v>(含)-</v>
      </c>
      <c r="S2" s="1460" t="str">
        <f>S3&amp;"(含)"&amp;"-"</f>
        <v>(含)-</v>
      </c>
      <c r="T2" s="1461"/>
      <c r="U2" s="1462"/>
      <c r="V2" s="1462"/>
      <c r="W2" s="1462"/>
      <c r="X2" s="1462"/>
      <c r="Y2" s="1462"/>
      <c r="Z2" s="1462"/>
      <c r="AA2" s="1462"/>
      <c r="AB2" s="1462"/>
      <c r="AC2" s="1462"/>
      <c r="AD2" s="1462"/>
      <c r="AE2" s="1462"/>
      <c r="AF2" s="1462"/>
      <c r="AG2" s="1462"/>
      <c r="AH2" s="1462"/>
      <c r="AI2" s="1462"/>
      <c r="AJ2" s="1462"/>
      <c r="AK2" s="1462"/>
      <c r="AL2" s="1462"/>
      <c r="AM2" s="1462"/>
      <c r="AN2" s="1462"/>
      <c r="AO2" s="1462"/>
      <c r="AP2" s="1462"/>
      <c r="AQ2" s="1462"/>
      <c r="AR2" s="1462"/>
      <c r="AS2" s="1462"/>
    </row>
    <row r="3" s="1366" customFormat="1" ht="13" spans="1:45">
      <c r="A3" s="1382"/>
      <c r="B3" s="1383"/>
      <c r="C3" s="1384">
        <v>0</v>
      </c>
      <c r="D3" s="1385"/>
      <c r="E3" s="1385"/>
      <c r="F3" s="1386"/>
      <c r="G3" s="1386"/>
      <c r="H3" s="1386"/>
      <c r="I3" s="1386"/>
      <c r="J3" s="1386"/>
      <c r="K3" s="1386"/>
      <c r="L3" s="1309"/>
      <c r="M3" s="1438"/>
      <c r="N3" s="1438"/>
      <c r="O3" s="1386"/>
      <c r="P3" s="1386"/>
      <c r="Q3" s="1386"/>
      <c r="R3" s="1386"/>
      <c r="S3" s="1463"/>
      <c r="T3" s="1464"/>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row>
    <row r="4" s="1366" customFormat="1" ht="13.75" spans="1:45">
      <c r="A4" s="1387"/>
      <c r="B4" s="1388"/>
      <c r="C4" s="1389"/>
      <c r="D4" s="1390"/>
      <c r="E4" s="1390"/>
      <c r="F4" s="1391"/>
      <c r="G4" s="1391"/>
      <c r="H4" s="1391"/>
      <c r="I4" s="1391"/>
      <c r="J4" s="1391"/>
      <c r="K4" s="1391"/>
      <c r="L4" s="1391"/>
      <c r="M4" s="1439"/>
      <c r="N4" s="1439"/>
      <c r="O4" s="1391"/>
      <c r="P4" s="1391"/>
      <c r="Q4" s="1391"/>
      <c r="R4" s="1391"/>
      <c r="S4" s="1466"/>
      <c r="T4" s="1467"/>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row>
    <row r="5" s="1367" customFormat="1" ht="13" spans="1:45">
      <c r="A5" s="1392"/>
      <c r="B5" s="1393" t="s">
        <v>1684</v>
      </c>
      <c r="C5" s="1394"/>
      <c r="D5" s="1395"/>
      <c r="E5" s="1395"/>
      <c r="F5" s="1396"/>
      <c r="G5" s="1396"/>
      <c r="H5" s="1396"/>
      <c r="I5" s="1396"/>
      <c r="J5" s="1396"/>
      <c r="K5" s="1396"/>
      <c r="L5" s="1440"/>
      <c r="M5" s="1441"/>
      <c r="N5" s="1441"/>
      <c r="O5" s="1396"/>
      <c r="P5" s="1396"/>
      <c r="Q5" s="1396"/>
      <c r="R5" s="1396"/>
      <c r="S5" s="1468"/>
      <c r="T5" s="1469"/>
      <c r="U5" s="1470"/>
      <c r="V5" s="1470"/>
      <c r="W5" s="1470"/>
      <c r="X5" s="1470"/>
      <c r="Y5" s="1470"/>
      <c r="Z5" s="1470"/>
      <c r="AA5" s="1470"/>
      <c r="AB5" s="1470"/>
      <c r="AC5" s="1470"/>
      <c r="AD5" s="1470"/>
      <c r="AE5" s="1470"/>
      <c r="AF5" s="1470"/>
      <c r="AG5" s="1470"/>
      <c r="AH5" s="1470"/>
      <c r="AI5" s="1470"/>
      <c r="AJ5" s="1470"/>
      <c r="AK5" s="1470"/>
      <c r="AL5" s="1470"/>
      <c r="AM5" s="1470"/>
      <c r="AN5" s="1470"/>
      <c r="AO5" s="1470"/>
      <c r="AP5" s="1470"/>
      <c r="AQ5" s="1470"/>
      <c r="AR5" s="1470"/>
      <c r="AS5" s="1470"/>
    </row>
    <row r="6" s="1367" customFormat="1" ht="13.75" spans="1:45">
      <c r="A6" s="1392"/>
      <c r="B6" s="1397"/>
      <c r="C6" s="1398">
        <v>100</v>
      </c>
      <c r="D6" s="1399">
        <f>C6-$T5</f>
        <v>100</v>
      </c>
      <c r="E6" s="1399">
        <f t="shared" ref="E6:S6" si="7">D6-$T5</f>
        <v>100</v>
      </c>
      <c r="F6" s="1400">
        <f t="shared" si="7"/>
        <v>100</v>
      </c>
      <c r="G6" s="1400">
        <f t="shared" si="7"/>
        <v>100</v>
      </c>
      <c r="H6" s="1400">
        <f t="shared" si="7"/>
        <v>100</v>
      </c>
      <c r="I6" s="1400">
        <f t="shared" si="7"/>
        <v>100</v>
      </c>
      <c r="J6" s="1400">
        <f t="shared" si="7"/>
        <v>100</v>
      </c>
      <c r="K6" s="1400">
        <f t="shared" si="7"/>
        <v>100</v>
      </c>
      <c r="L6" s="1400">
        <f t="shared" si="7"/>
        <v>100</v>
      </c>
      <c r="M6" s="1400">
        <f t="shared" si="7"/>
        <v>100</v>
      </c>
      <c r="N6" s="1400">
        <f t="shared" si="7"/>
        <v>100</v>
      </c>
      <c r="O6" s="1400">
        <f t="shared" si="7"/>
        <v>100</v>
      </c>
      <c r="P6" s="1400">
        <f t="shared" si="7"/>
        <v>100</v>
      </c>
      <c r="Q6" s="1400">
        <f t="shared" si="7"/>
        <v>100</v>
      </c>
      <c r="R6" s="1400">
        <f t="shared" si="7"/>
        <v>100</v>
      </c>
      <c r="S6" s="1400">
        <f t="shared" si="7"/>
        <v>100</v>
      </c>
      <c r="T6" s="1471"/>
      <c r="U6" s="1470"/>
      <c r="V6" s="1470"/>
      <c r="W6" s="1470"/>
      <c r="X6" s="1470"/>
      <c r="Y6" s="1470"/>
      <c r="Z6" s="1470"/>
      <c r="AA6" s="1470"/>
      <c r="AB6" s="1470"/>
      <c r="AC6" s="1470"/>
      <c r="AD6" s="1470"/>
      <c r="AE6" s="1470"/>
      <c r="AF6" s="1470"/>
      <c r="AG6" s="1470"/>
      <c r="AH6" s="1470"/>
      <c r="AI6" s="1470"/>
      <c r="AJ6" s="1470"/>
      <c r="AK6" s="1470"/>
      <c r="AL6" s="1470"/>
      <c r="AM6" s="1470"/>
      <c r="AN6" s="1470"/>
      <c r="AO6" s="1470"/>
      <c r="AP6" s="1470"/>
      <c r="AQ6" s="1470"/>
      <c r="AR6" s="1470"/>
      <c r="AS6" s="1470"/>
    </row>
    <row r="7" s="1367" customFormat="1" ht="13" spans="1:45">
      <c r="A7" s="1392"/>
      <c r="B7" s="1401" t="s">
        <v>1685</v>
      </c>
      <c r="C7" s="1402"/>
      <c r="D7" s="1403"/>
      <c r="E7" s="1403"/>
      <c r="F7" s="1404"/>
      <c r="G7" s="1404"/>
      <c r="H7" s="1404"/>
      <c r="I7" s="1404"/>
      <c r="J7" s="1404"/>
      <c r="K7" s="1404"/>
      <c r="L7" s="1404"/>
      <c r="M7" s="1442"/>
      <c r="N7" s="1443"/>
      <c r="O7" s="1444"/>
      <c r="P7" s="1445"/>
      <c r="Q7" s="1472"/>
      <c r="R7" s="1473"/>
      <c r="S7" s="1474"/>
      <c r="T7" s="1475"/>
      <c r="U7" s="1470"/>
      <c r="V7" s="1470"/>
      <c r="W7" s="1470"/>
      <c r="X7" s="1470"/>
      <c r="Y7" s="1470"/>
      <c r="Z7" s="1470"/>
      <c r="AA7" s="1470"/>
      <c r="AB7" s="1470"/>
      <c r="AC7" s="1470"/>
      <c r="AD7" s="1470"/>
      <c r="AE7" s="1470"/>
      <c r="AF7" s="1470"/>
      <c r="AG7" s="1470"/>
      <c r="AH7" s="1470"/>
      <c r="AI7" s="1470"/>
      <c r="AJ7" s="1470"/>
      <c r="AK7" s="1470"/>
      <c r="AL7" s="1470"/>
      <c r="AM7" s="1470"/>
      <c r="AN7" s="1470"/>
      <c r="AO7" s="1470"/>
      <c r="AP7" s="1470"/>
      <c r="AQ7" s="1470"/>
      <c r="AR7" s="1470"/>
      <c r="AS7" s="1470"/>
    </row>
    <row r="8" s="1367" customFormat="1" ht="13.75" spans="1:45">
      <c r="A8" s="1392"/>
      <c r="B8" s="1397"/>
      <c r="C8" s="1398">
        <v>100</v>
      </c>
      <c r="D8" s="1399">
        <f>C8-$T7</f>
        <v>100</v>
      </c>
      <c r="E8" s="1399">
        <f t="shared" ref="E8:S8" si="8">D8-$T7</f>
        <v>100</v>
      </c>
      <c r="F8" s="1400">
        <f t="shared" si="8"/>
        <v>100</v>
      </c>
      <c r="G8" s="1400">
        <f t="shared" si="8"/>
        <v>100</v>
      </c>
      <c r="H8" s="1400">
        <f t="shared" si="8"/>
        <v>100</v>
      </c>
      <c r="I8" s="1400">
        <f t="shared" si="8"/>
        <v>100</v>
      </c>
      <c r="J8" s="1400">
        <f t="shared" si="8"/>
        <v>100</v>
      </c>
      <c r="K8" s="1400">
        <f t="shared" si="8"/>
        <v>100</v>
      </c>
      <c r="L8" s="1400">
        <f t="shared" si="8"/>
        <v>100</v>
      </c>
      <c r="M8" s="1400">
        <f t="shared" si="8"/>
        <v>100</v>
      </c>
      <c r="N8" s="1400">
        <f t="shared" si="8"/>
        <v>100</v>
      </c>
      <c r="O8" s="1400">
        <f t="shared" si="8"/>
        <v>100</v>
      </c>
      <c r="P8" s="1400">
        <f t="shared" si="8"/>
        <v>100</v>
      </c>
      <c r="Q8" s="1400">
        <f t="shared" si="8"/>
        <v>100</v>
      </c>
      <c r="R8" s="1400">
        <f t="shared" si="8"/>
        <v>100</v>
      </c>
      <c r="S8" s="1400">
        <f t="shared" si="8"/>
        <v>100</v>
      </c>
      <c r="T8" s="1471"/>
      <c r="U8" s="1470"/>
      <c r="V8" s="1470"/>
      <c r="W8" s="1470"/>
      <c r="X8" s="1470"/>
      <c r="Y8" s="1470"/>
      <c r="Z8" s="1470"/>
      <c r="AA8" s="1470"/>
      <c r="AB8" s="1470"/>
      <c r="AC8" s="1470"/>
      <c r="AD8" s="1470"/>
      <c r="AE8" s="1470"/>
      <c r="AF8" s="1470"/>
      <c r="AG8" s="1470"/>
      <c r="AH8" s="1470"/>
      <c r="AI8" s="1470"/>
      <c r="AJ8" s="1470"/>
      <c r="AK8" s="1470"/>
      <c r="AL8" s="1470"/>
      <c r="AM8" s="1470"/>
      <c r="AN8" s="1470"/>
      <c r="AO8" s="1470"/>
      <c r="AP8" s="1470"/>
      <c r="AQ8" s="1470"/>
      <c r="AR8" s="1470"/>
      <c r="AS8" s="1470"/>
    </row>
    <row r="9" s="1367" customFormat="1" ht="13" spans="1:45">
      <c r="A9" s="1392"/>
      <c r="B9" s="1401" t="s">
        <v>1686</v>
      </c>
      <c r="C9" s="1402"/>
      <c r="D9" s="1403"/>
      <c r="E9" s="1403"/>
      <c r="F9" s="1404"/>
      <c r="G9" s="1404"/>
      <c r="H9" s="1404"/>
      <c r="I9" s="1404"/>
      <c r="J9" s="1404"/>
      <c r="K9" s="1404"/>
      <c r="L9" s="1446"/>
      <c r="M9" s="1442"/>
      <c r="N9" s="1443"/>
      <c r="O9" s="1444"/>
      <c r="P9" s="1445"/>
      <c r="Q9" s="1472"/>
      <c r="R9" s="1473"/>
      <c r="S9" s="1474"/>
      <c r="T9" s="1475"/>
      <c r="U9" s="1470"/>
      <c r="V9" s="1470"/>
      <c r="W9" s="1470"/>
      <c r="X9" s="1470"/>
      <c r="Y9" s="1470"/>
      <c r="Z9" s="1470"/>
      <c r="AA9" s="1470"/>
      <c r="AB9" s="1470"/>
      <c r="AC9" s="1470"/>
      <c r="AD9" s="1470"/>
      <c r="AE9" s="1470"/>
      <c r="AF9" s="1470"/>
      <c r="AG9" s="1470"/>
      <c r="AH9" s="1470"/>
      <c r="AI9" s="1470"/>
      <c r="AJ9" s="1470"/>
      <c r="AK9" s="1470"/>
      <c r="AL9" s="1470"/>
      <c r="AM9" s="1470"/>
      <c r="AN9" s="1470"/>
      <c r="AO9" s="1470"/>
      <c r="AP9" s="1470"/>
      <c r="AQ9" s="1470"/>
      <c r="AR9" s="1470"/>
      <c r="AS9" s="1470"/>
    </row>
    <row r="10" s="1367" customFormat="1" ht="13.75" spans="1:45">
      <c r="A10" s="1392"/>
      <c r="B10" s="1388"/>
      <c r="C10" s="1405">
        <v>100</v>
      </c>
      <c r="D10" s="1406">
        <f>C10-$T9</f>
        <v>100</v>
      </c>
      <c r="E10" s="1406">
        <f t="shared" ref="E10:S10" si="9">D10-$T9</f>
        <v>100</v>
      </c>
      <c r="F10" s="1165">
        <f t="shared" si="9"/>
        <v>100</v>
      </c>
      <c r="G10" s="1165">
        <f t="shared" si="9"/>
        <v>100</v>
      </c>
      <c r="H10" s="1165">
        <f t="shared" si="9"/>
        <v>100</v>
      </c>
      <c r="I10" s="1165">
        <f t="shared" si="9"/>
        <v>100</v>
      </c>
      <c r="J10" s="1165">
        <f t="shared" si="9"/>
        <v>100</v>
      </c>
      <c r="K10" s="1165">
        <f t="shared" si="9"/>
        <v>100</v>
      </c>
      <c r="L10" s="1165">
        <f t="shared" si="9"/>
        <v>100</v>
      </c>
      <c r="M10" s="1165">
        <f t="shared" si="9"/>
        <v>100</v>
      </c>
      <c r="N10" s="1165">
        <f t="shared" si="9"/>
        <v>100</v>
      </c>
      <c r="O10" s="1165">
        <f t="shared" si="9"/>
        <v>100</v>
      </c>
      <c r="P10" s="1165">
        <f t="shared" si="9"/>
        <v>100</v>
      </c>
      <c r="Q10" s="1165">
        <f t="shared" si="9"/>
        <v>100</v>
      </c>
      <c r="R10" s="1165">
        <f t="shared" si="9"/>
        <v>100</v>
      </c>
      <c r="S10" s="1165">
        <f t="shared" si="9"/>
        <v>100</v>
      </c>
      <c r="T10" s="1467"/>
      <c r="U10" s="1470"/>
      <c r="V10" s="1470"/>
      <c r="W10" s="1470"/>
      <c r="X10" s="1470"/>
      <c r="Y10" s="1470"/>
      <c r="Z10" s="1470"/>
      <c r="AA10" s="1470"/>
      <c r="AB10" s="1470"/>
      <c r="AC10" s="1470"/>
      <c r="AD10" s="1470"/>
      <c r="AE10" s="1470"/>
      <c r="AF10" s="1470"/>
      <c r="AG10" s="1470"/>
      <c r="AH10" s="1470"/>
      <c r="AI10" s="1470"/>
      <c r="AJ10" s="1470"/>
      <c r="AK10" s="1470"/>
      <c r="AL10" s="1470"/>
      <c r="AM10" s="1470"/>
      <c r="AN10" s="1470"/>
      <c r="AO10" s="1470"/>
      <c r="AP10" s="1470"/>
      <c r="AQ10" s="1470"/>
      <c r="AR10" s="1470"/>
      <c r="AS10" s="1470"/>
    </row>
    <row r="11" s="1367" customFormat="1" ht="13" spans="1:45">
      <c r="A11" s="1392"/>
      <c r="B11" s="1393" t="s">
        <v>1687</v>
      </c>
      <c r="C11" s="1394"/>
      <c r="D11" s="1395"/>
      <c r="E11" s="1395"/>
      <c r="F11" s="1395"/>
      <c r="G11" s="1395"/>
      <c r="H11" s="1395"/>
      <c r="I11" s="1395"/>
      <c r="J11" s="1395"/>
      <c r="K11" s="1395"/>
      <c r="L11" s="1395"/>
      <c r="M11" s="1447"/>
      <c r="N11" s="1448"/>
      <c r="O11" s="1449"/>
      <c r="P11" s="1450"/>
      <c r="Q11" s="1476"/>
      <c r="R11" s="1477"/>
      <c r="S11" s="1478"/>
      <c r="T11" s="1469"/>
      <c r="U11" s="1470"/>
      <c r="V11" s="1470"/>
      <c r="W11" s="1470"/>
      <c r="X11" s="1470"/>
      <c r="Y11" s="1470"/>
      <c r="Z11" s="1470"/>
      <c r="AA11" s="1470"/>
      <c r="AB11" s="1470"/>
      <c r="AC11" s="1470"/>
      <c r="AD11" s="1470"/>
      <c r="AE11" s="1470"/>
      <c r="AF11" s="1470"/>
      <c r="AG11" s="1470"/>
      <c r="AH11" s="1470"/>
      <c r="AI11" s="1470"/>
      <c r="AJ11" s="1470"/>
      <c r="AK11" s="1470"/>
      <c r="AL11" s="1470"/>
      <c r="AM11" s="1470"/>
      <c r="AN11" s="1470"/>
      <c r="AO11" s="1470"/>
      <c r="AP11" s="1470"/>
      <c r="AQ11" s="1470"/>
      <c r="AR11" s="1470"/>
      <c r="AS11" s="1470"/>
    </row>
    <row r="12" s="1367" customFormat="1" ht="13.75" spans="1:45">
      <c r="A12" s="1392"/>
      <c r="B12" s="1397"/>
      <c r="C12" s="1398">
        <v>100</v>
      </c>
      <c r="D12" s="1399">
        <f>C12-$T11</f>
        <v>100</v>
      </c>
      <c r="E12" s="1399">
        <f t="shared" ref="E12:S12" si="10">D12-$T11</f>
        <v>100</v>
      </c>
      <c r="F12" s="1399">
        <f t="shared" si="10"/>
        <v>100</v>
      </c>
      <c r="G12" s="1399">
        <f t="shared" si="10"/>
        <v>100</v>
      </c>
      <c r="H12" s="1399">
        <f t="shared" si="10"/>
        <v>100</v>
      </c>
      <c r="I12" s="1399">
        <f t="shared" si="10"/>
        <v>100</v>
      </c>
      <c r="J12" s="1399">
        <f t="shared" si="10"/>
        <v>100</v>
      </c>
      <c r="K12" s="1399">
        <f t="shared" si="10"/>
        <v>100</v>
      </c>
      <c r="L12" s="1399">
        <f t="shared" si="10"/>
        <v>100</v>
      </c>
      <c r="M12" s="1399">
        <f t="shared" si="10"/>
        <v>100</v>
      </c>
      <c r="N12" s="1399">
        <f t="shared" si="10"/>
        <v>100</v>
      </c>
      <c r="O12" s="1399">
        <f t="shared" si="10"/>
        <v>100</v>
      </c>
      <c r="P12" s="1399">
        <f t="shared" si="10"/>
        <v>100</v>
      </c>
      <c r="Q12" s="1399">
        <f t="shared" si="10"/>
        <v>100</v>
      </c>
      <c r="R12" s="1399">
        <f t="shared" si="10"/>
        <v>100</v>
      </c>
      <c r="S12" s="1399">
        <f t="shared" si="10"/>
        <v>100</v>
      </c>
      <c r="T12" s="1471"/>
      <c r="U12" s="1470"/>
      <c r="V12" s="1470"/>
      <c r="W12" s="1470"/>
      <c r="X12" s="1470"/>
      <c r="Y12" s="1470"/>
      <c r="Z12" s="1470"/>
      <c r="AA12" s="1470"/>
      <c r="AB12" s="1470"/>
      <c r="AC12" s="1470"/>
      <c r="AD12" s="1470"/>
      <c r="AE12" s="1470"/>
      <c r="AF12" s="1470"/>
      <c r="AG12" s="1470"/>
      <c r="AH12" s="1470"/>
      <c r="AI12" s="1470"/>
      <c r="AJ12" s="1470"/>
      <c r="AK12" s="1470"/>
      <c r="AL12" s="1470"/>
      <c r="AM12" s="1470"/>
      <c r="AN12" s="1470"/>
      <c r="AO12" s="1470"/>
      <c r="AP12" s="1470"/>
      <c r="AQ12" s="1470"/>
      <c r="AR12" s="1470"/>
      <c r="AS12" s="1470"/>
    </row>
    <row r="13" s="1367" customFormat="1" ht="13" spans="1:45">
      <c r="A13" s="1392"/>
      <c r="B13" s="1393" t="s">
        <v>1688</v>
      </c>
      <c r="C13" s="1394"/>
      <c r="D13" s="1395"/>
      <c r="E13" s="1395"/>
      <c r="F13" s="1395"/>
      <c r="G13" s="1395"/>
      <c r="H13" s="1395"/>
      <c r="I13" s="1395"/>
      <c r="J13" s="1395"/>
      <c r="K13" s="1395"/>
      <c r="L13" s="1395"/>
      <c r="M13" s="1447"/>
      <c r="N13" s="1448"/>
      <c r="O13" s="1449"/>
      <c r="P13" s="1450"/>
      <c r="Q13" s="1476"/>
      <c r="R13" s="1477"/>
      <c r="S13" s="1478"/>
      <c r="T13" s="1479"/>
      <c r="U13" s="1470"/>
      <c r="V13" s="1470"/>
      <c r="W13" s="1470"/>
      <c r="X13" s="1470"/>
      <c r="Y13" s="1470"/>
      <c r="Z13" s="1470"/>
      <c r="AA13" s="1470"/>
      <c r="AB13" s="1470"/>
      <c r="AC13" s="1470"/>
      <c r="AD13" s="1470"/>
      <c r="AE13" s="1470"/>
      <c r="AF13" s="1470"/>
      <c r="AG13" s="1470"/>
      <c r="AH13" s="1470"/>
      <c r="AI13" s="1470"/>
      <c r="AJ13" s="1470"/>
      <c r="AK13" s="1470"/>
      <c r="AL13" s="1470"/>
      <c r="AM13" s="1470"/>
      <c r="AN13" s="1470"/>
      <c r="AO13" s="1470"/>
      <c r="AP13" s="1470"/>
      <c r="AQ13" s="1470"/>
      <c r="AR13" s="1470"/>
      <c r="AS13" s="1470"/>
    </row>
    <row r="14" s="1367" customFormat="1" ht="13.75" spans="1:45">
      <c r="A14" s="1392"/>
      <c r="B14" s="1397"/>
      <c r="C14" s="1407"/>
      <c r="D14" s="1408"/>
      <c r="E14" s="1408"/>
      <c r="F14" s="1408"/>
      <c r="G14" s="1408"/>
      <c r="H14" s="1408"/>
      <c r="I14" s="1408"/>
      <c r="J14" s="1408"/>
      <c r="K14" s="1408"/>
      <c r="L14" s="1408"/>
      <c r="M14" s="1451"/>
      <c r="N14" s="1451"/>
      <c r="O14" s="1408"/>
      <c r="P14" s="1408"/>
      <c r="Q14" s="1408"/>
      <c r="R14" s="1408"/>
      <c r="S14" s="1480"/>
      <c r="T14" s="1471"/>
      <c r="U14" s="1470"/>
      <c r="V14" s="1470"/>
      <c r="W14" s="1470"/>
      <c r="X14" s="1470"/>
      <c r="Y14" s="1470"/>
      <c r="Z14" s="1470"/>
      <c r="AA14" s="1470"/>
      <c r="AB14" s="1470"/>
      <c r="AC14" s="1470"/>
      <c r="AD14" s="1470"/>
      <c r="AE14" s="1470"/>
      <c r="AF14" s="1470"/>
      <c r="AG14" s="1470"/>
      <c r="AH14" s="1470"/>
      <c r="AI14" s="1470"/>
      <c r="AJ14" s="1470"/>
      <c r="AK14" s="1470"/>
      <c r="AL14" s="1470"/>
      <c r="AM14" s="1470"/>
      <c r="AN14" s="1470"/>
      <c r="AO14" s="1470"/>
      <c r="AP14" s="1470"/>
      <c r="AQ14" s="1470"/>
      <c r="AR14" s="1470"/>
      <c r="AS14" s="1470"/>
    </row>
    <row r="15" s="1367" customFormat="1" ht="13" spans="1:45">
      <c r="A15" s="1392"/>
      <c r="B15" s="1393" t="s">
        <v>1689</v>
      </c>
      <c r="C15" s="1394"/>
      <c r="D15" s="1395"/>
      <c r="E15" s="1395"/>
      <c r="F15" s="1395"/>
      <c r="G15" s="1395"/>
      <c r="H15" s="1395"/>
      <c r="I15" s="1395"/>
      <c r="J15" s="1395"/>
      <c r="K15" s="1395"/>
      <c r="L15" s="1395"/>
      <c r="M15" s="1447"/>
      <c r="N15" s="1448"/>
      <c r="O15" s="1449"/>
      <c r="P15" s="1450"/>
      <c r="Q15" s="1476"/>
      <c r="R15" s="1477"/>
      <c r="S15" s="1478"/>
      <c r="T15" s="1479"/>
      <c r="U15" s="1470"/>
      <c r="V15" s="1470"/>
      <c r="W15" s="1470"/>
      <c r="X15" s="1470"/>
      <c r="Y15" s="1470"/>
      <c r="Z15" s="1470"/>
      <c r="AA15" s="1470"/>
      <c r="AB15" s="1470"/>
      <c r="AC15" s="1470"/>
      <c r="AD15" s="1470"/>
      <c r="AE15" s="1470"/>
      <c r="AF15" s="1470"/>
      <c r="AG15" s="1470"/>
      <c r="AH15" s="1470"/>
      <c r="AI15" s="1470"/>
      <c r="AJ15" s="1470"/>
      <c r="AK15" s="1470"/>
      <c r="AL15" s="1470"/>
      <c r="AM15" s="1470"/>
      <c r="AN15" s="1470"/>
      <c r="AO15" s="1470"/>
      <c r="AP15" s="1470"/>
      <c r="AQ15" s="1470"/>
      <c r="AR15" s="1470"/>
      <c r="AS15" s="1470"/>
    </row>
    <row r="16" s="1367" customFormat="1" ht="13.75" spans="1:45">
      <c r="A16" s="1392"/>
      <c r="B16" s="1388"/>
      <c r="C16" s="1389"/>
      <c r="D16" s="1390"/>
      <c r="E16" s="1390"/>
      <c r="F16" s="1390"/>
      <c r="G16" s="1390"/>
      <c r="H16" s="1390"/>
      <c r="I16" s="1390"/>
      <c r="J16" s="1390"/>
      <c r="K16" s="1390"/>
      <c r="L16" s="1390"/>
      <c r="M16" s="1452"/>
      <c r="N16" s="1452"/>
      <c r="O16" s="1390"/>
      <c r="P16" s="1390"/>
      <c r="Q16" s="1390"/>
      <c r="R16" s="1390"/>
      <c r="S16" s="1481"/>
      <c r="T16" s="1467"/>
      <c r="U16" s="1470"/>
      <c r="V16" s="1470"/>
      <c r="W16" s="1470"/>
      <c r="X16" s="1470"/>
      <c r="Y16" s="1470"/>
      <c r="Z16" s="1470"/>
      <c r="AA16" s="1470"/>
      <c r="AB16" s="1470"/>
      <c r="AC16" s="1470"/>
      <c r="AD16" s="1470"/>
      <c r="AE16" s="1470"/>
      <c r="AF16" s="1470"/>
      <c r="AG16" s="1470"/>
      <c r="AH16" s="1470"/>
      <c r="AI16" s="1470"/>
      <c r="AJ16" s="1470"/>
      <c r="AK16" s="1470"/>
      <c r="AL16" s="1470"/>
      <c r="AM16" s="1470"/>
      <c r="AN16" s="1470"/>
      <c r="AO16" s="1470"/>
      <c r="AP16" s="1470"/>
      <c r="AQ16" s="1470"/>
      <c r="AR16" s="1470"/>
      <c r="AS16" s="1470"/>
    </row>
    <row r="17" s="1365" customFormat="1" ht="13" spans="1:45">
      <c r="A17" s="1409" t="s">
        <v>1690</v>
      </c>
      <c r="B17" s="1410" t="s">
        <v>1691</v>
      </c>
      <c r="C17" s="1411" t="s">
        <v>1692</v>
      </c>
      <c r="D17" s="1412">
        <v>1</v>
      </c>
      <c r="E17" s="1412">
        <v>2</v>
      </c>
      <c r="F17" s="1412">
        <v>3</v>
      </c>
      <c r="G17" s="1412"/>
      <c r="H17" s="1412"/>
      <c r="I17" s="1412"/>
      <c r="J17" s="1412"/>
      <c r="K17" s="1412"/>
      <c r="L17" s="1453"/>
      <c r="M17" s="1454"/>
      <c r="N17" s="1455"/>
      <c r="O17" s="1456"/>
      <c r="P17" s="1457"/>
      <c r="Q17" s="1482"/>
      <c r="R17" s="1483"/>
      <c r="S17" s="1484"/>
      <c r="T17" s="1484"/>
      <c r="U17" s="1484"/>
      <c r="V17" s="1484"/>
      <c r="W17" s="1484"/>
      <c r="X17" s="1484"/>
      <c r="Y17" s="1484"/>
      <c r="Z17" s="1484"/>
      <c r="AA17" s="1484"/>
      <c r="AB17" s="1484"/>
      <c r="AC17" s="1484"/>
      <c r="AD17" s="1484"/>
      <c r="AE17" s="1484"/>
      <c r="AF17" s="1484"/>
      <c r="AG17" s="1484"/>
      <c r="AH17" s="1484"/>
      <c r="AI17" s="1484"/>
      <c r="AJ17" s="1484"/>
      <c r="AK17" s="1484"/>
      <c r="AL17" s="1484"/>
      <c r="AM17" s="1484"/>
      <c r="AN17" s="1484"/>
      <c r="AO17" s="1484"/>
      <c r="AP17" s="1484"/>
      <c r="AQ17" s="1484"/>
      <c r="AR17" s="1462"/>
      <c r="AS17" s="1462"/>
    </row>
    <row r="18" s="1365" customFormat="1" ht="13.75" spans="1:45">
      <c r="A18" s="1413"/>
      <c r="B18" s="1414"/>
      <c r="C18" s="1415">
        <v>40</v>
      </c>
      <c r="D18" s="1416">
        <v>100</v>
      </c>
      <c r="E18" s="1416">
        <v>70</v>
      </c>
      <c r="F18" s="1416">
        <v>60</v>
      </c>
      <c r="G18" s="1416"/>
      <c r="H18" s="1416"/>
      <c r="I18" s="1416"/>
      <c r="J18" s="1416"/>
      <c r="K18" s="1416"/>
      <c r="L18" s="1416"/>
      <c r="M18" s="1458"/>
      <c r="N18" s="1458"/>
      <c r="O18" s="1416"/>
      <c r="P18" s="1416"/>
      <c r="Q18" s="1416"/>
      <c r="R18" s="1416"/>
      <c r="S18" s="1485"/>
      <c r="T18" s="1485"/>
      <c r="U18" s="1485"/>
      <c r="V18" s="1485"/>
      <c r="W18" s="1485"/>
      <c r="X18" s="1485"/>
      <c r="Y18" s="1485"/>
      <c r="Z18" s="1485"/>
      <c r="AA18" s="1485"/>
      <c r="AB18" s="1485"/>
      <c r="AC18" s="1485"/>
      <c r="AD18" s="1485"/>
      <c r="AE18" s="1485"/>
      <c r="AF18" s="1485"/>
      <c r="AG18" s="1485"/>
      <c r="AH18" s="1485"/>
      <c r="AI18" s="1485"/>
      <c r="AJ18" s="1485"/>
      <c r="AK18" s="1485"/>
      <c r="AL18" s="1485"/>
      <c r="AM18" s="1485"/>
      <c r="AN18" s="1485"/>
      <c r="AO18" s="1485"/>
      <c r="AP18" s="1485"/>
      <c r="AQ18" s="1485"/>
      <c r="AR18" s="1462"/>
      <c r="AS18" s="1462"/>
    </row>
    <row r="19" ht="13" spans="1:19">
      <c r="A19" s="1417"/>
      <c r="B19" s="1418"/>
      <c r="C19" s="1418"/>
      <c r="D19" s="1419" t="s">
        <v>1693</v>
      </c>
      <c r="E19" s="1420"/>
      <c r="F19" s="1420"/>
      <c r="G19" s="1420"/>
      <c r="H19" s="1421"/>
      <c r="I19" s="1418"/>
      <c r="J19" s="1418"/>
      <c r="K19" s="1418"/>
      <c r="L19" s="1418"/>
      <c r="M19" s="1418"/>
      <c r="N19" s="1418"/>
      <c r="O19" s="1418"/>
      <c r="P19" s="1418"/>
      <c r="Q19" s="1418"/>
      <c r="R19" s="1486"/>
      <c r="S19" s="1417"/>
    </row>
    <row r="20" ht="16.25" spans="1:19">
      <c r="A20" s="1422" t="s">
        <v>1694</v>
      </c>
      <c r="B20" s="1423" t="e">
        <f ca="1">IF(D20="——",S22,S22-F20)</f>
        <v>#REF!</v>
      </c>
      <c r="C20" s="1418"/>
      <c r="D20" s="1424"/>
      <c r="E20" s="1425"/>
      <c r="F20" s="1375" t="e">
        <f ca="1">SUMIF(INDIRECT("'"&amp;H20&amp;"'"&amp;"!A:A"),"承租人权益价值",INDIRECT("'"&amp;H20&amp;"'"&amp;"!c:c"))</f>
        <v>#REF!</v>
      </c>
      <c r="G20" s="1375" t="s">
        <v>805</v>
      </c>
      <c r="H20" s="1426"/>
      <c r="I20" s="1418"/>
      <c r="J20" s="1418"/>
      <c r="K20" s="1418"/>
      <c r="L20" s="1418"/>
      <c r="M20" s="1418"/>
      <c r="N20" s="1418"/>
      <c r="O20" s="1418"/>
      <c r="P20" s="1418"/>
      <c r="Q20" s="1418"/>
      <c r="R20" s="1486"/>
      <c r="S20" s="1417"/>
    </row>
    <row r="21" ht="15.5" spans="1:19">
      <c r="A21" s="1422" t="s">
        <v>1695</v>
      </c>
      <c r="B21" s="1423" t="e">
        <f ca="1">ROUND(B20*10000/B22,0)</f>
        <v>#REF!</v>
      </c>
      <c r="C21" s="1418"/>
      <c r="D21" s="1418"/>
      <c r="E21" s="1418"/>
      <c r="F21" s="1418"/>
      <c r="G21" s="1418"/>
      <c r="H21" s="1418"/>
      <c r="I21" s="1418"/>
      <c r="J21" s="1418"/>
      <c r="K21" s="1418"/>
      <c r="L21" s="1418"/>
      <c r="M21" s="1418"/>
      <c r="N21" s="1418"/>
      <c r="O21" s="1418"/>
      <c r="P21" s="1418"/>
      <c r="Q21" s="1418"/>
      <c r="R21" s="1486"/>
      <c r="S21" s="1417"/>
    </row>
    <row r="22" ht="13" spans="1:19">
      <c r="A22" s="1427" t="s">
        <v>1696</v>
      </c>
      <c r="B22" s="1428">
        <f>SUM(B24:B10000)</f>
        <v>7372.93</v>
      </c>
      <c r="C22" s="1429" t="s">
        <v>124</v>
      </c>
      <c r="D22" s="1430"/>
      <c r="E22" s="1430"/>
      <c r="F22" s="1430"/>
      <c r="G22" s="1430"/>
      <c r="H22" s="1430"/>
      <c r="I22" s="1430"/>
      <c r="J22" s="1430"/>
      <c r="K22" s="1430"/>
      <c r="L22" s="1430"/>
      <c r="M22" s="1430"/>
      <c r="N22" s="1430"/>
      <c r="O22" s="1430"/>
      <c r="P22" s="1430"/>
      <c r="Q22" s="1487"/>
      <c r="R22" s="1488">
        <f>ROUND(S22*10000/B22,0)</f>
        <v>33700</v>
      </c>
      <c r="S22" s="1428">
        <f>SUM(S24:S10000)</f>
        <v>24847</v>
      </c>
    </row>
    <row r="23" s="1368" customFormat="1" ht="26" spans="1:45">
      <c r="A23" s="1431" t="s">
        <v>1697</v>
      </c>
      <c r="B23" s="1431" t="s">
        <v>456</v>
      </c>
      <c r="C23" s="1431" t="s">
        <v>1683</v>
      </c>
      <c r="D23" s="1431" t="str">
        <f>B5</f>
        <v>修正项2</v>
      </c>
      <c r="E23" s="1431" t="s">
        <v>1683</v>
      </c>
      <c r="F23" s="1431" t="str">
        <f>B7</f>
        <v>修正项3</v>
      </c>
      <c r="G23" s="1431" t="s">
        <v>1683</v>
      </c>
      <c r="H23" s="1431" t="str">
        <f>B9</f>
        <v>修正项4</v>
      </c>
      <c r="I23" s="1431" t="s">
        <v>1683</v>
      </c>
      <c r="J23" s="1431" t="str">
        <f>B11</f>
        <v>修正项5</v>
      </c>
      <c r="K23" s="1431" t="s">
        <v>1683</v>
      </c>
      <c r="L23" s="1431" t="str">
        <f>B13</f>
        <v>修正项6</v>
      </c>
      <c r="M23" s="1431" t="s">
        <v>1683</v>
      </c>
      <c r="N23" s="1431" t="str">
        <f>B15</f>
        <v>修正项7</v>
      </c>
      <c r="O23" s="1431" t="s">
        <v>1683</v>
      </c>
      <c r="P23" s="1431" t="str">
        <f>B17</f>
        <v>楼层</v>
      </c>
      <c r="Q23" s="1431" t="s">
        <v>1683</v>
      </c>
      <c r="R23" s="1489" t="s">
        <v>1698</v>
      </c>
      <c r="S23" s="1431" t="s">
        <v>1699</v>
      </c>
      <c r="T23" s="1490"/>
      <c r="U23" s="1490"/>
      <c r="V23" s="1490"/>
      <c r="W23" s="1490"/>
      <c r="X23" s="1490"/>
      <c r="Y23" s="1490"/>
      <c r="Z23" s="1490"/>
      <c r="AA23" s="1490"/>
      <c r="AB23" s="1490"/>
      <c r="AC23" s="1490"/>
      <c r="AD23" s="1490"/>
      <c r="AE23" s="1490"/>
      <c r="AF23" s="1490"/>
      <c r="AG23" s="1490"/>
      <c r="AH23" s="1490"/>
      <c r="AI23" s="1490"/>
      <c r="AJ23" s="1490"/>
      <c r="AK23" s="1490"/>
      <c r="AL23" s="1490"/>
      <c r="AM23" s="1490"/>
      <c r="AN23" s="1490"/>
      <c r="AO23" s="1490"/>
      <c r="AP23" s="1490"/>
      <c r="AQ23" s="1490"/>
      <c r="AR23" s="1490"/>
      <c r="AS23" s="1490"/>
    </row>
    <row r="24" s="1369" customFormat="1" ht="13" spans="1:45">
      <c r="A24" s="1432" t="s">
        <v>1700</v>
      </c>
      <c r="B24" s="1432">
        <v>1825.34</v>
      </c>
      <c r="C24" s="1433">
        <v>1</v>
      </c>
      <c r="D24" s="1434"/>
      <c r="E24" s="1433">
        <v>1</v>
      </c>
      <c r="F24" s="1434"/>
      <c r="G24" s="1433">
        <v>1</v>
      </c>
      <c r="H24" s="1434"/>
      <c r="I24" s="1433">
        <v>1</v>
      </c>
      <c r="J24" s="1434"/>
      <c r="K24" s="1433">
        <v>1</v>
      </c>
      <c r="L24" s="1434"/>
      <c r="M24" s="1433">
        <v>1</v>
      </c>
      <c r="N24" s="1434"/>
      <c r="O24" s="1433">
        <v>1</v>
      </c>
      <c r="P24" s="1434">
        <v>1</v>
      </c>
      <c r="Q24" s="1433">
        <v>1</v>
      </c>
      <c r="R24" s="1491">
        <v>50000</v>
      </c>
      <c r="S24" s="1492">
        <f t="shared" ref="S24:S54" si="11">ROUND(R24*B24/10000,0)</f>
        <v>9127</v>
      </c>
      <c r="T24" s="1493"/>
      <c r="U24" s="1493"/>
      <c r="V24" s="1493"/>
      <c r="W24" s="1493"/>
      <c r="X24" s="1493"/>
      <c r="Y24" s="1493"/>
      <c r="Z24" s="1493"/>
      <c r="AA24" s="1493"/>
      <c r="AB24" s="1493"/>
      <c r="AC24" s="1493"/>
      <c r="AD24" s="1493"/>
      <c r="AE24" s="1493"/>
      <c r="AF24" s="1493"/>
      <c r="AG24" s="1493"/>
      <c r="AH24" s="1493"/>
      <c r="AI24" s="1493"/>
      <c r="AJ24" s="1493"/>
      <c r="AK24" s="1493"/>
      <c r="AL24" s="1493"/>
      <c r="AM24" s="1493"/>
      <c r="AN24" s="1493"/>
      <c r="AO24" s="1493"/>
      <c r="AP24" s="1493"/>
      <c r="AQ24" s="1493"/>
      <c r="AR24" s="1493"/>
      <c r="AS24" s="1493"/>
    </row>
    <row r="25" ht="13" spans="1:19">
      <c r="A25" s="1432" t="s">
        <v>1701</v>
      </c>
      <c r="B25" s="1432">
        <v>1849.82</v>
      </c>
      <c r="C25" s="1428">
        <f>IF(B25="",1,(LOOKUP(B25,$3:$3,$4:$4)-LOOKUP($B$24,$3:$3,$4:$4)+100)/100)</f>
        <v>1</v>
      </c>
      <c r="D25" s="1435"/>
      <c r="E25" s="1428">
        <f>(SUMIF($5:$5,D25,$6:$6)-SUMIF($5:$5,$D$24,$6:$6)+100)/100</f>
        <v>1</v>
      </c>
      <c r="F25" s="1435"/>
      <c r="G25" s="1428">
        <f>(SUMIF($7:$7,F25,$8:$8)-SUMIF($7:$7,$F$24,$8:$8)+100)/100</f>
        <v>1</v>
      </c>
      <c r="H25" s="1435"/>
      <c r="I25" s="1428">
        <f>(SUMIF($9:$9,H25,$10:$10)-SUMIF($9:$9,$H$24,$10:$10)+100)/100</f>
        <v>1</v>
      </c>
      <c r="J25" s="1435"/>
      <c r="K25" s="1428">
        <f>(SUMIF($11:$11,J25,$12:$12)-SUMIF($11:$11,$J$24,$12:$12)+100)/100</f>
        <v>1</v>
      </c>
      <c r="L25" s="1435"/>
      <c r="M25" s="1428">
        <f>(SUMIF($13:$13,L25,$14:$14)-SUMIF($13:$13,$L$24,$14:$14)+100)/100</f>
        <v>1</v>
      </c>
      <c r="N25" s="1435"/>
      <c r="O25" s="1428">
        <f>(SUMIF($15:$15,N25,$16:$16)-SUMIF($15:$15,$N$24,$16:$16)+100)/100</f>
        <v>1</v>
      </c>
      <c r="P25" s="1435">
        <v>2</v>
      </c>
      <c r="Q25" s="1428">
        <f>(SUMIF($17:$17,P25,$18:$18)-SUMIF($17:$17,$P$24,$18:$18)+100)/100</f>
        <v>0.7</v>
      </c>
      <c r="R25" s="1488">
        <f>IF(B25="",0,ROUND($R$24*C25*E25*G25*I25*K25*M25*O25*Q25,0))</f>
        <v>35000</v>
      </c>
      <c r="S25" s="1427">
        <f t="shared" si="11"/>
        <v>6474</v>
      </c>
    </row>
    <row r="26" ht="13" spans="1:19">
      <c r="A26" s="1432" t="s">
        <v>1702</v>
      </c>
      <c r="B26" s="1432">
        <v>1850.79</v>
      </c>
      <c r="C26" s="1428">
        <f t="shared" ref="C26:C89" si="12">IF(B26="",1,(LOOKUP(B26,$3:$3,$4:$4)-LOOKUP($B$24,$3:$3,$4:$4)+100)/100)</f>
        <v>1</v>
      </c>
      <c r="D26" s="1435"/>
      <c r="E26" s="1428">
        <f t="shared" ref="E26:E89" si="13">(SUMIF($5:$5,D26,$6:$6)-SUMIF($5:$5,$D$24,$6:$6)+100)/100</f>
        <v>1</v>
      </c>
      <c r="F26" s="1435"/>
      <c r="G26" s="1428">
        <f t="shared" ref="G26:G89" si="14">(SUMIF($7:$7,F26,$8:$8)-SUMIF($7:$7,$F$24,$8:$8)+100)/100</f>
        <v>1</v>
      </c>
      <c r="H26" s="1435"/>
      <c r="I26" s="1428">
        <f t="shared" ref="I26:I89" si="15">(SUMIF($9:$9,H26,$10:$10)-SUMIF($9:$9,$H$24,$10:$10)+100)/100</f>
        <v>1</v>
      </c>
      <c r="J26" s="1435"/>
      <c r="K26" s="1428">
        <f t="shared" ref="K26:K89" si="16">(SUMIF($11:$11,J26,$12:$12)-SUMIF($11:$11,$J$24,$12:$12)+100)/100</f>
        <v>1</v>
      </c>
      <c r="L26" s="1435"/>
      <c r="M26" s="1428">
        <f t="shared" ref="M26:M89" si="17">(SUMIF($13:$13,L26,$14:$14)-SUMIF($13:$13,$L$24,$14:$14)+100)/100</f>
        <v>1</v>
      </c>
      <c r="N26" s="1435"/>
      <c r="O26" s="1428">
        <f t="shared" ref="O26:O89" si="18">(SUMIF($15:$15,N26,$16:$16)-SUMIF($15:$15,$N$24,$16:$16)+100)/100</f>
        <v>1</v>
      </c>
      <c r="P26" s="1435">
        <v>3</v>
      </c>
      <c r="Q26" s="1428">
        <f t="shared" ref="Q26:Q89" si="19">(SUMIF($17:$17,P26,$18:$18)-SUMIF($17:$17,$P$24,$18:$18)+100)/100</f>
        <v>0.6</v>
      </c>
      <c r="R26" s="1488">
        <f t="shared" ref="R26:R89" si="20">IF(B26="",0,ROUND($R$24*C26*E26*G26*I26*K26*M26*O26*Q26,0))</f>
        <v>30000</v>
      </c>
      <c r="S26" s="1427">
        <f t="shared" si="11"/>
        <v>5552</v>
      </c>
    </row>
    <row r="27" ht="13" spans="1:19">
      <c r="A27" s="1436" t="s">
        <v>1692</v>
      </c>
      <c r="B27" s="1436">
        <v>1846.98</v>
      </c>
      <c r="C27" s="1428">
        <f t="shared" si="12"/>
        <v>1</v>
      </c>
      <c r="D27" s="1435"/>
      <c r="E27" s="1428">
        <f t="shared" si="13"/>
        <v>1</v>
      </c>
      <c r="F27" s="1435"/>
      <c r="G27" s="1428">
        <f t="shared" si="14"/>
        <v>1</v>
      </c>
      <c r="H27" s="1435"/>
      <c r="I27" s="1428">
        <f t="shared" si="15"/>
        <v>1</v>
      </c>
      <c r="J27" s="1435"/>
      <c r="K27" s="1428">
        <f t="shared" si="16"/>
        <v>1</v>
      </c>
      <c r="L27" s="1435"/>
      <c r="M27" s="1428">
        <f t="shared" si="17"/>
        <v>1</v>
      </c>
      <c r="N27" s="1435"/>
      <c r="O27" s="1428">
        <f t="shared" si="18"/>
        <v>1</v>
      </c>
      <c r="P27" s="1435" t="s">
        <v>1692</v>
      </c>
      <c r="Q27" s="1428">
        <f t="shared" si="19"/>
        <v>0.4</v>
      </c>
      <c r="R27" s="1488">
        <f t="shared" si="20"/>
        <v>20000</v>
      </c>
      <c r="S27" s="1427">
        <f t="shared" si="11"/>
        <v>3694</v>
      </c>
    </row>
    <row r="28" ht="13" spans="1:19">
      <c r="A28" s="1436"/>
      <c r="B28" s="1436"/>
      <c r="C28" s="1428">
        <f t="shared" si="12"/>
        <v>1</v>
      </c>
      <c r="D28" s="1435"/>
      <c r="E28" s="1428">
        <f t="shared" si="13"/>
        <v>1</v>
      </c>
      <c r="F28" s="1435"/>
      <c r="G28" s="1428">
        <f t="shared" si="14"/>
        <v>1</v>
      </c>
      <c r="H28" s="1435"/>
      <c r="I28" s="1428">
        <f t="shared" si="15"/>
        <v>1</v>
      </c>
      <c r="J28" s="1435"/>
      <c r="K28" s="1428">
        <f t="shared" si="16"/>
        <v>1</v>
      </c>
      <c r="L28" s="1435"/>
      <c r="M28" s="1428">
        <f t="shared" si="17"/>
        <v>1</v>
      </c>
      <c r="N28" s="1435"/>
      <c r="O28" s="1428">
        <f t="shared" si="18"/>
        <v>1</v>
      </c>
      <c r="P28" s="1435"/>
      <c r="Q28" s="1428">
        <f t="shared" si="19"/>
        <v>0</v>
      </c>
      <c r="R28" s="1488">
        <f t="shared" si="20"/>
        <v>0</v>
      </c>
      <c r="S28" s="1427">
        <f t="shared" si="11"/>
        <v>0</v>
      </c>
    </row>
    <row r="29" ht="13" spans="1:19">
      <c r="A29" s="1437"/>
      <c r="B29" s="1432"/>
      <c r="C29" s="1428">
        <f t="shared" si="12"/>
        <v>1</v>
      </c>
      <c r="D29" s="1435"/>
      <c r="E29" s="1428">
        <f t="shared" si="13"/>
        <v>1</v>
      </c>
      <c r="F29" s="1435"/>
      <c r="G29" s="1428">
        <f t="shared" si="14"/>
        <v>1</v>
      </c>
      <c r="H29" s="1435"/>
      <c r="I29" s="1428">
        <f t="shared" si="15"/>
        <v>1</v>
      </c>
      <c r="J29" s="1435"/>
      <c r="K29" s="1428">
        <f t="shared" si="16"/>
        <v>1</v>
      </c>
      <c r="L29" s="1435"/>
      <c r="M29" s="1428">
        <f t="shared" si="17"/>
        <v>1</v>
      </c>
      <c r="N29" s="1435"/>
      <c r="O29" s="1428">
        <f t="shared" si="18"/>
        <v>1</v>
      </c>
      <c r="P29" s="1435"/>
      <c r="Q29" s="1428">
        <f t="shared" si="19"/>
        <v>0</v>
      </c>
      <c r="R29" s="1488">
        <f t="shared" si="20"/>
        <v>0</v>
      </c>
      <c r="S29" s="1427">
        <f t="shared" si="11"/>
        <v>0</v>
      </c>
    </row>
    <row r="30" ht="13" spans="1:19">
      <c r="A30" s="1437"/>
      <c r="B30" s="1432"/>
      <c r="C30" s="1428">
        <f t="shared" si="12"/>
        <v>1</v>
      </c>
      <c r="D30" s="1435"/>
      <c r="E30" s="1428">
        <f t="shared" si="13"/>
        <v>1</v>
      </c>
      <c r="F30" s="1435"/>
      <c r="G30" s="1428">
        <f t="shared" si="14"/>
        <v>1</v>
      </c>
      <c r="H30" s="1435"/>
      <c r="I30" s="1428">
        <f t="shared" si="15"/>
        <v>1</v>
      </c>
      <c r="J30" s="1435"/>
      <c r="K30" s="1428">
        <f t="shared" si="16"/>
        <v>1</v>
      </c>
      <c r="L30" s="1435"/>
      <c r="M30" s="1428">
        <f t="shared" si="17"/>
        <v>1</v>
      </c>
      <c r="N30" s="1435"/>
      <c r="O30" s="1428">
        <f t="shared" si="18"/>
        <v>1</v>
      </c>
      <c r="P30" s="1435"/>
      <c r="Q30" s="1428">
        <f t="shared" si="19"/>
        <v>0</v>
      </c>
      <c r="R30" s="1488">
        <f t="shared" si="20"/>
        <v>0</v>
      </c>
      <c r="S30" s="1427">
        <f t="shared" si="11"/>
        <v>0</v>
      </c>
    </row>
    <row r="31" ht="13" spans="1:19">
      <c r="A31" s="1437"/>
      <c r="B31" s="1432"/>
      <c r="C31" s="1428">
        <f t="shared" si="12"/>
        <v>1</v>
      </c>
      <c r="D31" s="1435"/>
      <c r="E31" s="1428">
        <f t="shared" si="13"/>
        <v>1</v>
      </c>
      <c r="F31" s="1435"/>
      <c r="G31" s="1428">
        <f t="shared" si="14"/>
        <v>1</v>
      </c>
      <c r="H31" s="1435"/>
      <c r="I31" s="1428">
        <f t="shared" si="15"/>
        <v>1</v>
      </c>
      <c r="J31" s="1435"/>
      <c r="K31" s="1428">
        <f t="shared" si="16"/>
        <v>1</v>
      </c>
      <c r="L31" s="1435"/>
      <c r="M31" s="1428">
        <f t="shared" si="17"/>
        <v>1</v>
      </c>
      <c r="N31" s="1435"/>
      <c r="O31" s="1428">
        <f t="shared" si="18"/>
        <v>1</v>
      </c>
      <c r="P31" s="1435"/>
      <c r="Q31" s="1428">
        <f t="shared" si="19"/>
        <v>0</v>
      </c>
      <c r="R31" s="1488">
        <f t="shared" si="20"/>
        <v>0</v>
      </c>
      <c r="S31" s="1427">
        <f t="shared" si="11"/>
        <v>0</v>
      </c>
    </row>
    <row r="32" ht="13" spans="1:19">
      <c r="A32" s="1437"/>
      <c r="B32" s="1432"/>
      <c r="C32" s="1428">
        <f t="shared" si="12"/>
        <v>1</v>
      </c>
      <c r="D32" s="1435"/>
      <c r="E32" s="1428">
        <f t="shared" si="13"/>
        <v>1</v>
      </c>
      <c r="F32" s="1435"/>
      <c r="G32" s="1428">
        <f t="shared" si="14"/>
        <v>1</v>
      </c>
      <c r="H32" s="1435"/>
      <c r="I32" s="1428">
        <f t="shared" si="15"/>
        <v>1</v>
      </c>
      <c r="J32" s="1435"/>
      <c r="K32" s="1428">
        <f t="shared" si="16"/>
        <v>1</v>
      </c>
      <c r="L32" s="1435"/>
      <c r="M32" s="1428">
        <f t="shared" si="17"/>
        <v>1</v>
      </c>
      <c r="N32" s="1435"/>
      <c r="O32" s="1428">
        <f t="shared" si="18"/>
        <v>1</v>
      </c>
      <c r="P32" s="1435"/>
      <c r="Q32" s="1428">
        <f t="shared" si="19"/>
        <v>0</v>
      </c>
      <c r="R32" s="1488">
        <f t="shared" si="20"/>
        <v>0</v>
      </c>
      <c r="S32" s="1427">
        <f t="shared" si="11"/>
        <v>0</v>
      </c>
    </row>
    <row r="33" ht="13" spans="1:19">
      <c r="A33" s="1437"/>
      <c r="B33" s="1432"/>
      <c r="C33" s="1428">
        <f t="shared" si="12"/>
        <v>1</v>
      </c>
      <c r="D33" s="1435"/>
      <c r="E33" s="1428">
        <f t="shared" si="13"/>
        <v>1</v>
      </c>
      <c r="F33" s="1435"/>
      <c r="G33" s="1428">
        <f t="shared" si="14"/>
        <v>1</v>
      </c>
      <c r="H33" s="1435"/>
      <c r="I33" s="1428">
        <f t="shared" si="15"/>
        <v>1</v>
      </c>
      <c r="J33" s="1435"/>
      <c r="K33" s="1428">
        <f t="shared" si="16"/>
        <v>1</v>
      </c>
      <c r="L33" s="1435"/>
      <c r="M33" s="1428">
        <f t="shared" si="17"/>
        <v>1</v>
      </c>
      <c r="N33" s="1435"/>
      <c r="O33" s="1428">
        <f t="shared" si="18"/>
        <v>1</v>
      </c>
      <c r="P33" s="1435"/>
      <c r="Q33" s="1428">
        <f t="shared" si="19"/>
        <v>0</v>
      </c>
      <c r="R33" s="1488">
        <f t="shared" si="20"/>
        <v>0</v>
      </c>
      <c r="S33" s="1427">
        <f t="shared" si="11"/>
        <v>0</v>
      </c>
    </row>
    <row r="34" ht="13" spans="1:19">
      <c r="A34" s="1437"/>
      <c r="B34" s="1432"/>
      <c r="C34" s="1428">
        <f t="shared" si="12"/>
        <v>1</v>
      </c>
      <c r="D34" s="1435"/>
      <c r="E34" s="1428">
        <f t="shared" si="13"/>
        <v>1</v>
      </c>
      <c r="F34" s="1435"/>
      <c r="G34" s="1428">
        <f t="shared" si="14"/>
        <v>1</v>
      </c>
      <c r="H34" s="1435"/>
      <c r="I34" s="1428">
        <f t="shared" si="15"/>
        <v>1</v>
      </c>
      <c r="J34" s="1435"/>
      <c r="K34" s="1428">
        <f t="shared" si="16"/>
        <v>1</v>
      </c>
      <c r="L34" s="1435"/>
      <c r="M34" s="1428">
        <f t="shared" si="17"/>
        <v>1</v>
      </c>
      <c r="N34" s="1435"/>
      <c r="O34" s="1428">
        <f t="shared" si="18"/>
        <v>1</v>
      </c>
      <c r="P34" s="1435"/>
      <c r="Q34" s="1428">
        <f t="shared" si="19"/>
        <v>0</v>
      </c>
      <c r="R34" s="1488">
        <f t="shared" si="20"/>
        <v>0</v>
      </c>
      <c r="S34" s="1427">
        <f t="shared" si="11"/>
        <v>0</v>
      </c>
    </row>
    <row r="35" ht="13" spans="1:19">
      <c r="A35" s="1437"/>
      <c r="B35" s="1432"/>
      <c r="C35" s="1428">
        <f t="shared" si="12"/>
        <v>1</v>
      </c>
      <c r="D35" s="1435"/>
      <c r="E35" s="1428">
        <f t="shared" si="13"/>
        <v>1</v>
      </c>
      <c r="F35" s="1435"/>
      <c r="G35" s="1428">
        <f t="shared" si="14"/>
        <v>1</v>
      </c>
      <c r="H35" s="1435"/>
      <c r="I35" s="1428">
        <f t="shared" si="15"/>
        <v>1</v>
      </c>
      <c r="J35" s="1435"/>
      <c r="K35" s="1428">
        <f t="shared" si="16"/>
        <v>1</v>
      </c>
      <c r="L35" s="1435"/>
      <c r="M35" s="1428">
        <f t="shared" si="17"/>
        <v>1</v>
      </c>
      <c r="N35" s="1435"/>
      <c r="O35" s="1428">
        <f t="shared" si="18"/>
        <v>1</v>
      </c>
      <c r="P35" s="1435"/>
      <c r="Q35" s="1428">
        <f t="shared" si="19"/>
        <v>0</v>
      </c>
      <c r="R35" s="1488">
        <f t="shared" si="20"/>
        <v>0</v>
      </c>
      <c r="S35" s="1427">
        <f t="shared" si="11"/>
        <v>0</v>
      </c>
    </row>
    <row r="36" ht="13" spans="1:19">
      <c r="A36" s="1437"/>
      <c r="B36" s="1432"/>
      <c r="C36" s="1428">
        <f t="shared" si="12"/>
        <v>1</v>
      </c>
      <c r="D36" s="1435"/>
      <c r="E36" s="1428">
        <f t="shared" si="13"/>
        <v>1</v>
      </c>
      <c r="F36" s="1435"/>
      <c r="G36" s="1428">
        <f t="shared" si="14"/>
        <v>1</v>
      </c>
      <c r="H36" s="1435"/>
      <c r="I36" s="1428">
        <f t="shared" si="15"/>
        <v>1</v>
      </c>
      <c r="J36" s="1435"/>
      <c r="K36" s="1428">
        <f t="shared" si="16"/>
        <v>1</v>
      </c>
      <c r="L36" s="1435"/>
      <c r="M36" s="1428">
        <f t="shared" si="17"/>
        <v>1</v>
      </c>
      <c r="N36" s="1435"/>
      <c r="O36" s="1428">
        <f t="shared" si="18"/>
        <v>1</v>
      </c>
      <c r="P36" s="1435"/>
      <c r="Q36" s="1428">
        <f t="shared" si="19"/>
        <v>0</v>
      </c>
      <c r="R36" s="1488">
        <f t="shared" si="20"/>
        <v>0</v>
      </c>
      <c r="S36" s="1427">
        <f t="shared" si="11"/>
        <v>0</v>
      </c>
    </row>
    <row r="37" ht="13" spans="1:19">
      <c r="A37" s="1437"/>
      <c r="B37" s="1432"/>
      <c r="C37" s="1428">
        <f t="shared" si="12"/>
        <v>1</v>
      </c>
      <c r="D37" s="1435"/>
      <c r="E37" s="1428">
        <f t="shared" si="13"/>
        <v>1</v>
      </c>
      <c r="F37" s="1435"/>
      <c r="G37" s="1428">
        <f t="shared" si="14"/>
        <v>1</v>
      </c>
      <c r="H37" s="1435"/>
      <c r="I37" s="1428">
        <f t="shared" si="15"/>
        <v>1</v>
      </c>
      <c r="J37" s="1435"/>
      <c r="K37" s="1428">
        <f t="shared" si="16"/>
        <v>1</v>
      </c>
      <c r="L37" s="1435"/>
      <c r="M37" s="1428">
        <f t="shared" si="17"/>
        <v>1</v>
      </c>
      <c r="N37" s="1435"/>
      <c r="O37" s="1428">
        <f t="shared" si="18"/>
        <v>1</v>
      </c>
      <c r="P37" s="1435"/>
      <c r="Q37" s="1428">
        <f t="shared" si="19"/>
        <v>0</v>
      </c>
      <c r="R37" s="1488">
        <f t="shared" si="20"/>
        <v>0</v>
      </c>
      <c r="S37" s="1427">
        <f t="shared" si="11"/>
        <v>0</v>
      </c>
    </row>
    <row r="38" ht="13" spans="1:19">
      <c r="A38" s="1437"/>
      <c r="B38" s="1432"/>
      <c r="C38" s="1428">
        <f t="shared" si="12"/>
        <v>1</v>
      </c>
      <c r="D38" s="1435"/>
      <c r="E38" s="1428">
        <f t="shared" si="13"/>
        <v>1</v>
      </c>
      <c r="F38" s="1435"/>
      <c r="G38" s="1428">
        <f t="shared" si="14"/>
        <v>1</v>
      </c>
      <c r="H38" s="1435"/>
      <c r="I38" s="1428">
        <f t="shared" si="15"/>
        <v>1</v>
      </c>
      <c r="J38" s="1435"/>
      <c r="K38" s="1428">
        <f t="shared" si="16"/>
        <v>1</v>
      </c>
      <c r="L38" s="1435"/>
      <c r="M38" s="1428">
        <f t="shared" si="17"/>
        <v>1</v>
      </c>
      <c r="N38" s="1435"/>
      <c r="O38" s="1428">
        <f t="shared" si="18"/>
        <v>1</v>
      </c>
      <c r="P38" s="1435"/>
      <c r="Q38" s="1428">
        <f t="shared" si="19"/>
        <v>0</v>
      </c>
      <c r="R38" s="1488">
        <f t="shared" si="20"/>
        <v>0</v>
      </c>
      <c r="S38" s="1427">
        <f t="shared" si="11"/>
        <v>0</v>
      </c>
    </row>
    <row r="39" ht="13" spans="1:19">
      <c r="A39" s="1437"/>
      <c r="B39" s="1432"/>
      <c r="C39" s="1428">
        <f t="shared" si="12"/>
        <v>1</v>
      </c>
      <c r="D39" s="1435"/>
      <c r="E39" s="1428">
        <f t="shared" si="13"/>
        <v>1</v>
      </c>
      <c r="F39" s="1435"/>
      <c r="G39" s="1428">
        <f t="shared" si="14"/>
        <v>1</v>
      </c>
      <c r="H39" s="1435"/>
      <c r="I39" s="1428">
        <f t="shared" si="15"/>
        <v>1</v>
      </c>
      <c r="J39" s="1435"/>
      <c r="K39" s="1428">
        <f t="shared" si="16"/>
        <v>1</v>
      </c>
      <c r="L39" s="1435"/>
      <c r="M39" s="1428">
        <f t="shared" si="17"/>
        <v>1</v>
      </c>
      <c r="N39" s="1435"/>
      <c r="O39" s="1428">
        <f t="shared" si="18"/>
        <v>1</v>
      </c>
      <c r="P39" s="1435"/>
      <c r="Q39" s="1428">
        <f t="shared" si="19"/>
        <v>0</v>
      </c>
      <c r="R39" s="1488">
        <f t="shared" si="20"/>
        <v>0</v>
      </c>
      <c r="S39" s="1427">
        <f t="shared" si="11"/>
        <v>0</v>
      </c>
    </row>
    <row r="40" ht="13" spans="1:19">
      <c r="A40" s="1437"/>
      <c r="B40" s="1432"/>
      <c r="C40" s="1428">
        <f t="shared" si="12"/>
        <v>1</v>
      </c>
      <c r="D40" s="1435"/>
      <c r="E40" s="1428">
        <f t="shared" si="13"/>
        <v>1</v>
      </c>
      <c r="F40" s="1435"/>
      <c r="G40" s="1428">
        <f t="shared" si="14"/>
        <v>1</v>
      </c>
      <c r="H40" s="1435"/>
      <c r="I40" s="1428">
        <f t="shared" si="15"/>
        <v>1</v>
      </c>
      <c r="J40" s="1435"/>
      <c r="K40" s="1428">
        <f t="shared" si="16"/>
        <v>1</v>
      </c>
      <c r="L40" s="1435"/>
      <c r="M40" s="1428">
        <f t="shared" si="17"/>
        <v>1</v>
      </c>
      <c r="N40" s="1435"/>
      <c r="O40" s="1428">
        <f t="shared" si="18"/>
        <v>1</v>
      </c>
      <c r="P40" s="1435"/>
      <c r="Q40" s="1428">
        <f t="shared" si="19"/>
        <v>0</v>
      </c>
      <c r="R40" s="1488">
        <f t="shared" si="20"/>
        <v>0</v>
      </c>
      <c r="S40" s="1427">
        <f t="shared" si="11"/>
        <v>0</v>
      </c>
    </row>
    <row r="41" ht="13" spans="1:19">
      <c r="A41" s="1437"/>
      <c r="B41" s="1432"/>
      <c r="C41" s="1428">
        <f t="shared" si="12"/>
        <v>1</v>
      </c>
      <c r="D41" s="1435"/>
      <c r="E41" s="1428">
        <f t="shared" si="13"/>
        <v>1</v>
      </c>
      <c r="F41" s="1435"/>
      <c r="G41" s="1428">
        <f t="shared" si="14"/>
        <v>1</v>
      </c>
      <c r="H41" s="1435"/>
      <c r="I41" s="1428">
        <f t="shared" si="15"/>
        <v>1</v>
      </c>
      <c r="J41" s="1435"/>
      <c r="K41" s="1428">
        <f t="shared" si="16"/>
        <v>1</v>
      </c>
      <c r="L41" s="1435"/>
      <c r="M41" s="1428">
        <f t="shared" si="17"/>
        <v>1</v>
      </c>
      <c r="N41" s="1435"/>
      <c r="O41" s="1428">
        <f t="shared" si="18"/>
        <v>1</v>
      </c>
      <c r="P41" s="1435"/>
      <c r="Q41" s="1428">
        <f t="shared" si="19"/>
        <v>0</v>
      </c>
      <c r="R41" s="1488">
        <f t="shared" si="20"/>
        <v>0</v>
      </c>
      <c r="S41" s="1427">
        <f t="shared" si="11"/>
        <v>0</v>
      </c>
    </row>
    <row r="42" ht="13" spans="1:19">
      <c r="A42" s="1437"/>
      <c r="B42" s="1432"/>
      <c r="C42" s="1428">
        <f t="shared" si="12"/>
        <v>1</v>
      </c>
      <c r="D42" s="1435"/>
      <c r="E42" s="1428">
        <f t="shared" si="13"/>
        <v>1</v>
      </c>
      <c r="F42" s="1435"/>
      <c r="G42" s="1428">
        <f t="shared" si="14"/>
        <v>1</v>
      </c>
      <c r="H42" s="1435"/>
      <c r="I42" s="1428">
        <f t="shared" si="15"/>
        <v>1</v>
      </c>
      <c r="J42" s="1435"/>
      <c r="K42" s="1428">
        <f t="shared" si="16"/>
        <v>1</v>
      </c>
      <c r="L42" s="1435"/>
      <c r="M42" s="1428">
        <f t="shared" si="17"/>
        <v>1</v>
      </c>
      <c r="N42" s="1435"/>
      <c r="O42" s="1428">
        <f t="shared" si="18"/>
        <v>1</v>
      </c>
      <c r="P42" s="1435"/>
      <c r="Q42" s="1428">
        <f t="shared" si="19"/>
        <v>0</v>
      </c>
      <c r="R42" s="1488">
        <f t="shared" si="20"/>
        <v>0</v>
      </c>
      <c r="S42" s="1427">
        <f t="shared" si="11"/>
        <v>0</v>
      </c>
    </row>
    <row r="43" ht="13" spans="1:19">
      <c r="A43" s="1437"/>
      <c r="B43" s="1432"/>
      <c r="C43" s="1428">
        <f t="shared" si="12"/>
        <v>1</v>
      </c>
      <c r="D43" s="1435"/>
      <c r="E43" s="1428">
        <f t="shared" si="13"/>
        <v>1</v>
      </c>
      <c r="F43" s="1435"/>
      <c r="G43" s="1428">
        <f t="shared" si="14"/>
        <v>1</v>
      </c>
      <c r="H43" s="1435"/>
      <c r="I43" s="1428">
        <f t="shared" si="15"/>
        <v>1</v>
      </c>
      <c r="J43" s="1435"/>
      <c r="K43" s="1428">
        <f t="shared" si="16"/>
        <v>1</v>
      </c>
      <c r="L43" s="1435"/>
      <c r="M43" s="1428">
        <f t="shared" si="17"/>
        <v>1</v>
      </c>
      <c r="N43" s="1435"/>
      <c r="O43" s="1428">
        <f t="shared" si="18"/>
        <v>1</v>
      </c>
      <c r="P43" s="1435"/>
      <c r="Q43" s="1428">
        <f t="shared" si="19"/>
        <v>0</v>
      </c>
      <c r="R43" s="1488">
        <f t="shared" si="20"/>
        <v>0</v>
      </c>
      <c r="S43" s="1427">
        <f t="shared" si="11"/>
        <v>0</v>
      </c>
    </row>
    <row r="44" ht="13" spans="1:19">
      <c r="A44" s="1437"/>
      <c r="B44" s="1432"/>
      <c r="C44" s="1428">
        <f t="shared" si="12"/>
        <v>1</v>
      </c>
      <c r="D44" s="1435"/>
      <c r="E44" s="1428">
        <f t="shared" si="13"/>
        <v>1</v>
      </c>
      <c r="F44" s="1435"/>
      <c r="G44" s="1428">
        <f t="shared" si="14"/>
        <v>1</v>
      </c>
      <c r="H44" s="1435"/>
      <c r="I44" s="1428">
        <f t="shared" si="15"/>
        <v>1</v>
      </c>
      <c r="J44" s="1435"/>
      <c r="K44" s="1428">
        <f t="shared" si="16"/>
        <v>1</v>
      </c>
      <c r="L44" s="1435"/>
      <c r="M44" s="1428">
        <f t="shared" si="17"/>
        <v>1</v>
      </c>
      <c r="N44" s="1435"/>
      <c r="O44" s="1428">
        <f t="shared" si="18"/>
        <v>1</v>
      </c>
      <c r="P44" s="1435"/>
      <c r="Q44" s="1428">
        <f t="shared" si="19"/>
        <v>0</v>
      </c>
      <c r="R44" s="1488">
        <f t="shared" si="20"/>
        <v>0</v>
      </c>
      <c r="S44" s="1427">
        <f t="shared" si="11"/>
        <v>0</v>
      </c>
    </row>
    <row r="45" ht="13" spans="1:19">
      <c r="A45" s="1437"/>
      <c r="B45" s="1432"/>
      <c r="C45" s="1428">
        <f t="shared" si="12"/>
        <v>1</v>
      </c>
      <c r="D45" s="1435"/>
      <c r="E45" s="1428">
        <f t="shared" si="13"/>
        <v>1</v>
      </c>
      <c r="F45" s="1435"/>
      <c r="G45" s="1428">
        <f t="shared" si="14"/>
        <v>1</v>
      </c>
      <c r="H45" s="1435"/>
      <c r="I45" s="1428">
        <f t="shared" si="15"/>
        <v>1</v>
      </c>
      <c r="J45" s="1435"/>
      <c r="K45" s="1428">
        <f t="shared" si="16"/>
        <v>1</v>
      </c>
      <c r="L45" s="1435"/>
      <c r="M45" s="1428">
        <f t="shared" si="17"/>
        <v>1</v>
      </c>
      <c r="N45" s="1435"/>
      <c r="O45" s="1428">
        <f t="shared" si="18"/>
        <v>1</v>
      </c>
      <c r="P45" s="1435"/>
      <c r="Q45" s="1428">
        <f t="shared" si="19"/>
        <v>0</v>
      </c>
      <c r="R45" s="1488">
        <f t="shared" si="20"/>
        <v>0</v>
      </c>
      <c r="S45" s="1427">
        <f t="shared" si="11"/>
        <v>0</v>
      </c>
    </row>
    <row r="46" ht="13" spans="1:19">
      <c r="A46" s="1437"/>
      <c r="B46" s="1432"/>
      <c r="C46" s="1428">
        <f t="shared" si="12"/>
        <v>1</v>
      </c>
      <c r="D46" s="1435"/>
      <c r="E46" s="1428">
        <f t="shared" si="13"/>
        <v>1</v>
      </c>
      <c r="F46" s="1435"/>
      <c r="G46" s="1428">
        <f t="shared" si="14"/>
        <v>1</v>
      </c>
      <c r="H46" s="1435"/>
      <c r="I46" s="1428">
        <f t="shared" si="15"/>
        <v>1</v>
      </c>
      <c r="J46" s="1435"/>
      <c r="K46" s="1428">
        <f t="shared" si="16"/>
        <v>1</v>
      </c>
      <c r="L46" s="1435"/>
      <c r="M46" s="1428">
        <f t="shared" si="17"/>
        <v>1</v>
      </c>
      <c r="N46" s="1435"/>
      <c r="O46" s="1428">
        <f t="shared" si="18"/>
        <v>1</v>
      </c>
      <c r="P46" s="1435"/>
      <c r="Q46" s="1428">
        <f t="shared" si="19"/>
        <v>0</v>
      </c>
      <c r="R46" s="1488">
        <f t="shared" si="20"/>
        <v>0</v>
      </c>
      <c r="S46" s="1427">
        <f t="shared" si="11"/>
        <v>0</v>
      </c>
    </row>
    <row r="47" ht="13" spans="1:19">
      <c r="A47" s="1437"/>
      <c r="B47" s="1432"/>
      <c r="C47" s="1428">
        <f t="shared" si="12"/>
        <v>1</v>
      </c>
      <c r="D47" s="1435"/>
      <c r="E47" s="1428">
        <f t="shared" si="13"/>
        <v>1</v>
      </c>
      <c r="F47" s="1435"/>
      <c r="G47" s="1428">
        <f t="shared" si="14"/>
        <v>1</v>
      </c>
      <c r="H47" s="1435"/>
      <c r="I47" s="1428">
        <f t="shared" si="15"/>
        <v>1</v>
      </c>
      <c r="J47" s="1435"/>
      <c r="K47" s="1428">
        <f t="shared" si="16"/>
        <v>1</v>
      </c>
      <c r="L47" s="1435"/>
      <c r="M47" s="1428">
        <f t="shared" si="17"/>
        <v>1</v>
      </c>
      <c r="N47" s="1435"/>
      <c r="O47" s="1428">
        <f t="shared" si="18"/>
        <v>1</v>
      </c>
      <c r="P47" s="1435"/>
      <c r="Q47" s="1428">
        <f t="shared" si="19"/>
        <v>0</v>
      </c>
      <c r="R47" s="1488">
        <f t="shared" si="20"/>
        <v>0</v>
      </c>
      <c r="S47" s="1427">
        <f t="shared" si="11"/>
        <v>0</v>
      </c>
    </row>
    <row r="48" ht="13" spans="1:19">
      <c r="A48" s="1437"/>
      <c r="B48" s="1432"/>
      <c r="C48" s="1428">
        <f t="shared" si="12"/>
        <v>1</v>
      </c>
      <c r="D48" s="1435"/>
      <c r="E48" s="1428">
        <f t="shared" si="13"/>
        <v>1</v>
      </c>
      <c r="F48" s="1435"/>
      <c r="G48" s="1428">
        <f t="shared" si="14"/>
        <v>1</v>
      </c>
      <c r="H48" s="1435"/>
      <c r="I48" s="1428">
        <f t="shared" si="15"/>
        <v>1</v>
      </c>
      <c r="J48" s="1435"/>
      <c r="K48" s="1428">
        <f t="shared" si="16"/>
        <v>1</v>
      </c>
      <c r="L48" s="1435"/>
      <c r="M48" s="1428">
        <f t="shared" si="17"/>
        <v>1</v>
      </c>
      <c r="N48" s="1435"/>
      <c r="O48" s="1428">
        <f t="shared" si="18"/>
        <v>1</v>
      </c>
      <c r="P48" s="1435"/>
      <c r="Q48" s="1428">
        <f t="shared" si="19"/>
        <v>0</v>
      </c>
      <c r="R48" s="1488">
        <f t="shared" si="20"/>
        <v>0</v>
      </c>
      <c r="S48" s="1427">
        <f t="shared" si="11"/>
        <v>0</v>
      </c>
    </row>
    <row r="49" ht="13" spans="1:19">
      <c r="A49" s="1437"/>
      <c r="B49" s="1432"/>
      <c r="C49" s="1428">
        <f t="shared" si="12"/>
        <v>1</v>
      </c>
      <c r="D49" s="1435"/>
      <c r="E49" s="1428">
        <f t="shared" si="13"/>
        <v>1</v>
      </c>
      <c r="F49" s="1435"/>
      <c r="G49" s="1428">
        <f t="shared" si="14"/>
        <v>1</v>
      </c>
      <c r="H49" s="1435"/>
      <c r="I49" s="1428">
        <f t="shared" si="15"/>
        <v>1</v>
      </c>
      <c r="J49" s="1435"/>
      <c r="K49" s="1428">
        <f t="shared" si="16"/>
        <v>1</v>
      </c>
      <c r="L49" s="1435"/>
      <c r="M49" s="1428">
        <f t="shared" si="17"/>
        <v>1</v>
      </c>
      <c r="N49" s="1435"/>
      <c r="O49" s="1428">
        <f t="shared" si="18"/>
        <v>1</v>
      </c>
      <c r="P49" s="1435"/>
      <c r="Q49" s="1428">
        <f t="shared" si="19"/>
        <v>0</v>
      </c>
      <c r="R49" s="1488">
        <f t="shared" si="20"/>
        <v>0</v>
      </c>
      <c r="S49" s="1427">
        <f t="shared" si="11"/>
        <v>0</v>
      </c>
    </row>
    <row r="50" ht="13" spans="1:19">
      <c r="A50" s="1437"/>
      <c r="B50" s="1432"/>
      <c r="C50" s="1428">
        <f t="shared" si="12"/>
        <v>1</v>
      </c>
      <c r="D50" s="1435"/>
      <c r="E50" s="1428">
        <f t="shared" si="13"/>
        <v>1</v>
      </c>
      <c r="F50" s="1435"/>
      <c r="G50" s="1428">
        <f t="shared" si="14"/>
        <v>1</v>
      </c>
      <c r="H50" s="1435"/>
      <c r="I50" s="1428">
        <f t="shared" si="15"/>
        <v>1</v>
      </c>
      <c r="J50" s="1435"/>
      <c r="K50" s="1428">
        <f t="shared" si="16"/>
        <v>1</v>
      </c>
      <c r="L50" s="1435"/>
      <c r="M50" s="1428">
        <f t="shared" si="17"/>
        <v>1</v>
      </c>
      <c r="N50" s="1435"/>
      <c r="O50" s="1428">
        <f t="shared" si="18"/>
        <v>1</v>
      </c>
      <c r="P50" s="1435"/>
      <c r="Q50" s="1428">
        <f t="shared" si="19"/>
        <v>0</v>
      </c>
      <c r="R50" s="1488">
        <f t="shared" si="20"/>
        <v>0</v>
      </c>
      <c r="S50" s="1427">
        <f t="shared" si="11"/>
        <v>0</v>
      </c>
    </row>
    <row r="51" ht="13" spans="1:19">
      <c r="A51" s="1437"/>
      <c r="B51" s="1432"/>
      <c r="C51" s="1428">
        <f t="shared" si="12"/>
        <v>1</v>
      </c>
      <c r="D51" s="1435"/>
      <c r="E51" s="1428">
        <f t="shared" si="13"/>
        <v>1</v>
      </c>
      <c r="F51" s="1435"/>
      <c r="G51" s="1428">
        <f t="shared" si="14"/>
        <v>1</v>
      </c>
      <c r="H51" s="1435"/>
      <c r="I51" s="1428">
        <f t="shared" si="15"/>
        <v>1</v>
      </c>
      <c r="J51" s="1435"/>
      <c r="K51" s="1428">
        <f t="shared" si="16"/>
        <v>1</v>
      </c>
      <c r="L51" s="1435"/>
      <c r="M51" s="1428">
        <f t="shared" si="17"/>
        <v>1</v>
      </c>
      <c r="N51" s="1435"/>
      <c r="O51" s="1428">
        <f t="shared" si="18"/>
        <v>1</v>
      </c>
      <c r="P51" s="1435"/>
      <c r="Q51" s="1428">
        <f t="shared" si="19"/>
        <v>0</v>
      </c>
      <c r="R51" s="1488">
        <f t="shared" si="20"/>
        <v>0</v>
      </c>
      <c r="S51" s="1427">
        <f t="shared" si="11"/>
        <v>0</v>
      </c>
    </row>
    <row r="52" ht="13" spans="1:19">
      <c r="A52" s="1437"/>
      <c r="B52" s="1432"/>
      <c r="C52" s="1428">
        <f t="shared" si="12"/>
        <v>1</v>
      </c>
      <c r="D52" s="1435"/>
      <c r="E52" s="1428">
        <f t="shared" si="13"/>
        <v>1</v>
      </c>
      <c r="F52" s="1435"/>
      <c r="G52" s="1428">
        <f t="shared" si="14"/>
        <v>1</v>
      </c>
      <c r="H52" s="1435"/>
      <c r="I52" s="1428">
        <f t="shared" si="15"/>
        <v>1</v>
      </c>
      <c r="J52" s="1435"/>
      <c r="K52" s="1428">
        <f t="shared" si="16"/>
        <v>1</v>
      </c>
      <c r="L52" s="1435"/>
      <c r="M52" s="1428">
        <f t="shared" si="17"/>
        <v>1</v>
      </c>
      <c r="N52" s="1435"/>
      <c r="O52" s="1428">
        <f t="shared" si="18"/>
        <v>1</v>
      </c>
      <c r="P52" s="1435"/>
      <c r="Q52" s="1428">
        <f t="shared" si="19"/>
        <v>0</v>
      </c>
      <c r="R52" s="1488">
        <f t="shared" si="20"/>
        <v>0</v>
      </c>
      <c r="S52" s="1427">
        <f t="shared" si="11"/>
        <v>0</v>
      </c>
    </row>
    <row r="53" ht="13" spans="1:19">
      <c r="A53" s="1437"/>
      <c r="B53" s="1432"/>
      <c r="C53" s="1428">
        <f t="shared" si="12"/>
        <v>1</v>
      </c>
      <c r="D53" s="1435"/>
      <c r="E53" s="1428">
        <f t="shared" si="13"/>
        <v>1</v>
      </c>
      <c r="F53" s="1435"/>
      <c r="G53" s="1428">
        <f t="shared" si="14"/>
        <v>1</v>
      </c>
      <c r="H53" s="1435"/>
      <c r="I53" s="1428">
        <f t="shared" si="15"/>
        <v>1</v>
      </c>
      <c r="J53" s="1435"/>
      <c r="K53" s="1428">
        <f t="shared" si="16"/>
        <v>1</v>
      </c>
      <c r="L53" s="1435"/>
      <c r="M53" s="1428">
        <f t="shared" si="17"/>
        <v>1</v>
      </c>
      <c r="N53" s="1435"/>
      <c r="O53" s="1428">
        <f t="shared" si="18"/>
        <v>1</v>
      </c>
      <c r="P53" s="1435"/>
      <c r="Q53" s="1428">
        <f t="shared" si="19"/>
        <v>0</v>
      </c>
      <c r="R53" s="1488">
        <f t="shared" si="20"/>
        <v>0</v>
      </c>
      <c r="S53" s="1427">
        <f t="shared" si="11"/>
        <v>0</v>
      </c>
    </row>
    <row r="54" ht="13" spans="1:19">
      <c r="A54" s="1437"/>
      <c r="B54" s="1432"/>
      <c r="C54" s="1428">
        <f t="shared" si="12"/>
        <v>1</v>
      </c>
      <c r="D54" s="1435"/>
      <c r="E54" s="1428">
        <f t="shared" si="13"/>
        <v>1</v>
      </c>
      <c r="F54" s="1435"/>
      <c r="G54" s="1428">
        <f t="shared" si="14"/>
        <v>1</v>
      </c>
      <c r="H54" s="1435"/>
      <c r="I54" s="1428">
        <f t="shared" si="15"/>
        <v>1</v>
      </c>
      <c r="J54" s="1435"/>
      <c r="K54" s="1428">
        <f t="shared" si="16"/>
        <v>1</v>
      </c>
      <c r="L54" s="1435"/>
      <c r="M54" s="1428">
        <f t="shared" si="17"/>
        <v>1</v>
      </c>
      <c r="N54" s="1435"/>
      <c r="O54" s="1428">
        <f t="shared" si="18"/>
        <v>1</v>
      </c>
      <c r="P54" s="1435"/>
      <c r="Q54" s="1428">
        <f t="shared" si="19"/>
        <v>0</v>
      </c>
      <c r="R54" s="1488">
        <f t="shared" si="20"/>
        <v>0</v>
      </c>
      <c r="S54" s="1427">
        <f t="shared" si="11"/>
        <v>0</v>
      </c>
    </row>
    <row r="55" ht="13" spans="1:19">
      <c r="A55" s="1437"/>
      <c r="B55" s="1432"/>
      <c r="C55" s="1428">
        <f t="shared" si="12"/>
        <v>1</v>
      </c>
      <c r="D55" s="1435"/>
      <c r="E55" s="1428">
        <f t="shared" si="13"/>
        <v>1</v>
      </c>
      <c r="F55" s="1435"/>
      <c r="G55" s="1428">
        <f t="shared" si="14"/>
        <v>1</v>
      </c>
      <c r="H55" s="1435"/>
      <c r="I55" s="1428">
        <f t="shared" si="15"/>
        <v>1</v>
      </c>
      <c r="J55" s="1435"/>
      <c r="K55" s="1428">
        <f t="shared" si="16"/>
        <v>1</v>
      </c>
      <c r="L55" s="1435"/>
      <c r="M55" s="1428">
        <f t="shared" si="17"/>
        <v>1</v>
      </c>
      <c r="N55" s="1435"/>
      <c r="O55" s="1428">
        <f t="shared" si="18"/>
        <v>1</v>
      </c>
      <c r="P55" s="1435"/>
      <c r="Q55" s="1428">
        <f t="shared" si="19"/>
        <v>0</v>
      </c>
      <c r="R55" s="1488">
        <f t="shared" si="20"/>
        <v>0</v>
      </c>
      <c r="S55" s="1427">
        <f t="shared" ref="S55:S77" si="21">ROUND(R55*B55/10000,0)</f>
        <v>0</v>
      </c>
    </row>
    <row r="56" ht="13" spans="1:19">
      <c r="A56" s="1437"/>
      <c r="B56" s="1432"/>
      <c r="C56" s="1428">
        <f t="shared" si="12"/>
        <v>1</v>
      </c>
      <c r="D56" s="1435"/>
      <c r="E56" s="1428">
        <f t="shared" si="13"/>
        <v>1</v>
      </c>
      <c r="F56" s="1435"/>
      <c r="G56" s="1428">
        <f t="shared" si="14"/>
        <v>1</v>
      </c>
      <c r="H56" s="1435"/>
      <c r="I56" s="1428">
        <f t="shared" si="15"/>
        <v>1</v>
      </c>
      <c r="J56" s="1435"/>
      <c r="K56" s="1428">
        <f t="shared" si="16"/>
        <v>1</v>
      </c>
      <c r="L56" s="1435"/>
      <c r="M56" s="1428">
        <f t="shared" si="17"/>
        <v>1</v>
      </c>
      <c r="N56" s="1435"/>
      <c r="O56" s="1428">
        <f t="shared" si="18"/>
        <v>1</v>
      </c>
      <c r="P56" s="1435"/>
      <c r="Q56" s="1428">
        <f t="shared" si="19"/>
        <v>0</v>
      </c>
      <c r="R56" s="1488">
        <f t="shared" si="20"/>
        <v>0</v>
      </c>
      <c r="S56" s="1427">
        <f t="shared" si="21"/>
        <v>0</v>
      </c>
    </row>
    <row r="57" ht="13" spans="1:19">
      <c r="A57" s="1437"/>
      <c r="B57" s="1432"/>
      <c r="C57" s="1428">
        <f t="shared" si="12"/>
        <v>1</v>
      </c>
      <c r="D57" s="1435"/>
      <c r="E57" s="1428">
        <f t="shared" si="13"/>
        <v>1</v>
      </c>
      <c r="F57" s="1435"/>
      <c r="G57" s="1428">
        <f t="shared" si="14"/>
        <v>1</v>
      </c>
      <c r="H57" s="1435"/>
      <c r="I57" s="1428">
        <f t="shared" si="15"/>
        <v>1</v>
      </c>
      <c r="J57" s="1435"/>
      <c r="K57" s="1428">
        <f t="shared" si="16"/>
        <v>1</v>
      </c>
      <c r="L57" s="1435"/>
      <c r="M57" s="1428">
        <f t="shared" si="17"/>
        <v>1</v>
      </c>
      <c r="N57" s="1435"/>
      <c r="O57" s="1428">
        <f t="shared" si="18"/>
        <v>1</v>
      </c>
      <c r="P57" s="1435"/>
      <c r="Q57" s="1428">
        <f t="shared" si="19"/>
        <v>0</v>
      </c>
      <c r="R57" s="1488">
        <f t="shared" si="20"/>
        <v>0</v>
      </c>
      <c r="S57" s="1427">
        <f t="shared" si="21"/>
        <v>0</v>
      </c>
    </row>
    <row r="58" ht="13" spans="1:19">
      <c r="A58" s="1437"/>
      <c r="B58" s="1432"/>
      <c r="C58" s="1428">
        <f t="shared" si="12"/>
        <v>1</v>
      </c>
      <c r="D58" s="1435"/>
      <c r="E58" s="1428">
        <f t="shared" si="13"/>
        <v>1</v>
      </c>
      <c r="F58" s="1435"/>
      <c r="G58" s="1428">
        <f t="shared" si="14"/>
        <v>1</v>
      </c>
      <c r="H58" s="1435"/>
      <c r="I58" s="1428">
        <f t="shared" si="15"/>
        <v>1</v>
      </c>
      <c r="J58" s="1435"/>
      <c r="K58" s="1428">
        <f t="shared" si="16"/>
        <v>1</v>
      </c>
      <c r="L58" s="1435"/>
      <c r="M58" s="1428">
        <f t="shared" si="17"/>
        <v>1</v>
      </c>
      <c r="N58" s="1435"/>
      <c r="O58" s="1428">
        <f t="shared" si="18"/>
        <v>1</v>
      </c>
      <c r="P58" s="1435"/>
      <c r="Q58" s="1428">
        <f t="shared" si="19"/>
        <v>0</v>
      </c>
      <c r="R58" s="1488">
        <f t="shared" si="20"/>
        <v>0</v>
      </c>
      <c r="S58" s="1427">
        <f t="shared" si="21"/>
        <v>0</v>
      </c>
    </row>
    <row r="59" ht="13" spans="1:19">
      <c r="A59" s="1437"/>
      <c r="B59" s="1432"/>
      <c r="C59" s="1428">
        <f t="shared" si="12"/>
        <v>1</v>
      </c>
      <c r="D59" s="1435"/>
      <c r="E59" s="1428">
        <f t="shared" si="13"/>
        <v>1</v>
      </c>
      <c r="F59" s="1435"/>
      <c r="G59" s="1428">
        <f t="shared" si="14"/>
        <v>1</v>
      </c>
      <c r="H59" s="1435"/>
      <c r="I59" s="1428">
        <f t="shared" si="15"/>
        <v>1</v>
      </c>
      <c r="J59" s="1435"/>
      <c r="K59" s="1428">
        <f t="shared" si="16"/>
        <v>1</v>
      </c>
      <c r="L59" s="1435"/>
      <c r="M59" s="1428">
        <f t="shared" si="17"/>
        <v>1</v>
      </c>
      <c r="N59" s="1435"/>
      <c r="O59" s="1428">
        <f t="shared" si="18"/>
        <v>1</v>
      </c>
      <c r="P59" s="1435"/>
      <c r="Q59" s="1428">
        <f t="shared" si="19"/>
        <v>0</v>
      </c>
      <c r="R59" s="1488">
        <f t="shared" si="20"/>
        <v>0</v>
      </c>
      <c r="S59" s="1427">
        <f t="shared" si="21"/>
        <v>0</v>
      </c>
    </row>
    <row r="60" ht="13" spans="1:19">
      <c r="A60" s="1437"/>
      <c r="B60" s="1432"/>
      <c r="C60" s="1428">
        <f t="shared" si="12"/>
        <v>1</v>
      </c>
      <c r="D60" s="1435"/>
      <c r="E60" s="1428">
        <f t="shared" si="13"/>
        <v>1</v>
      </c>
      <c r="F60" s="1435"/>
      <c r="G60" s="1428">
        <f t="shared" si="14"/>
        <v>1</v>
      </c>
      <c r="H60" s="1435"/>
      <c r="I60" s="1428">
        <f t="shared" si="15"/>
        <v>1</v>
      </c>
      <c r="J60" s="1435"/>
      <c r="K60" s="1428">
        <f t="shared" si="16"/>
        <v>1</v>
      </c>
      <c r="L60" s="1435"/>
      <c r="M60" s="1428">
        <f t="shared" si="17"/>
        <v>1</v>
      </c>
      <c r="N60" s="1435"/>
      <c r="O60" s="1428">
        <f t="shared" si="18"/>
        <v>1</v>
      </c>
      <c r="P60" s="1435"/>
      <c r="Q60" s="1428">
        <f t="shared" si="19"/>
        <v>0</v>
      </c>
      <c r="R60" s="1488">
        <f t="shared" si="20"/>
        <v>0</v>
      </c>
      <c r="S60" s="1427">
        <f t="shared" si="21"/>
        <v>0</v>
      </c>
    </row>
    <row r="61" ht="13" spans="1:19">
      <c r="A61" s="1437"/>
      <c r="B61" s="1432"/>
      <c r="C61" s="1428">
        <f t="shared" si="12"/>
        <v>1</v>
      </c>
      <c r="D61" s="1435"/>
      <c r="E61" s="1428">
        <f t="shared" si="13"/>
        <v>1</v>
      </c>
      <c r="F61" s="1435"/>
      <c r="G61" s="1428">
        <f t="shared" si="14"/>
        <v>1</v>
      </c>
      <c r="H61" s="1435"/>
      <c r="I61" s="1428">
        <f t="shared" si="15"/>
        <v>1</v>
      </c>
      <c r="J61" s="1435"/>
      <c r="K61" s="1428">
        <f t="shared" si="16"/>
        <v>1</v>
      </c>
      <c r="L61" s="1435"/>
      <c r="M61" s="1428">
        <f t="shared" si="17"/>
        <v>1</v>
      </c>
      <c r="N61" s="1435"/>
      <c r="O61" s="1428">
        <f t="shared" si="18"/>
        <v>1</v>
      </c>
      <c r="P61" s="1435"/>
      <c r="Q61" s="1428">
        <f t="shared" si="19"/>
        <v>0</v>
      </c>
      <c r="R61" s="1488">
        <f t="shared" si="20"/>
        <v>0</v>
      </c>
      <c r="S61" s="1427">
        <f t="shared" si="21"/>
        <v>0</v>
      </c>
    </row>
    <row r="62" ht="13" spans="1:19">
      <c r="A62" s="1437"/>
      <c r="B62" s="1432"/>
      <c r="C62" s="1428">
        <f t="shared" si="12"/>
        <v>1</v>
      </c>
      <c r="D62" s="1435"/>
      <c r="E62" s="1428">
        <f t="shared" si="13"/>
        <v>1</v>
      </c>
      <c r="F62" s="1435"/>
      <c r="G62" s="1428">
        <f t="shared" si="14"/>
        <v>1</v>
      </c>
      <c r="H62" s="1435"/>
      <c r="I62" s="1428">
        <f t="shared" si="15"/>
        <v>1</v>
      </c>
      <c r="J62" s="1435"/>
      <c r="K62" s="1428">
        <f t="shared" si="16"/>
        <v>1</v>
      </c>
      <c r="L62" s="1435"/>
      <c r="M62" s="1428">
        <f t="shared" si="17"/>
        <v>1</v>
      </c>
      <c r="N62" s="1435"/>
      <c r="O62" s="1428">
        <f t="shared" si="18"/>
        <v>1</v>
      </c>
      <c r="P62" s="1435"/>
      <c r="Q62" s="1428">
        <f t="shared" si="19"/>
        <v>0</v>
      </c>
      <c r="R62" s="1488">
        <f t="shared" si="20"/>
        <v>0</v>
      </c>
      <c r="S62" s="1427">
        <f t="shared" si="21"/>
        <v>0</v>
      </c>
    </row>
    <row r="63" ht="13" spans="1:19">
      <c r="A63" s="1437"/>
      <c r="B63" s="1432"/>
      <c r="C63" s="1428">
        <f t="shared" si="12"/>
        <v>1</v>
      </c>
      <c r="D63" s="1435"/>
      <c r="E63" s="1428">
        <f t="shared" si="13"/>
        <v>1</v>
      </c>
      <c r="F63" s="1435"/>
      <c r="G63" s="1428">
        <f t="shared" si="14"/>
        <v>1</v>
      </c>
      <c r="H63" s="1435"/>
      <c r="I63" s="1428">
        <f t="shared" si="15"/>
        <v>1</v>
      </c>
      <c r="J63" s="1435"/>
      <c r="K63" s="1428">
        <f t="shared" si="16"/>
        <v>1</v>
      </c>
      <c r="L63" s="1435"/>
      <c r="M63" s="1428">
        <f t="shared" si="17"/>
        <v>1</v>
      </c>
      <c r="N63" s="1435"/>
      <c r="O63" s="1428">
        <f t="shared" si="18"/>
        <v>1</v>
      </c>
      <c r="P63" s="1435"/>
      <c r="Q63" s="1428">
        <f t="shared" si="19"/>
        <v>0</v>
      </c>
      <c r="R63" s="1488">
        <f t="shared" si="20"/>
        <v>0</v>
      </c>
      <c r="S63" s="1427">
        <f t="shared" si="21"/>
        <v>0</v>
      </c>
    </row>
    <row r="64" ht="13" spans="1:19">
      <c r="A64" s="1437"/>
      <c r="B64" s="1432"/>
      <c r="C64" s="1428">
        <f t="shared" si="12"/>
        <v>1</v>
      </c>
      <c r="D64" s="1435"/>
      <c r="E64" s="1428">
        <f t="shared" si="13"/>
        <v>1</v>
      </c>
      <c r="F64" s="1435"/>
      <c r="G64" s="1428">
        <f t="shared" si="14"/>
        <v>1</v>
      </c>
      <c r="H64" s="1435"/>
      <c r="I64" s="1428">
        <f t="shared" si="15"/>
        <v>1</v>
      </c>
      <c r="J64" s="1435"/>
      <c r="K64" s="1428">
        <f t="shared" si="16"/>
        <v>1</v>
      </c>
      <c r="L64" s="1435"/>
      <c r="M64" s="1428">
        <f t="shared" si="17"/>
        <v>1</v>
      </c>
      <c r="N64" s="1435"/>
      <c r="O64" s="1428">
        <f t="shared" si="18"/>
        <v>1</v>
      </c>
      <c r="P64" s="1435"/>
      <c r="Q64" s="1428">
        <f t="shared" si="19"/>
        <v>0</v>
      </c>
      <c r="R64" s="1488">
        <f t="shared" si="20"/>
        <v>0</v>
      </c>
      <c r="S64" s="1427">
        <f t="shared" si="21"/>
        <v>0</v>
      </c>
    </row>
    <row r="65" ht="13" spans="1:19">
      <c r="A65" s="1437"/>
      <c r="B65" s="1432"/>
      <c r="C65" s="1428">
        <f t="shared" si="12"/>
        <v>1</v>
      </c>
      <c r="D65" s="1435"/>
      <c r="E65" s="1428">
        <f t="shared" si="13"/>
        <v>1</v>
      </c>
      <c r="F65" s="1435"/>
      <c r="G65" s="1428">
        <f t="shared" si="14"/>
        <v>1</v>
      </c>
      <c r="H65" s="1435"/>
      <c r="I65" s="1428">
        <f t="shared" si="15"/>
        <v>1</v>
      </c>
      <c r="J65" s="1435"/>
      <c r="K65" s="1428">
        <f t="shared" si="16"/>
        <v>1</v>
      </c>
      <c r="L65" s="1435"/>
      <c r="M65" s="1428">
        <f t="shared" si="17"/>
        <v>1</v>
      </c>
      <c r="N65" s="1435"/>
      <c r="O65" s="1428">
        <f t="shared" si="18"/>
        <v>1</v>
      </c>
      <c r="P65" s="1435"/>
      <c r="Q65" s="1428">
        <f t="shared" si="19"/>
        <v>0</v>
      </c>
      <c r="R65" s="1488">
        <f t="shared" si="20"/>
        <v>0</v>
      </c>
      <c r="S65" s="1427">
        <f t="shared" si="21"/>
        <v>0</v>
      </c>
    </row>
    <row r="66" ht="13" spans="1:19">
      <c r="A66" s="1437"/>
      <c r="B66" s="1432"/>
      <c r="C66" s="1428">
        <f t="shared" si="12"/>
        <v>1</v>
      </c>
      <c r="D66" s="1435"/>
      <c r="E66" s="1428">
        <f t="shared" si="13"/>
        <v>1</v>
      </c>
      <c r="F66" s="1435"/>
      <c r="G66" s="1428">
        <f t="shared" si="14"/>
        <v>1</v>
      </c>
      <c r="H66" s="1435"/>
      <c r="I66" s="1428">
        <f t="shared" si="15"/>
        <v>1</v>
      </c>
      <c r="J66" s="1435"/>
      <c r="K66" s="1428">
        <f t="shared" si="16"/>
        <v>1</v>
      </c>
      <c r="L66" s="1435"/>
      <c r="M66" s="1428">
        <f t="shared" si="17"/>
        <v>1</v>
      </c>
      <c r="N66" s="1435"/>
      <c r="O66" s="1428">
        <f t="shared" si="18"/>
        <v>1</v>
      </c>
      <c r="P66" s="1435"/>
      <c r="Q66" s="1428">
        <f t="shared" si="19"/>
        <v>0</v>
      </c>
      <c r="R66" s="1488">
        <f t="shared" si="20"/>
        <v>0</v>
      </c>
      <c r="S66" s="1427">
        <f t="shared" si="21"/>
        <v>0</v>
      </c>
    </row>
    <row r="67" ht="13" spans="1:19">
      <c r="A67" s="1437"/>
      <c r="B67" s="1432"/>
      <c r="C67" s="1428">
        <f t="shared" si="12"/>
        <v>1</v>
      </c>
      <c r="D67" s="1435"/>
      <c r="E67" s="1428">
        <f t="shared" si="13"/>
        <v>1</v>
      </c>
      <c r="F67" s="1435"/>
      <c r="G67" s="1428">
        <f t="shared" si="14"/>
        <v>1</v>
      </c>
      <c r="H67" s="1435"/>
      <c r="I67" s="1428">
        <f t="shared" si="15"/>
        <v>1</v>
      </c>
      <c r="J67" s="1435"/>
      <c r="K67" s="1428">
        <f t="shared" si="16"/>
        <v>1</v>
      </c>
      <c r="L67" s="1435"/>
      <c r="M67" s="1428">
        <f t="shared" si="17"/>
        <v>1</v>
      </c>
      <c r="N67" s="1435"/>
      <c r="O67" s="1428">
        <f t="shared" si="18"/>
        <v>1</v>
      </c>
      <c r="P67" s="1435"/>
      <c r="Q67" s="1428">
        <f t="shared" si="19"/>
        <v>0</v>
      </c>
      <c r="R67" s="1488">
        <f t="shared" si="20"/>
        <v>0</v>
      </c>
      <c r="S67" s="1427">
        <f t="shared" si="21"/>
        <v>0</v>
      </c>
    </row>
    <row r="68" ht="13" spans="1:19">
      <c r="A68" s="1437"/>
      <c r="B68" s="1432"/>
      <c r="C68" s="1428">
        <f t="shared" si="12"/>
        <v>1</v>
      </c>
      <c r="D68" s="1435"/>
      <c r="E68" s="1428">
        <f t="shared" si="13"/>
        <v>1</v>
      </c>
      <c r="F68" s="1435"/>
      <c r="G68" s="1428">
        <f t="shared" si="14"/>
        <v>1</v>
      </c>
      <c r="H68" s="1435"/>
      <c r="I68" s="1428">
        <f t="shared" si="15"/>
        <v>1</v>
      </c>
      <c r="J68" s="1435"/>
      <c r="K68" s="1428">
        <f t="shared" si="16"/>
        <v>1</v>
      </c>
      <c r="L68" s="1435"/>
      <c r="M68" s="1428">
        <f t="shared" si="17"/>
        <v>1</v>
      </c>
      <c r="N68" s="1435"/>
      <c r="O68" s="1428">
        <f t="shared" si="18"/>
        <v>1</v>
      </c>
      <c r="P68" s="1435"/>
      <c r="Q68" s="1428">
        <f t="shared" si="19"/>
        <v>0</v>
      </c>
      <c r="R68" s="1488">
        <f t="shared" si="20"/>
        <v>0</v>
      </c>
      <c r="S68" s="1427">
        <f t="shared" si="21"/>
        <v>0</v>
      </c>
    </row>
    <row r="69" ht="13" spans="1:19">
      <c r="A69" s="1437"/>
      <c r="B69" s="1432"/>
      <c r="C69" s="1428">
        <f t="shared" si="12"/>
        <v>1</v>
      </c>
      <c r="D69" s="1435"/>
      <c r="E69" s="1428">
        <f t="shared" si="13"/>
        <v>1</v>
      </c>
      <c r="F69" s="1435"/>
      <c r="G69" s="1428">
        <f t="shared" si="14"/>
        <v>1</v>
      </c>
      <c r="H69" s="1435"/>
      <c r="I69" s="1428">
        <f t="shared" si="15"/>
        <v>1</v>
      </c>
      <c r="J69" s="1435"/>
      <c r="K69" s="1428">
        <f t="shared" si="16"/>
        <v>1</v>
      </c>
      <c r="L69" s="1435"/>
      <c r="M69" s="1428">
        <f t="shared" si="17"/>
        <v>1</v>
      </c>
      <c r="N69" s="1435"/>
      <c r="O69" s="1428">
        <f t="shared" si="18"/>
        <v>1</v>
      </c>
      <c r="P69" s="1435"/>
      <c r="Q69" s="1428">
        <f t="shared" si="19"/>
        <v>0</v>
      </c>
      <c r="R69" s="1488">
        <f t="shared" si="20"/>
        <v>0</v>
      </c>
      <c r="S69" s="1427">
        <f t="shared" si="21"/>
        <v>0</v>
      </c>
    </row>
    <row r="70" ht="13" spans="1:19">
      <c r="A70" s="1437"/>
      <c r="B70" s="1432"/>
      <c r="C70" s="1428">
        <f t="shared" si="12"/>
        <v>1</v>
      </c>
      <c r="D70" s="1435"/>
      <c r="E70" s="1428">
        <f t="shared" si="13"/>
        <v>1</v>
      </c>
      <c r="F70" s="1435"/>
      <c r="G70" s="1428">
        <f t="shared" si="14"/>
        <v>1</v>
      </c>
      <c r="H70" s="1435"/>
      <c r="I70" s="1428">
        <f t="shared" si="15"/>
        <v>1</v>
      </c>
      <c r="J70" s="1435"/>
      <c r="K70" s="1428">
        <f t="shared" si="16"/>
        <v>1</v>
      </c>
      <c r="L70" s="1435"/>
      <c r="M70" s="1428">
        <f t="shared" si="17"/>
        <v>1</v>
      </c>
      <c r="N70" s="1435"/>
      <c r="O70" s="1428">
        <f t="shared" si="18"/>
        <v>1</v>
      </c>
      <c r="P70" s="1435"/>
      <c r="Q70" s="1428">
        <f t="shared" si="19"/>
        <v>0</v>
      </c>
      <c r="R70" s="1488">
        <f t="shared" si="20"/>
        <v>0</v>
      </c>
      <c r="S70" s="1427">
        <f t="shared" si="21"/>
        <v>0</v>
      </c>
    </row>
    <row r="71" ht="13" spans="1:19">
      <c r="A71" s="1437"/>
      <c r="B71" s="1432"/>
      <c r="C71" s="1428">
        <f t="shared" si="12"/>
        <v>1</v>
      </c>
      <c r="D71" s="1435"/>
      <c r="E71" s="1428">
        <f t="shared" si="13"/>
        <v>1</v>
      </c>
      <c r="F71" s="1435"/>
      <c r="G71" s="1428">
        <f t="shared" si="14"/>
        <v>1</v>
      </c>
      <c r="H71" s="1435"/>
      <c r="I71" s="1428">
        <f t="shared" si="15"/>
        <v>1</v>
      </c>
      <c r="J71" s="1435"/>
      <c r="K71" s="1428">
        <f t="shared" si="16"/>
        <v>1</v>
      </c>
      <c r="L71" s="1435"/>
      <c r="M71" s="1428">
        <f t="shared" si="17"/>
        <v>1</v>
      </c>
      <c r="N71" s="1435"/>
      <c r="O71" s="1428">
        <f t="shared" si="18"/>
        <v>1</v>
      </c>
      <c r="P71" s="1435"/>
      <c r="Q71" s="1428">
        <f t="shared" si="19"/>
        <v>0</v>
      </c>
      <c r="R71" s="1488">
        <f t="shared" si="20"/>
        <v>0</v>
      </c>
      <c r="S71" s="1427">
        <f t="shared" si="21"/>
        <v>0</v>
      </c>
    </row>
    <row r="72" ht="13" spans="1:19">
      <c r="A72" s="1437"/>
      <c r="B72" s="1432"/>
      <c r="C72" s="1428">
        <f t="shared" si="12"/>
        <v>1</v>
      </c>
      <c r="D72" s="1435"/>
      <c r="E72" s="1428">
        <f t="shared" si="13"/>
        <v>1</v>
      </c>
      <c r="F72" s="1435"/>
      <c r="G72" s="1428">
        <f t="shared" si="14"/>
        <v>1</v>
      </c>
      <c r="H72" s="1435"/>
      <c r="I72" s="1428">
        <f t="shared" si="15"/>
        <v>1</v>
      </c>
      <c r="J72" s="1435"/>
      <c r="K72" s="1428">
        <f t="shared" si="16"/>
        <v>1</v>
      </c>
      <c r="L72" s="1435"/>
      <c r="M72" s="1428">
        <f t="shared" si="17"/>
        <v>1</v>
      </c>
      <c r="N72" s="1435"/>
      <c r="O72" s="1428">
        <f t="shared" si="18"/>
        <v>1</v>
      </c>
      <c r="P72" s="1435"/>
      <c r="Q72" s="1428">
        <f t="shared" si="19"/>
        <v>0</v>
      </c>
      <c r="R72" s="1488">
        <f t="shared" si="20"/>
        <v>0</v>
      </c>
      <c r="S72" s="1427">
        <f t="shared" si="21"/>
        <v>0</v>
      </c>
    </row>
    <row r="73" ht="13" spans="1:19">
      <c r="A73" s="1437"/>
      <c r="B73" s="1432"/>
      <c r="C73" s="1428">
        <f t="shared" si="12"/>
        <v>1</v>
      </c>
      <c r="D73" s="1435"/>
      <c r="E73" s="1428">
        <f t="shared" si="13"/>
        <v>1</v>
      </c>
      <c r="F73" s="1435"/>
      <c r="G73" s="1428">
        <f t="shared" si="14"/>
        <v>1</v>
      </c>
      <c r="H73" s="1435"/>
      <c r="I73" s="1428">
        <f t="shared" si="15"/>
        <v>1</v>
      </c>
      <c r="J73" s="1435"/>
      <c r="K73" s="1428">
        <f t="shared" si="16"/>
        <v>1</v>
      </c>
      <c r="L73" s="1435"/>
      <c r="M73" s="1428">
        <f t="shared" si="17"/>
        <v>1</v>
      </c>
      <c r="N73" s="1435"/>
      <c r="O73" s="1428">
        <f t="shared" si="18"/>
        <v>1</v>
      </c>
      <c r="P73" s="1435"/>
      <c r="Q73" s="1428">
        <f t="shared" si="19"/>
        <v>0</v>
      </c>
      <c r="R73" s="1488">
        <f t="shared" si="20"/>
        <v>0</v>
      </c>
      <c r="S73" s="1427">
        <f t="shared" si="21"/>
        <v>0</v>
      </c>
    </row>
    <row r="74" ht="13" spans="1:19">
      <c r="A74" s="1437"/>
      <c r="B74" s="1432"/>
      <c r="C74" s="1428">
        <f t="shared" si="12"/>
        <v>1</v>
      </c>
      <c r="D74" s="1435"/>
      <c r="E74" s="1428">
        <f t="shared" si="13"/>
        <v>1</v>
      </c>
      <c r="F74" s="1435"/>
      <c r="G74" s="1428">
        <f t="shared" si="14"/>
        <v>1</v>
      </c>
      <c r="H74" s="1435"/>
      <c r="I74" s="1428">
        <f t="shared" si="15"/>
        <v>1</v>
      </c>
      <c r="J74" s="1435"/>
      <c r="K74" s="1428">
        <f t="shared" si="16"/>
        <v>1</v>
      </c>
      <c r="L74" s="1435"/>
      <c r="M74" s="1428">
        <f t="shared" si="17"/>
        <v>1</v>
      </c>
      <c r="N74" s="1435"/>
      <c r="O74" s="1428">
        <f t="shared" si="18"/>
        <v>1</v>
      </c>
      <c r="P74" s="1435"/>
      <c r="Q74" s="1428">
        <f t="shared" si="19"/>
        <v>0</v>
      </c>
      <c r="R74" s="1488">
        <f t="shared" si="20"/>
        <v>0</v>
      </c>
      <c r="S74" s="1427">
        <f t="shared" si="21"/>
        <v>0</v>
      </c>
    </row>
    <row r="75" ht="13" spans="1:19">
      <c r="A75" s="1437"/>
      <c r="B75" s="1432"/>
      <c r="C75" s="1428">
        <f t="shared" si="12"/>
        <v>1</v>
      </c>
      <c r="D75" s="1435"/>
      <c r="E75" s="1428">
        <f t="shared" si="13"/>
        <v>1</v>
      </c>
      <c r="F75" s="1435"/>
      <c r="G75" s="1428">
        <f t="shared" si="14"/>
        <v>1</v>
      </c>
      <c r="H75" s="1435"/>
      <c r="I75" s="1428">
        <f t="shared" si="15"/>
        <v>1</v>
      </c>
      <c r="J75" s="1435"/>
      <c r="K75" s="1428">
        <f t="shared" si="16"/>
        <v>1</v>
      </c>
      <c r="L75" s="1435"/>
      <c r="M75" s="1428">
        <f t="shared" si="17"/>
        <v>1</v>
      </c>
      <c r="N75" s="1435"/>
      <c r="O75" s="1428">
        <f t="shared" si="18"/>
        <v>1</v>
      </c>
      <c r="P75" s="1435"/>
      <c r="Q75" s="1428">
        <f t="shared" si="19"/>
        <v>0</v>
      </c>
      <c r="R75" s="1488">
        <f t="shared" si="20"/>
        <v>0</v>
      </c>
      <c r="S75" s="1427">
        <f t="shared" si="21"/>
        <v>0</v>
      </c>
    </row>
    <row r="76" ht="13" spans="1:19">
      <c r="A76" s="1437"/>
      <c r="B76" s="1432"/>
      <c r="C76" s="1428">
        <f t="shared" si="12"/>
        <v>1</v>
      </c>
      <c r="D76" s="1435"/>
      <c r="E76" s="1428">
        <f t="shared" si="13"/>
        <v>1</v>
      </c>
      <c r="F76" s="1435"/>
      <c r="G76" s="1428">
        <f t="shared" si="14"/>
        <v>1</v>
      </c>
      <c r="H76" s="1435"/>
      <c r="I76" s="1428">
        <f t="shared" si="15"/>
        <v>1</v>
      </c>
      <c r="J76" s="1435"/>
      <c r="K76" s="1428">
        <f t="shared" si="16"/>
        <v>1</v>
      </c>
      <c r="L76" s="1435"/>
      <c r="M76" s="1428">
        <f t="shared" si="17"/>
        <v>1</v>
      </c>
      <c r="N76" s="1435"/>
      <c r="O76" s="1428">
        <f t="shared" si="18"/>
        <v>1</v>
      </c>
      <c r="P76" s="1435"/>
      <c r="Q76" s="1428">
        <f t="shared" si="19"/>
        <v>0</v>
      </c>
      <c r="R76" s="1488">
        <f t="shared" si="20"/>
        <v>0</v>
      </c>
      <c r="S76" s="1427">
        <f t="shared" si="21"/>
        <v>0</v>
      </c>
    </row>
    <row r="77" ht="13" spans="1:19">
      <c r="A77" s="1437"/>
      <c r="B77" s="1432"/>
      <c r="C77" s="1428">
        <f t="shared" si="12"/>
        <v>1</v>
      </c>
      <c r="D77" s="1435"/>
      <c r="E77" s="1428">
        <f t="shared" si="13"/>
        <v>1</v>
      </c>
      <c r="F77" s="1435"/>
      <c r="G77" s="1428">
        <f t="shared" si="14"/>
        <v>1</v>
      </c>
      <c r="H77" s="1435"/>
      <c r="I77" s="1428">
        <f t="shared" si="15"/>
        <v>1</v>
      </c>
      <c r="J77" s="1435"/>
      <c r="K77" s="1428">
        <f t="shared" si="16"/>
        <v>1</v>
      </c>
      <c r="L77" s="1435"/>
      <c r="M77" s="1428">
        <f t="shared" si="17"/>
        <v>1</v>
      </c>
      <c r="N77" s="1435"/>
      <c r="O77" s="1428">
        <f t="shared" si="18"/>
        <v>1</v>
      </c>
      <c r="P77" s="1435"/>
      <c r="Q77" s="1428">
        <f t="shared" si="19"/>
        <v>0</v>
      </c>
      <c r="R77" s="1488">
        <f t="shared" si="20"/>
        <v>0</v>
      </c>
      <c r="S77" s="1427">
        <f t="shared" si="21"/>
        <v>0</v>
      </c>
    </row>
    <row r="78" ht="13" spans="1:19">
      <c r="A78" s="1437"/>
      <c r="B78" s="1432"/>
      <c r="C78" s="1428">
        <f t="shared" si="12"/>
        <v>1</v>
      </c>
      <c r="D78" s="1435"/>
      <c r="E78" s="1428">
        <f t="shared" si="13"/>
        <v>1</v>
      </c>
      <c r="F78" s="1435"/>
      <c r="G78" s="1428">
        <f t="shared" si="14"/>
        <v>1</v>
      </c>
      <c r="H78" s="1435"/>
      <c r="I78" s="1428">
        <f t="shared" si="15"/>
        <v>1</v>
      </c>
      <c r="J78" s="1435"/>
      <c r="K78" s="1428">
        <f t="shared" si="16"/>
        <v>1</v>
      </c>
      <c r="L78" s="1435"/>
      <c r="M78" s="1428">
        <f t="shared" si="17"/>
        <v>1</v>
      </c>
      <c r="N78" s="1435"/>
      <c r="O78" s="1428">
        <f t="shared" si="18"/>
        <v>1</v>
      </c>
      <c r="P78" s="1435"/>
      <c r="Q78" s="1428">
        <f t="shared" si="19"/>
        <v>0</v>
      </c>
      <c r="R78" s="1488">
        <f t="shared" si="20"/>
        <v>0</v>
      </c>
      <c r="S78" s="1427">
        <f t="shared" ref="S78:S122" si="22">ROUND(R78*B78/10000,0)</f>
        <v>0</v>
      </c>
    </row>
    <row r="79" ht="13" spans="1:19">
      <c r="A79" s="1437"/>
      <c r="B79" s="1432"/>
      <c r="C79" s="1428">
        <f t="shared" si="12"/>
        <v>1</v>
      </c>
      <c r="D79" s="1435"/>
      <c r="E79" s="1428">
        <f t="shared" si="13"/>
        <v>1</v>
      </c>
      <c r="F79" s="1435"/>
      <c r="G79" s="1428">
        <f t="shared" si="14"/>
        <v>1</v>
      </c>
      <c r="H79" s="1435"/>
      <c r="I79" s="1428">
        <f t="shared" si="15"/>
        <v>1</v>
      </c>
      <c r="J79" s="1435"/>
      <c r="K79" s="1428">
        <f t="shared" si="16"/>
        <v>1</v>
      </c>
      <c r="L79" s="1435"/>
      <c r="M79" s="1428">
        <f t="shared" si="17"/>
        <v>1</v>
      </c>
      <c r="N79" s="1435"/>
      <c r="O79" s="1428">
        <f t="shared" si="18"/>
        <v>1</v>
      </c>
      <c r="P79" s="1435"/>
      <c r="Q79" s="1428">
        <f t="shared" si="19"/>
        <v>0</v>
      </c>
      <c r="R79" s="1488">
        <f t="shared" si="20"/>
        <v>0</v>
      </c>
      <c r="S79" s="1427">
        <f t="shared" si="22"/>
        <v>0</v>
      </c>
    </row>
    <row r="80" ht="13" spans="1:19">
      <c r="A80" s="1437"/>
      <c r="B80" s="1432"/>
      <c r="C80" s="1428">
        <f t="shared" si="12"/>
        <v>1</v>
      </c>
      <c r="D80" s="1435"/>
      <c r="E80" s="1428">
        <f t="shared" si="13"/>
        <v>1</v>
      </c>
      <c r="F80" s="1435"/>
      <c r="G80" s="1428">
        <f t="shared" si="14"/>
        <v>1</v>
      </c>
      <c r="H80" s="1435"/>
      <c r="I80" s="1428">
        <f t="shared" si="15"/>
        <v>1</v>
      </c>
      <c r="J80" s="1435"/>
      <c r="K80" s="1428">
        <f t="shared" si="16"/>
        <v>1</v>
      </c>
      <c r="L80" s="1435"/>
      <c r="M80" s="1428">
        <f t="shared" si="17"/>
        <v>1</v>
      </c>
      <c r="N80" s="1435"/>
      <c r="O80" s="1428">
        <f t="shared" si="18"/>
        <v>1</v>
      </c>
      <c r="P80" s="1435"/>
      <c r="Q80" s="1428">
        <f t="shared" si="19"/>
        <v>0</v>
      </c>
      <c r="R80" s="1488">
        <f t="shared" si="20"/>
        <v>0</v>
      </c>
      <c r="S80" s="1427">
        <f t="shared" si="22"/>
        <v>0</v>
      </c>
    </row>
    <row r="81" ht="13" spans="1:19">
      <c r="A81" s="1437"/>
      <c r="B81" s="1432"/>
      <c r="C81" s="1428">
        <f t="shared" si="12"/>
        <v>1</v>
      </c>
      <c r="D81" s="1435"/>
      <c r="E81" s="1428">
        <f t="shared" si="13"/>
        <v>1</v>
      </c>
      <c r="F81" s="1435"/>
      <c r="G81" s="1428">
        <f t="shared" si="14"/>
        <v>1</v>
      </c>
      <c r="H81" s="1435"/>
      <c r="I81" s="1428">
        <f t="shared" si="15"/>
        <v>1</v>
      </c>
      <c r="J81" s="1435"/>
      <c r="K81" s="1428">
        <f t="shared" si="16"/>
        <v>1</v>
      </c>
      <c r="L81" s="1435"/>
      <c r="M81" s="1428">
        <f t="shared" si="17"/>
        <v>1</v>
      </c>
      <c r="N81" s="1435"/>
      <c r="O81" s="1428">
        <f t="shared" si="18"/>
        <v>1</v>
      </c>
      <c r="P81" s="1435"/>
      <c r="Q81" s="1428">
        <f t="shared" si="19"/>
        <v>0</v>
      </c>
      <c r="R81" s="1488">
        <f t="shared" si="20"/>
        <v>0</v>
      </c>
      <c r="S81" s="1427">
        <f t="shared" si="22"/>
        <v>0</v>
      </c>
    </row>
    <row r="82" ht="13" spans="1:19">
      <c r="A82" s="1437"/>
      <c r="B82" s="1432"/>
      <c r="C82" s="1428">
        <f t="shared" si="12"/>
        <v>1</v>
      </c>
      <c r="D82" s="1435"/>
      <c r="E82" s="1428">
        <f t="shared" si="13"/>
        <v>1</v>
      </c>
      <c r="F82" s="1435"/>
      <c r="G82" s="1428">
        <f t="shared" si="14"/>
        <v>1</v>
      </c>
      <c r="H82" s="1435"/>
      <c r="I82" s="1428">
        <f t="shared" si="15"/>
        <v>1</v>
      </c>
      <c r="J82" s="1435"/>
      <c r="K82" s="1428">
        <f t="shared" si="16"/>
        <v>1</v>
      </c>
      <c r="L82" s="1435"/>
      <c r="M82" s="1428">
        <f t="shared" si="17"/>
        <v>1</v>
      </c>
      <c r="N82" s="1435"/>
      <c r="O82" s="1428">
        <f t="shared" si="18"/>
        <v>1</v>
      </c>
      <c r="P82" s="1435"/>
      <c r="Q82" s="1428">
        <f t="shared" si="19"/>
        <v>0</v>
      </c>
      <c r="R82" s="1488">
        <f t="shared" si="20"/>
        <v>0</v>
      </c>
      <c r="S82" s="1427">
        <f t="shared" si="22"/>
        <v>0</v>
      </c>
    </row>
    <row r="83" ht="13" spans="1:19">
      <c r="A83" s="1437"/>
      <c r="B83" s="1432"/>
      <c r="C83" s="1428">
        <f t="shared" si="12"/>
        <v>1</v>
      </c>
      <c r="D83" s="1435"/>
      <c r="E83" s="1428">
        <f t="shared" si="13"/>
        <v>1</v>
      </c>
      <c r="F83" s="1435"/>
      <c r="G83" s="1428">
        <f t="shared" si="14"/>
        <v>1</v>
      </c>
      <c r="H83" s="1435"/>
      <c r="I83" s="1428">
        <f t="shared" si="15"/>
        <v>1</v>
      </c>
      <c r="J83" s="1435"/>
      <c r="K83" s="1428">
        <f t="shared" si="16"/>
        <v>1</v>
      </c>
      <c r="L83" s="1435"/>
      <c r="M83" s="1428">
        <f t="shared" si="17"/>
        <v>1</v>
      </c>
      <c r="N83" s="1435"/>
      <c r="O83" s="1428">
        <f t="shared" si="18"/>
        <v>1</v>
      </c>
      <c r="P83" s="1435"/>
      <c r="Q83" s="1428">
        <f t="shared" si="19"/>
        <v>0</v>
      </c>
      <c r="R83" s="1488">
        <f t="shared" si="20"/>
        <v>0</v>
      </c>
      <c r="S83" s="1427">
        <f t="shared" si="22"/>
        <v>0</v>
      </c>
    </row>
    <row r="84" ht="13" spans="1:19">
      <c r="A84" s="1437"/>
      <c r="B84" s="1432"/>
      <c r="C84" s="1428">
        <f t="shared" si="12"/>
        <v>1</v>
      </c>
      <c r="D84" s="1435"/>
      <c r="E84" s="1428">
        <f t="shared" si="13"/>
        <v>1</v>
      </c>
      <c r="F84" s="1435"/>
      <c r="G84" s="1428">
        <f t="shared" si="14"/>
        <v>1</v>
      </c>
      <c r="H84" s="1435"/>
      <c r="I84" s="1428">
        <f t="shared" si="15"/>
        <v>1</v>
      </c>
      <c r="J84" s="1435"/>
      <c r="K84" s="1428">
        <f t="shared" si="16"/>
        <v>1</v>
      </c>
      <c r="L84" s="1435"/>
      <c r="M84" s="1428">
        <f t="shared" si="17"/>
        <v>1</v>
      </c>
      <c r="N84" s="1435"/>
      <c r="O84" s="1428">
        <f t="shared" si="18"/>
        <v>1</v>
      </c>
      <c r="P84" s="1435"/>
      <c r="Q84" s="1428">
        <f t="shared" si="19"/>
        <v>0</v>
      </c>
      <c r="R84" s="1488">
        <f t="shared" si="20"/>
        <v>0</v>
      </c>
      <c r="S84" s="1427">
        <f t="shared" si="22"/>
        <v>0</v>
      </c>
    </row>
    <row r="85" ht="13" spans="1:19">
      <c r="A85" s="1437"/>
      <c r="B85" s="1432"/>
      <c r="C85" s="1428">
        <f t="shared" si="12"/>
        <v>1</v>
      </c>
      <c r="D85" s="1435"/>
      <c r="E85" s="1428">
        <f t="shared" si="13"/>
        <v>1</v>
      </c>
      <c r="F85" s="1435"/>
      <c r="G85" s="1428">
        <f t="shared" si="14"/>
        <v>1</v>
      </c>
      <c r="H85" s="1435"/>
      <c r="I85" s="1428">
        <f t="shared" si="15"/>
        <v>1</v>
      </c>
      <c r="J85" s="1435"/>
      <c r="K85" s="1428">
        <f t="shared" si="16"/>
        <v>1</v>
      </c>
      <c r="L85" s="1435"/>
      <c r="M85" s="1428">
        <f t="shared" si="17"/>
        <v>1</v>
      </c>
      <c r="N85" s="1435"/>
      <c r="O85" s="1428">
        <f t="shared" si="18"/>
        <v>1</v>
      </c>
      <c r="P85" s="1435"/>
      <c r="Q85" s="1428">
        <f t="shared" si="19"/>
        <v>0</v>
      </c>
      <c r="R85" s="1488">
        <f t="shared" si="20"/>
        <v>0</v>
      </c>
      <c r="S85" s="1427">
        <f t="shared" si="22"/>
        <v>0</v>
      </c>
    </row>
    <row r="86" ht="13" spans="1:19">
      <c r="A86" s="1437"/>
      <c r="B86" s="1432"/>
      <c r="C86" s="1428">
        <f t="shared" si="12"/>
        <v>1</v>
      </c>
      <c r="D86" s="1435"/>
      <c r="E86" s="1428">
        <f t="shared" si="13"/>
        <v>1</v>
      </c>
      <c r="F86" s="1435"/>
      <c r="G86" s="1428">
        <f t="shared" si="14"/>
        <v>1</v>
      </c>
      <c r="H86" s="1435"/>
      <c r="I86" s="1428">
        <f t="shared" si="15"/>
        <v>1</v>
      </c>
      <c r="J86" s="1435"/>
      <c r="K86" s="1428">
        <f t="shared" si="16"/>
        <v>1</v>
      </c>
      <c r="L86" s="1435"/>
      <c r="M86" s="1428">
        <f t="shared" si="17"/>
        <v>1</v>
      </c>
      <c r="N86" s="1435"/>
      <c r="O86" s="1428">
        <f t="shared" si="18"/>
        <v>1</v>
      </c>
      <c r="P86" s="1435"/>
      <c r="Q86" s="1428">
        <f t="shared" si="19"/>
        <v>0</v>
      </c>
      <c r="R86" s="1488">
        <f t="shared" si="20"/>
        <v>0</v>
      </c>
      <c r="S86" s="1427">
        <f t="shared" si="22"/>
        <v>0</v>
      </c>
    </row>
    <row r="87" ht="13" spans="1:19">
      <c r="A87" s="1437"/>
      <c r="B87" s="1432"/>
      <c r="C87" s="1428">
        <f t="shared" si="12"/>
        <v>1</v>
      </c>
      <c r="D87" s="1435"/>
      <c r="E87" s="1428">
        <f t="shared" si="13"/>
        <v>1</v>
      </c>
      <c r="F87" s="1435"/>
      <c r="G87" s="1428">
        <f t="shared" si="14"/>
        <v>1</v>
      </c>
      <c r="H87" s="1435"/>
      <c r="I87" s="1428">
        <f t="shared" si="15"/>
        <v>1</v>
      </c>
      <c r="J87" s="1435"/>
      <c r="K87" s="1428">
        <f t="shared" si="16"/>
        <v>1</v>
      </c>
      <c r="L87" s="1435"/>
      <c r="M87" s="1428">
        <f t="shared" si="17"/>
        <v>1</v>
      </c>
      <c r="N87" s="1435"/>
      <c r="O87" s="1428">
        <f t="shared" si="18"/>
        <v>1</v>
      </c>
      <c r="P87" s="1435"/>
      <c r="Q87" s="1428">
        <f t="shared" si="19"/>
        <v>0</v>
      </c>
      <c r="R87" s="1488">
        <f t="shared" si="20"/>
        <v>0</v>
      </c>
      <c r="S87" s="1427">
        <f t="shared" si="22"/>
        <v>0</v>
      </c>
    </row>
    <row r="88" ht="13" spans="1:19">
      <c r="A88" s="1437"/>
      <c r="B88" s="1432"/>
      <c r="C88" s="1428">
        <f t="shared" si="12"/>
        <v>1</v>
      </c>
      <c r="D88" s="1435"/>
      <c r="E88" s="1428">
        <f t="shared" si="13"/>
        <v>1</v>
      </c>
      <c r="F88" s="1435"/>
      <c r="G88" s="1428">
        <f t="shared" si="14"/>
        <v>1</v>
      </c>
      <c r="H88" s="1435"/>
      <c r="I88" s="1428">
        <f t="shared" si="15"/>
        <v>1</v>
      </c>
      <c r="J88" s="1435"/>
      <c r="K88" s="1428">
        <f t="shared" si="16"/>
        <v>1</v>
      </c>
      <c r="L88" s="1435"/>
      <c r="M88" s="1428">
        <f t="shared" si="17"/>
        <v>1</v>
      </c>
      <c r="N88" s="1435"/>
      <c r="O88" s="1428">
        <f t="shared" si="18"/>
        <v>1</v>
      </c>
      <c r="P88" s="1435"/>
      <c r="Q88" s="1428">
        <f t="shared" si="19"/>
        <v>0</v>
      </c>
      <c r="R88" s="1488">
        <f t="shared" si="20"/>
        <v>0</v>
      </c>
      <c r="S88" s="1427">
        <f t="shared" si="22"/>
        <v>0</v>
      </c>
    </row>
    <row r="89" ht="13" spans="1:19">
      <c r="A89" s="1437"/>
      <c r="B89" s="1432"/>
      <c r="C89" s="1428">
        <f t="shared" si="12"/>
        <v>1</v>
      </c>
      <c r="D89" s="1435"/>
      <c r="E89" s="1428">
        <f t="shared" si="13"/>
        <v>1</v>
      </c>
      <c r="F89" s="1435"/>
      <c r="G89" s="1428">
        <f t="shared" si="14"/>
        <v>1</v>
      </c>
      <c r="H89" s="1435"/>
      <c r="I89" s="1428">
        <f t="shared" si="15"/>
        <v>1</v>
      </c>
      <c r="J89" s="1435"/>
      <c r="K89" s="1428">
        <f t="shared" si="16"/>
        <v>1</v>
      </c>
      <c r="L89" s="1435"/>
      <c r="M89" s="1428">
        <f t="shared" si="17"/>
        <v>1</v>
      </c>
      <c r="N89" s="1435"/>
      <c r="O89" s="1428">
        <f t="shared" si="18"/>
        <v>1</v>
      </c>
      <c r="P89" s="1435"/>
      <c r="Q89" s="1428">
        <f t="shared" si="19"/>
        <v>0</v>
      </c>
      <c r="R89" s="1488">
        <f t="shared" si="20"/>
        <v>0</v>
      </c>
      <c r="S89" s="1427">
        <f t="shared" si="22"/>
        <v>0</v>
      </c>
    </row>
    <row r="90" ht="13" spans="1:19">
      <c r="A90" s="1437"/>
      <c r="B90" s="1432"/>
      <c r="C90" s="1428">
        <f t="shared" ref="C90:C153" si="23">IF(B90="",1,(LOOKUP(B90,$3:$3,$4:$4)-LOOKUP($B$24,$3:$3,$4:$4)+100)/100)</f>
        <v>1</v>
      </c>
      <c r="D90" s="1435"/>
      <c r="E90" s="1428">
        <f t="shared" ref="E90:E153" si="24">(SUMIF($5:$5,D90,$6:$6)-SUMIF($5:$5,$D$24,$6:$6)+100)/100</f>
        <v>1</v>
      </c>
      <c r="F90" s="1435"/>
      <c r="G90" s="1428">
        <f t="shared" ref="G90:G153" si="25">(SUMIF($7:$7,F90,$8:$8)-SUMIF($7:$7,$F$24,$8:$8)+100)/100</f>
        <v>1</v>
      </c>
      <c r="H90" s="1435"/>
      <c r="I90" s="1428">
        <f t="shared" ref="I90:I153" si="26">(SUMIF($9:$9,H90,$10:$10)-SUMIF($9:$9,$H$24,$10:$10)+100)/100</f>
        <v>1</v>
      </c>
      <c r="J90" s="1435"/>
      <c r="K90" s="1428">
        <f t="shared" ref="K90:K153" si="27">(SUMIF($11:$11,J90,$12:$12)-SUMIF($11:$11,$J$24,$12:$12)+100)/100</f>
        <v>1</v>
      </c>
      <c r="L90" s="1435"/>
      <c r="M90" s="1428">
        <f t="shared" ref="M90:M153" si="28">(SUMIF($13:$13,L90,$14:$14)-SUMIF($13:$13,$L$24,$14:$14)+100)/100</f>
        <v>1</v>
      </c>
      <c r="N90" s="1435"/>
      <c r="O90" s="1428">
        <f t="shared" ref="O90:O153" si="29">(SUMIF($15:$15,N90,$16:$16)-SUMIF($15:$15,$N$24,$16:$16)+100)/100</f>
        <v>1</v>
      </c>
      <c r="P90" s="1435"/>
      <c r="Q90" s="1428">
        <f t="shared" ref="Q90:Q153" si="30">(SUMIF($17:$17,P90,$18:$18)-SUMIF($17:$17,$P$24,$18:$18)+100)/100</f>
        <v>0</v>
      </c>
      <c r="R90" s="1488">
        <f t="shared" ref="R90:R153" si="31">IF(B90="",0,ROUND($R$24*C90*E90*G90*I90*K90*M90*O90*Q90,0))</f>
        <v>0</v>
      </c>
      <c r="S90" s="1427">
        <f t="shared" si="22"/>
        <v>0</v>
      </c>
    </row>
    <row r="91" ht="13" spans="1:19">
      <c r="A91" s="1437"/>
      <c r="B91" s="1432"/>
      <c r="C91" s="1428">
        <f t="shared" si="23"/>
        <v>1</v>
      </c>
      <c r="D91" s="1435"/>
      <c r="E91" s="1428">
        <f t="shared" si="24"/>
        <v>1</v>
      </c>
      <c r="F91" s="1435"/>
      <c r="G91" s="1428">
        <f t="shared" si="25"/>
        <v>1</v>
      </c>
      <c r="H91" s="1435"/>
      <c r="I91" s="1428">
        <f t="shared" si="26"/>
        <v>1</v>
      </c>
      <c r="J91" s="1435"/>
      <c r="K91" s="1428">
        <f t="shared" si="27"/>
        <v>1</v>
      </c>
      <c r="L91" s="1435"/>
      <c r="M91" s="1428">
        <f t="shared" si="28"/>
        <v>1</v>
      </c>
      <c r="N91" s="1435"/>
      <c r="O91" s="1428">
        <f t="shared" si="29"/>
        <v>1</v>
      </c>
      <c r="P91" s="1435"/>
      <c r="Q91" s="1428">
        <f t="shared" si="30"/>
        <v>0</v>
      </c>
      <c r="R91" s="1488">
        <f t="shared" si="31"/>
        <v>0</v>
      </c>
      <c r="S91" s="1427">
        <f t="shared" si="22"/>
        <v>0</v>
      </c>
    </row>
    <row r="92" ht="13" spans="1:19">
      <c r="A92" s="1437"/>
      <c r="B92" s="1432"/>
      <c r="C92" s="1428">
        <f t="shared" si="23"/>
        <v>1</v>
      </c>
      <c r="D92" s="1435"/>
      <c r="E92" s="1428">
        <f t="shared" si="24"/>
        <v>1</v>
      </c>
      <c r="F92" s="1435"/>
      <c r="G92" s="1428">
        <f t="shared" si="25"/>
        <v>1</v>
      </c>
      <c r="H92" s="1435"/>
      <c r="I92" s="1428">
        <f t="shared" si="26"/>
        <v>1</v>
      </c>
      <c r="J92" s="1435"/>
      <c r="K92" s="1428">
        <f t="shared" si="27"/>
        <v>1</v>
      </c>
      <c r="L92" s="1435"/>
      <c r="M92" s="1428">
        <f t="shared" si="28"/>
        <v>1</v>
      </c>
      <c r="N92" s="1435"/>
      <c r="O92" s="1428">
        <f t="shared" si="29"/>
        <v>1</v>
      </c>
      <c r="P92" s="1435"/>
      <c r="Q92" s="1428">
        <f t="shared" si="30"/>
        <v>0</v>
      </c>
      <c r="R92" s="1488">
        <f t="shared" si="31"/>
        <v>0</v>
      </c>
      <c r="S92" s="1427">
        <f t="shared" si="22"/>
        <v>0</v>
      </c>
    </row>
    <row r="93" ht="13" spans="1:19">
      <c r="A93" s="1437"/>
      <c r="B93" s="1432"/>
      <c r="C93" s="1428">
        <f t="shared" si="23"/>
        <v>1</v>
      </c>
      <c r="D93" s="1435"/>
      <c r="E93" s="1428">
        <f t="shared" si="24"/>
        <v>1</v>
      </c>
      <c r="F93" s="1435"/>
      <c r="G93" s="1428">
        <f t="shared" si="25"/>
        <v>1</v>
      </c>
      <c r="H93" s="1435"/>
      <c r="I93" s="1428">
        <f t="shared" si="26"/>
        <v>1</v>
      </c>
      <c r="J93" s="1435"/>
      <c r="K93" s="1428">
        <f t="shared" si="27"/>
        <v>1</v>
      </c>
      <c r="L93" s="1435"/>
      <c r="M93" s="1428">
        <f t="shared" si="28"/>
        <v>1</v>
      </c>
      <c r="N93" s="1435"/>
      <c r="O93" s="1428">
        <f t="shared" si="29"/>
        <v>1</v>
      </c>
      <c r="P93" s="1435"/>
      <c r="Q93" s="1428">
        <f t="shared" si="30"/>
        <v>0</v>
      </c>
      <c r="R93" s="1488">
        <f t="shared" si="31"/>
        <v>0</v>
      </c>
      <c r="S93" s="1427">
        <f t="shared" si="22"/>
        <v>0</v>
      </c>
    </row>
    <row r="94" ht="13" spans="1:19">
      <c r="A94" s="1437"/>
      <c r="B94" s="1432"/>
      <c r="C94" s="1428">
        <f t="shared" si="23"/>
        <v>1</v>
      </c>
      <c r="D94" s="1435"/>
      <c r="E94" s="1428">
        <f t="shared" si="24"/>
        <v>1</v>
      </c>
      <c r="F94" s="1435"/>
      <c r="G94" s="1428">
        <f t="shared" si="25"/>
        <v>1</v>
      </c>
      <c r="H94" s="1435"/>
      <c r="I94" s="1428">
        <f t="shared" si="26"/>
        <v>1</v>
      </c>
      <c r="J94" s="1435"/>
      <c r="K94" s="1428">
        <f t="shared" si="27"/>
        <v>1</v>
      </c>
      <c r="L94" s="1435"/>
      <c r="M94" s="1428">
        <f t="shared" si="28"/>
        <v>1</v>
      </c>
      <c r="N94" s="1435"/>
      <c r="O94" s="1428">
        <f t="shared" si="29"/>
        <v>1</v>
      </c>
      <c r="P94" s="1435"/>
      <c r="Q94" s="1428">
        <f t="shared" si="30"/>
        <v>0</v>
      </c>
      <c r="R94" s="1488">
        <f t="shared" si="31"/>
        <v>0</v>
      </c>
      <c r="S94" s="1427">
        <f t="shared" si="22"/>
        <v>0</v>
      </c>
    </row>
    <row r="95" ht="13" spans="1:19">
      <c r="A95" s="1437"/>
      <c r="B95" s="1432"/>
      <c r="C95" s="1428">
        <f t="shared" si="23"/>
        <v>1</v>
      </c>
      <c r="D95" s="1435"/>
      <c r="E95" s="1428">
        <f t="shared" si="24"/>
        <v>1</v>
      </c>
      <c r="F95" s="1435"/>
      <c r="G95" s="1428">
        <f t="shared" si="25"/>
        <v>1</v>
      </c>
      <c r="H95" s="1435"/>
      <c r="I95" s="1428">
        <f t="shared" si="26"/>
        <v>1</v>
      </c>
      <c r="J95" s="1435"/>
      <c r="K95" s="1428">
        <f t="shared" si="27"/>
        <v>1</v>
      </c>
      <c r="L95" s="1435"/>
      <c r="M95" s="1428">
        <f t="shared" si="28"/>
        <v>1</v>
      </c>
      <c r="N95" s="1435"/>
      <c r="O95" s="1428">
        <f t="shared" si="29"/>
        <v>1</v>
      </c>
      <c r="P95" s="1435"/>
      <c r="Q95" s="1428">
        <f t="shared" si="30"/>
        <v>0</v>
      </c>
      <c r="R95" s="1488">
        <f t="shared" si="31"/>
        <v>0</v>
      </c>
      <c r="S95" s="1427">
        <f t="shared" si="22"/>
        <v>0</v>
      </c>
    </row>
    <row r="96" ht="13" spans="1:19">
      <c r="A96" s="1437"/>
      <c r="B96" s="1432"/>
      <c r="C96" s="1428">
        <f t="shared" si="23"/>
        <v>1</v>
      </c>
      <c r="D96" s="1435"/>
      <c r="E96" s="1428">
        <f t="shared" si="24"/>
        <v>1</v>
      </c>
      <c r="F96" s="1435"/>
      <c r="G96" s="1428">
        <f t="shared" si="25"/>
        <v>1</v>
      </c>
      <c r="H96" s="1435"/>
      <c r="I96" s="1428">
        <f t="shared" si="26"/>
        <v>1</v>
      </c>
      <c r="J96" s="1435"/>
      <c r="K96" s="1428">
        <f t="shared" si="27"/>
        <v>1</v>
      </c>
      <c r="L96" s="1435"/>
      <c r="M96" s="1428">
        <f t="shared" si="28"/>
        <v>1</v>
      </c>
      <c r="N96" s="1435"/>
      <c r="O96" s="1428">
        <f t="shared" si="29"/>
        <v>1</v>
      </c>
      <c r="P96" s="1435"/>
      <c r="Q96" s="1428">
        <f t="shared" si="30"/>
        <v>0</v>
      </c>
      <c r="R96" s="1488">
        <f t="shared" si="31"/>
        <v>0</v>
      </c>
      <c r="S96" s="1427">
        <f t="shared" si="22"/>
        <v>0</v>
      </c>
    </row>
    <row r="97" ht="13" spans="1:19">
      <c r="A97" s="1437"/>
      <c r="B97" s="1432"/>
      <c r="C97" s="1428">
        <f t="shared" si="23"/>
        <v>1</v>
      </c>
      <c r="D97" s="1435"/>
      <c r="E97" s="1428">
        <f t="shared" si="24"/>
        <v>1</v>
      </c>
      <c r="F97" s="1435"/>
      <c r="G97" s="1428">
        <f t="shared" si="25"/>
        <v>1</v>
      </c>
      <c r="H97" s="1435"/>
      <c r="I97" s="1428">
        <f t="shared" si="26"/>
        <v>1</v>
      </c>
      <c r="J97" s="1435"/>
      <c r="K97" s="1428">
        <f t="shared" si="27"/>
        <v>1</v>
      </c>
      <c r="L97" s="1435"/>
      <c r="M97" s="1428">
        <f t="shared" si="28"/>
        <v>1</v>
      </c>
      <c r="N97" s="1435"/>
      <c r="O97" s="1428">
        <f t="shared" si="29"/>
        <v>1</v>
      </c>
      <c r="P97" s="1435"/>
      <c r="Q97" s="1428">
        <f t="shared" si="30"/>
        <v>0</v>
      </c>
      <c r="R97" s="1488">
        <f t="shared" si="31"/>
        <v>0</v>
      </c>
      <c r="S97" s="1427">
        <f t="shared" si="22"/>
        <v>0</v>
      </c>
    </row>
    <row r="98" ht="13" spans="1:19">
      <c r="A98" s="1437"/>
      <c r="B98" s="1432"/>
      <c r="C98" s="1428">
        <f t="shared" si="23"/>
        <v>1</v>
      </c>
      <c r="D98" s="1435"/>
      <c r="E98" s="1428">
        <f t="shared" si="24"/>
        <v>1</v>
      </c>
      <c r="F98" s="1435"/>
      <c r="G98" s="1428">
        <f t="shared" si="25"/>
        <v>1</v>
      </c>
      <c r="H98" s="1435"/>
      <c r="I98" s="1428">
        <f t="shared" si="26"/>
        <v>1</v>
      </c>
      <c r="J98" s="1435"/>
      <c r="K98" s="1428">
        <f t="shared" si="27"/>
        <v>1</v>
      </c>
      <c r="L98" s="1435"/>
      <c r="M98" s="1428">
        <f t="shared" si="28"/>
        <v>1</v>
      </c>
      <c r="N98" s="1435"/>
      <c r="O98" s="1428">
        <f t="shared" si="29"/>
        <v>1</v>
      </c>
      <c r="P98" s="1435"/>
      <c r="Q98" s="1428">
        <f t="shared" si="30"/>
        <v>0</v>
      </c>
      <c r="R98" s="1488">
        <f t="shared" si="31"/>
        <v>0</v>
      </c>
      <c r="S98" s="1427">
        <f t="shared" si="22"/>
        <v>0</v>
      </c>
    </row>
    <row r="99" ht="13" spans="1:19">
      <c r="A99" s="1437"/>
      <c r="B99" s="1432"/>
      <c r="C99" s="1428">
        <f t="shared" si="23"/>
        <v>1</v>
      </c>
      <c r="D99" s="1435"/>
      <c r="E99" s="1428">
        <f t="shared" si="24"/>
        <v>1</v>
      </c>
      <c r="F99" s="1435"/>
      <c r="G99" s="1428">
        <f t="shared" si="25"/>
        <v>1</v>
      </c>
      <c r="H99" s="1435"/>
      <c r="I99" s="1428">
        <f t="shared" si="26"/>
        <v>1</v>
      </c>
      <c r="J99" s="1435"/>
      <c r="K99" s="1428">
        <f t="shared" si="27"/>
        <v>1</v>
      </c>
      <c r="L99" s="1435"/>
      <c r="M99" s="1428">
        <f t="shared" si="28"/>
        <v>1</v>
      </c>
      <c r="N99" s="1435"/>
      <c r="O99" s="1428">
        <f t="shared" si="29"/>
        <v>1</v>
      </c>
      <c r="P99" s="1435"/>
      <c r="Q99" s="1428">
        <f t="shared" si="30"/>
        <v>0</v>
      </c>
      <c r="R99" s="1488">
        <f t="shared" si="31"/>
        <v>0</v>
      </c>
      <c r="S99" s="1427">
        <f t="shared" si="22"/>
        <v>0</v>
      </c>
    </row>
    <row r="100" ht="13" spans="1:19">
      <c r="A100" s="1437"/>
      <c r="B100" s="1432"/>
      <c r="C100" s="1428">
        <f t="shared" si="23"/>
        <v>1</v>
      </c>
      <c r="D100" s="1435"/>
      <c r="E100" s="1428">
        <f t="shared" si="24"/>
        <v>1</v>
      </c>
      <c r="F100" s="1435"/>
      <c r="G100" s="1428">
        <f t="shared" si="25"/>
        <v>1</v>
      </c>
      <c r="H100" s="1435"/>
      <c r="I100" s="1428">
        <f t="shared" si="26"/>
        <v>1</v>
      </c>
      <c r="J100" s="1435"/>
      <c r="K100" s="1428">
        <f t="shared" si="27"/>
        <v>1</v>
      </c>
      <c r="L100" s="1435"/>
      <c r="M100" s="1428">
        <f t="shared" si="28"/>
        <v>1</v>
      </c>
      <c r="N100" s="1435"/>
      <c r="O100" s="1428">
        <f t="shared" si="29"/>
        <v>1</v>
      </c>
      <c r="P100" s="1435"/>
      <c r="Q100" s="1428">
        <f t="shared" si="30"/>
        <v>0</v>
      </c>
      <c r="R100" s="1488">
        <f t="shared" si="31"/>
        <v>0</v>
      </c>
      <c r="S100" s="1427">
        <f t="shared" si="22"/>
        <v>0</v>
      </c>
    </row>
    <row r="101" ht="13" spans="1:19">
      <c r="A101" s="1437"/>
      <c r="B101" s="1432"/>
      <c r="C101" s="1428">
        <f t="shared" si="23"/>
        <v>1</v>
      </c>
      <c r="D101" s="1435"/>
      <c r="E101" s="1428">
        <f t="shared" si="24"/>
        <v>1</v>
      </c>
      <c r="F101" s="1435"/>
      <c r="G101" s="1428">
        <f t="shared" si="25"/>
        <v>1</v>
      </c>
      <c r="H101" s="1435"/>
      <c r="I101" s="1428">
        <f t="shared" si="26"/>
        <v>1</v>
      </c>
      <c r="J101" s="1435"/>
      <c r="K101" s="1428">
        <f t="shared" si="27"/>
        <v>1</v>
      </c>
      <c r="L101" s="1435"/>
      <c r="M101" s="1428">
        <f t="shared" si="28"/>
        <v>1</v>
      </c>
      <c r="N101" s="1435"/>
      <c r="O101" s="1428">
        <f t="shared" si="29"/>
        <v>1</v>
      </c>
      <c r="P101" s="1435"/>
      <c r="Q101" s="1428">
        <f t="shared" si="30"/>
        <v>0</v>
      </c>
      <c r="R101" s="1488">
        <f t="shared" si="31"/>
        <v>0</v>
      </c>
      <c r="S101" s="1427">
        <f t="shared" si="22"/>
        <v>0</v>
      </c>
    </row>
    <row r="102" ht="13" spans="1:19">
      <c r="A102" s="1437"/>
      <c r="B102" s="1432"/>
      <c r="C102" s="1428">
        <f t="shared" si="23"/>
        <v>1</v>
      </c>
      <c r="D102" s="1435"/>
      <c r="E102" s="1428">
        <f t="shared" si="24"/>
        <v>1</v>
      </c>
      <c r="F102" s="1435"/>
      <c r="G102" s="1428">
        <f t="shared" si="25"/>
        <v>1</v>
      </c>
      <c r="H102" s="1435"/>
      <c r="I102" s="1428">
        <f t="shared" si="26"/>
        <v>1</v>
      </c>
      <c r="J102" s="1435"/>
      <c r="K102" s="1428">
        <f t="shared" si="27"/>
        <v>1</v>
      </c>
      <c r="L102" s="1435"/>
      <c r="M102" s="1428">
        <f t="shared" si="28"/>
        <v>1</v>
      </c>
      <c r="N102" s="1435"/>
      <c r="O102" s="1428">
        <f t="shared" si="29"/>
        <v>1</v>
      </c>
      <c r="P102" s="1435"/>
      <c r="Q102" s="1428">
        <f t="shared" si="30"/>
        <v>0</v>
      </c>
      <c r="R102" s="1488">
        <f t="shared" si="31"/>
        <v>0</v>
      </c>
      <c r="S102" s="1427">
        <f t="shared" si="22"/>
        <v>0</v>
      </c>
    </row>
    <row r="103" ht="13" spans="1:19">
      <c r="A103" s="1437"/>
      <c r="B103" s="1432"/>
      <c r="C103" s="1428">
        <f t="shared" si="23"/>
        <v>1</v>
      </c>
      <c r="D103" s="1435"/>
      <c r="E103" s="1428">
        <f t="shared" si="24"/>
        <v>1</v>
      </c>
      <c r="F103" s="1435"/>
      <c r="G103" s="1428">
        <f t="shared" si="25"/>
        <v>1</v>
      </c>
      <c r="H103" s="1435"/>
      <c r="I103" s="1428">
        <f t="shared" si="26"/>
        <v>1</v>
      </c>
      <c r="J103" s="1435"/>
      <c r="K103" s="1428">
        <f t="shared" si="27"/>
        <v>1</v>
      </c>
      <c r="L103" s="1435"/>
      <c r="M103" s="1428">
        <f t="shared" si="28"/>
        <v>1</v>
      </c>
      <c r="N103" s="1435"/>
      <c r="O103" s="1428">
        <f t="shared" si="29"/>
        <v>1</v>
      </c>
      <c r="P103" s="1435"/>
      <c r="Q103" s="1428">
        <f t="shared" si="30"/>
        <v>0</v>
      </c>
      <c r="R103" s="1488">
        <f t="shared" si="31"/>
        <v>0</v>
      </c>
      <c r="S103" s="1427">
        <f t="shared" si="22"/>
        <v>0</v>
      </c>
    </row>
    <row r="104" ht="13" spans="1:19">
      <c r="A104" s="1437"/>
      <c r="B104" s="1432"/>
      <c r="C104" s="1428">
        <f t="shared" si="23"/>
        <v>1</v>
      </c>
      <c r="D104" s="1435"/>
      <c r="E104" s="1428">
        <f t="shared" si="24"/>
        <v>1</v>
      </c>
      <c r="F104" s="1435"/>
      <c r="G104" s="1428">
        <f t="shared" si="25"/>
        <v>1</v>
      </c>
      <c r="H104" s="1435"/>
      <c r="I104" s="1428">
        <f t="shared" si="26"/>
        <v>1</v>
      </c>
      <c r="J104" s="1435"/>
      <c r="K104" s="1428">
        <f t="shared" si="27"/>
        <v>1</v>
      </c>
      <c r="L104" s="1435"/>
      <c r="M104" s="1428">
        <f t="shared" si="28"/>
        <v>1</v>
      </c>
      <c r="N104" s="1435"/>
      <c r="O104" s="1428">
        <f t="shared" si="29"/>
        <v>1</v>
      </c>
      <c r="P104" s="1435"/>
      <c r="Q104" s="1428">
        <f t="shared" si="30"/>
        <v>0</v>
      </c>
      <c r="R104" s="1488">
        <f t="shared" si="31"/>
        <v>0</v>
      </c>
      <c r="S104" s="1427">
        <f t="shared" si="22"/>
        <v>0</v>
      </c>
    </row>
    <row r="105" ht="13" spans="1:19">
      <c r="A105" s="1437"/>
      <c r="B105" s="1432"/>
      <c r="C105" s="1428">
        <f t="shared" si="23"/>
        <v>1</v>
      </c>
      <c r="D105" s="1435"/>
      <c r="E105" s="1428">
        <f t="shared" si="24"/>
        <v>1</v>
      </c>
      <c r="F105" s="1435"/>
      <c r="G105" s="1428">
        <f t="shared" si="25"/>
        <v>1</v>
      </c>
      <c r="H105" s="1435"/>
      <c r="I105" s="1428">
        <f t="shared" si="26"/>
        <v>1</v>
      </c>
      <c r="J105" s="1435"/>
      <c r="K105" s="1428">
        <f t="shared" si="27"/>
        <v>1</v>
      </c>
      <c r="L105" s="1435"/>
      <c r="M105" s="1428">
        <f t="shared" si="28"/>
        <v>1</v>
      </c>
      <c r="N105" s="1435"/>
      <c r="O105" s="1428">
        <f t="shared" si="29"/>
        <v>1</v>
      </c>
      <c r="P105" s="1435"/>
      <c r="Q105" s="1428">
        <f t="shared" si="30"/>
        <v>0</v>
      </c>
      <c r="R105" s="1488">
        <f t="shared" si="31"/>
        <v>0</v>
      </c>
      <c r="S105" s="1427">
        <f t="shared" si="22"/>
        <v>0</v>
      </c>
    </row>
    <row r="106" ht="13" spans="1:19">
      <c r="A106" s="1437"/>
      <c r="B106" s="1432"/>
      <c r="C106" s="1428">
        <f t="shared" si="23"/>
        <v>1</v>
      </c>
      <c r="D106" s="1435"/>
      <c r="E106" s="1428">
        <f t="shared" si="24"/>
        <v>1</v>
      </c>
      <c r="F106" s="1435"/>
      <c r="G106" s="1428">
        <f t="shared" si="25"/>
        <v>1</v>
      </c>
      <c r="H106" s="1435"/>
      <c r="I106" s="1428">
        <f t="shared" si="26"/>
        <v>1</v>
      </c>
      <c r="J106" s="1435"/>
      <c r="K106" s="1428">
        <f t="shared" si="27"/>
        <v>1</v>
      </c>
      <c r="L106" s="1435"/>
      <c r="M106" s="1428">
        <f t="shared" si="28"/>
        <v>1</v>
      </c>
      <c r="N106" s="1435"/>
      <c r="O106" s="1428">
        <f t="shared" si="29"/>
        <v>1</v>
      </c>
      <c r="P106" s="1435"/>
      <c r="Q106" s="1428">
        <f t="shared" si="30"/>
        <v>0</v>
      </c>
      <c r="R106" s="1488">
        <f t="shared" si="31"/>
        <v>0</v>
      </c>
      <c r="S106" s="1427">
        <f t="shared" si="22"/>
        <v>0</v>
      </c>
    </row>
    <row r="107" ht="13" spans="1:19">
      <c r="A107" s="1437"/>
      <c r="B107" s="1432"/>
      <c r="C107" s="1428">
        <f t="shared" si="23"/>
        <v>1</v>
      </c>
      <c r="D107" s="1435"/>
      <c r="E107" s="1428">
        <f t="shared" si="24"/>
        <v>1</v>
      </c>
      <c r="F107" s="1435"/>
      <c r="G107" s="1428">
        <f t="shared" si="25"/>
        <v>1</v>
      </c>
      <c r="H107" s="1435"/>
      <c r="I107" s="1428">
        <f t="shared" si="26"/>
        <v>1</v>
      </c>
      <c r="J107" s="1435"/>
      <c r="K107" s="1428">
        <f t="shared" si="27"/>
        <v>1</v>
      </c>
      <c r="L107" s="1435"/>
      <c r="M107" s="1428">
        <f t="shared" si="28"/>
        <v>1</v>
      </c>
      <c r="N107" s="1435"/>
      <c r="O107" s="1428">
        <f t="shared" si="29"/>
        <v>1</v>
      </c>
      <c r="P107" s="1435"/>
      <c r="Q107" s="1428">
        <f t="shared" si="30"/>
        <v>0</v>
      </c>
      <c r="R107" s="1488">
        <f t="shared" si="31"/>
        <v>0</v>
      </c>
      <c r="S107" s="1427">
        <f t="shared" si="22"/>
        <v>0</v>
      </c>
    </row>
    <row r="108" ht="13" spans="1:19">
      <c r="A108" s="1437"/>
      <c r="B108" s="1432"/>
      <c r="C108" s="1428">
        <f t="shared" si="23"/>
        <v>1</v>
      </c>
      <c r="D108" s="1435"/>
      <c r="E108" s="1428">
        <f t="shared" si="24"/>
        <v>1</v>
      </c>
      <c r="F108" s="1435"/>
      <c r="G108" s="1428">
        <f t="shared" si="25"/>
        <v>1</v>
      </c>
      <c r="H108" s="1435"/>
      <c r="I108" s="1428">
        <f t="shared" si="26"/>
        <v>1</v>
      </c>
      <c r="J108" s="1435"/>
      <c r="K108" s="1428">
        <f t="shared" si="27"/>
        <v>1</v>
      </c>
      <c r="L108" s="1435"/>
      <c r="M108" s="1428">
        <f t="shared" si="28"/>
        <v>1</v>
      </c>
      <c r="N108" s="1435"/>
      <c r="O108" s="1428">
        <f t="shared" si="29"/>
        <v>1</v>
      </c>
      <c r="P108" s="1435"/>
      <c r="Q108" s="1428">
        <f t="shared" si="30"/>
        <v>0</v>
      </c>
      <c r="R108" s="1488">
        <f t="shared" si="31"/>
        <v>0</v>
      </c>
      <c r="S108" s="1427">
        <f t="shared" si="22"/>
        <v>0</v>
      </c>
    </row>
    <row r="109" ht="13" spans="1:19">
      <c r="A109" s="1437"/>
      <c r="B109" s="1432"/>
      <c r="C109" s="1428">
        <f t="shared" si="23"/>
        <v>1</v>
      </c>
      <c r="D109" s="1435"/>
      <c r="E109" s="1428">
        <f t="shared" si="24"/>
        <v>1</v>
      </c>
      <c r="F109" s="1435"/>
      <c r="G109" s="1428">
        <f t="shared" si="25"/>
        <v>1</v>
      </c>
      <c r="H109" s="1435"/>
      <c r="I109" s="1428">
        <f t="shared" si="26"/>
        <v>1</v>
      </c>
      <c r="J109" s="1435"/>
      <c r="K109" s="1428">
        <f t="shared" si="27"/>
        <v>1</v>
      </c>
      <c r="L109" s="1435"/>
      <c r="M109" s="1428">
        <f t="shared" si="28"/>
        <v>1</v>
      </c>
      <c r="N109" s="1435"/>
      <c r="O109" s="1428">
        <f t="shared" si="29"/>
        <v>1</v>
      </c>
      <c r="P109" s="1435"/>
      <c r="Q109" s="1428">
        <f t="shared" si="30"/>
        <v>0</v>
      </c>
      <c r="R109" s="1488">
        <f t="shared" si="31"/>
        <v>0</v>
      </c>
      <c r="S109" s="1427">
        <f t="shared" si="22"/>
        <v>0</v>
      </c>
    </row>
    <row r="110" ht="13" spans="1:19">
      <c r="A110" s="1437"/>
      <c r="B110" s="1432"/>
      <c r="C110" s="1428">
        <f t="shared" si="23"/>
        <v>1</v>
      </c>
      <c r="D110" s="1435"/>
      <c r="E110" s="1428">
        <f t="shared" si="24"/>
        <v>1</v>
      </c>
      <c r="F110" s="1435"/>
      <c r="G110" s="1428">
        <f t="shared" si="25"/>
        <v>1</v>
      </c>
      <c r="H110" s="1435"/>
      <c r="I110" s="1428">
        <f t="shared" si="26"/>
        <v>1</v>
      </c>
      <c r="J110" s="1435"/>
      <c r="K110" s="1428">
        <f t="shared" si="27"/>
        <v>1</v>
      </c>
      <c r="L110" s="1435"/>
      <c r="M110" s="1428">
        <f t="shared" si="28"/>
        <v>1</v>
      </c>
      <c r="N110" s="1435"/>
      <c r="O110" s="1428">
        <f t="shared" si="29"/>
        <v>1</v>
      </c>
      <c r="P110" s="1435"/>
      <c r="Q110" s="1428">
        <f t="shared" si="30"/>
        <v>0</v>
      </c>
      <c r="R110" s="1488">
        <f t="shared" si="31"/>
        <v>0</v>
      </c>
      <c r="S110" s="1427">
        <f t="shared" si="22"/>
        <v>0</v>
      </c>
    </row>
    <row r="111" ht="13" spans="1:19">
      <c r="A111" s="1437"/>
      <c r="B111" s="1432"/>
      <c r="C111" s="1428">
        <f t="shared" si="23"/>
        <v>1</v>
      </c>
      <c r="D111" s="1435"/>
      <c r="E111" s="1428">
        <f t="shared" si="24"/>
        <v>1</v>
      </c>
      <c r="F111" s="1435"/>
      <c r="G111" s="1428">
        <f t="shared" si="25"/>
        <v>1</v>
      </c>
      <c r="H111" s="1435"/>
      <c r="I111" s="1428">
        <f t="shared" si="26"/>
        <v>1</v>
      </c>
      <c r="J111" s="1435"/>
      <c r="K111" s="1428">
        <f t="shared" si="27"/>
        <v>1</v>
      </c>
      <c r="L111" s="1435"/>
      <c r="M111" s="1428">
        <f t="shared" si="28"/>
        <v>1</v>
      </c>
      <c r="N111" s="1435"/>
      <c r="O111" s="1428">
        <f t="shared" si="29"/>
        <v>1</v>
      </c>
      <c r="P111" s="1435"/>
      <c r="Q111" s="1428">
        <f t="shared" si="30"/>
        <v>0</v>
      </c>
      <c r="R111" s="1488">
        <f t="shared" si="31"/>
        <v>0</v>
      </c>
      <c r="S111" s="1427">
        <f t="shared" si="22"/>
        <v>0</v>
      </c>
    </row>
    <row r="112" ht="13" spans="1:19">
      <c r="A112" s="1437"/>
      <c r="B112" s="1432"/>
      <c r="C112" s="1428">
        <f t="shared" si="23"/>
        <v>1</v>
      </c>
      <c r="D112" s="1435"/>
      <c r="E112" s="1428">
        <f t="shared" si="24"/>
        <v>1</v>
      </c>
      <c r="F112" s="1435"/>
      <c r="G112" s="1428">
        <f t="shared" si="25"/>
        <v>1</v>
      </c>
      <c r="H112" s="1435"/>
      <c r="I112" s="1428">
        <f t="shared" si="26"/>
        <v>1</v>
      </c>
      <c r="J112" s="1435"/>
      <c r="K112" s="1428">
        <f t="shared" si="27"/>
        <v>1</v>
      </c>
      <c r="L112" s="1435"/>
      <c r="M112" s="1428">
        <f t="shared" si="28"/>
        <v>1</v>
      </c>
      <c r="N112" s="1435"/>
      <c r="O112" s="1428">
        <f t="shared" si="29"/>
        <v>1</v>
      </c>
      <c r="P112" s="1435"/>
      <c r="Q112" s="1428">
        <f t="shared" si="30"/>
        <v>0</v>
      </c>
      <c r="R112" s="1488">
        <f t="shared" si="31"/>
        <v>0</v>
      </c>
      <c r="S112" s="1427">
        <f t="shared" si="22"/>
        <v>0</v>
      </c>
    </row>
    <row r="113" ht="13" spans="1:19">
      <c r="A113" s="1437"/>
      <c r="B113" s="1432"/>
      <c r="C113" s="1428">
        <f t="shared" si="23"/>
        <v>1</v>
      </c>
      <c r="D113" s="1435"/>
      <c r="E113" s="1428">
        <f t="shared" si="24"/>
        <v>1</v>
      </c>
      <c r="F113" s="1435"/>
      <c r="G113" s="1428">
        <f t="shared" si="25"/>
        <v>1</v>
      </c>
      <c r="H113" s="1435"/>
      <c r="I113" s="1428">
        <f t="shared" si="26"/>
        <v>1</v>
      </c>
      <c r="J113" s="1435"/>
      <c r="K113" s="1428">
        <f t="shared" si="27"/>
        <v>1</v>
      </c>
      <c r="L113" s="1435"/>
      <c r="M113" s="1428">
        <f t="shared" si="28"/>
        <v>1</v>
      </c>
      <c r="N113" s="1435"/>
      <c r="O113" s="1428">
        <f t="shared" si="29"/>
        <v>1</v>
      </c>
      <c r="P113" s="1435"/>
      <c r="Q113" s="1428">
        <f t="shared" si="30"/>
        <v>0</v>
      </c>
      <c r="R113" s="1488">
        <f t="shared" si="31"/>
        <v>0</v>
      </c>
      <c r="S113" s="1427">
        <f t="shared" si="22"/>
        <v>0</v>
      </c>
    </row>
    <row r="114" ht="13" spans="1:19">
      <c r="A114" s="1437"/>
      <c r="B114" s="1432"/>
      <c r="C114" s="1428">
        <f t="shared" si="23"/>
        <v>1</v>
      </c>
      <c r="D114" s="1435"/>
      <c r="E114" s="1428">
        <f t="shared" si="24"/>
        <v>1</v>
      </c>
      <c r="F114" s="1435"/>
      <c r="G114" s="1428">
        <f t="shared" si="25"/>
        <v>1</v>
      </c>
      <c r="H114" s="1435"/>
      <c r="I114" s="1428">
        <f t="shared" si="26"/>
        <v>1</v>
      </c>
      <c r="J114" s="1435"/>
      <c r="K114" s="1428">
        <f t="shared" si="27"/>
        <v>1</v>
      </c>
      <c r="L114" s="1435"/>
      <c r="M114" s="1428">
        <f t="shared" si="28"/>
        <v>1</v>
      </c>
      <c r="N114" s="1435"/>
      <c r="O114" s="1428">
        <f t="shared" si="29"/>
        <v>1</v>
      </c>
      <c r="P114" s="1435"/>
      <c r="Q114" s="1428">
        <f t="shared" si="30"/>
        <v>0</v>
      </c>
      <c r="R114" s="1488">
        <f t="shared" si="31"/>
        <v>0</v>
      </c>
      <c r="S114" s="1427">
        <f t="shared" si="22"/>
        <v>0</v>
      </c>
    </row>
    <row r="115" ht="13" spans="1:19">
      <c r="A115" s="1437"/>
      <c r="B115" s="1432"/>
      <c r="C115" s="1428">
        <f t="shared" si="23"/>
        <v>1</v>
      </c>
      <c r="D115" s="1435"/>
      <c r="E115" s="1428">
        <f t="shared" si="24"/>
        <v>1</v>
      </c>
      <c r="F115" s="1435"/>
      <c r="G115" s="1428">
        <f t="shared" si="25"/>
        <v>1</v>
      </c>
      <c r="H115" s="1435"/>
      <c r="I115" s="1428">
        <f t="shared" si="26"/>
        <v>1</v>
      </c>
      <c r="J115" s="1435"/>
      <c r="K115" s="1428">
        <f t="shared" si="27"/>
        <v>1</v>
      </c>
      <c r="L115" s="1435"/>
      <c r="M115" s="1428">
        <f t="shared" si="28"/>
        <v>1</v>
      </c>
      <c r="N115" s="1435"/>
      <c r="O115" s="1428">
        <f t="shared" si="29"/>
        <v>1</v>
      </c>
      <c r="P115" s="1435"/>
      <c r="Q115" s="1428">
        <f t="shared" si="30"/>
        <v>0</v>
      </c>
      <c r="R115" s="1488">
        <f t="shared" si="31"/>
        <v>0</v>
      </c>
      <c r="S115" s="1427">
        <f t="shared" si="22"/>
        <v>0</v>
      </c>
    </row>
    <row r="116" ht="13" spans="1:19">
      <c r="A116" s="1437"/>
      <c r="B116" s="1432"/>
      <c r="C116" s="1428">
        <f t="shared" si="23"/>
        <v>1</v>
      </c>
      <c r="D116" s="1435"/>
      <c r="E116" s="1428">
        <f t="shared" si="24"/>
        <v>1</v>
      </c>
      <c r="F116" s="1435"/>
      <c r="G116" s="1428">
        <f t="shared" si="25"/>
        <v>1</v>
      </c>
      <c r="H116" s="1435"/>
      <c r="I116" s="1428">
        <f t="shared" si="26"/>
        <v>1</v>
      </c>
      <c r="J116" s="1435"/>
      <c r="K116" s="1428">
        <f t="shared" si="27"/>
        <v>1</v>
      </c>
      <c r="L116" s="1435"/>
      <c r="M116" s="1428">
        <f t="shared" si="28"/>
        <v>1</v>
      </c>
      <c r="N116" s="1435"/>
      <c r="O116" s="1428">
        <f t="shared" si="29"/>
        <v>1</v>
      </c>
      <c r="P116" s="1435"/>
      <c r="Q116" s="1428">
        <f t="shared" si="30"/>
        <v>0</v>
      </c>
      <c r="R116" s="1488">
        <f t="shared" si="31"/>
        <v>0</v>
      </c>
      <c r="S116" s="1427">
        <f t="shared" si="22"/>
        <v>0</v>
      </c>
    </row>
    <row r="117" ht="13" spans="1:19">
      <c r="A117" s="1437"/>
      <c r="B117" s="1432"/>
      <c r="C117" s="1428">
        <f t="shared" si="23"/>
        <v>1</v>
      </c>
      <c r="D117" s="1435"/>
      <c r="E117" s="1428">
        <f t="shared" si="24"/>
        <v>1</v>
      </c>
      <c r="F117" s="1435"/>
      <c r="G117" s="1428">
        <f t="shared" si="25"/>
        <v>1</v>
      </c>
      <c r="H117" s="1435"/>
      <c r="I117" s="1428">
        <f t="shared" si="26"/>
        <v>1</v>
      </c>
      <c r="J117" s="1435"/>
      <c r="K117" s="1428">
        <f t="shared" si="27"/>
        <v>1</v>
      </c>
      <c r="L117" s="1435"/>
      <c r="M117" s="1428">
        <f t="shared" si="28"/>
        <v>1</v>
      </c>
      <c r="N117" s="1435"/>
      <c r="O117" s="1428">
        <f t="shared" si="29"/>
        <v>1</v>
      </c>
      <c r="P117" s="1435"/>
      <c r="Q117" s="1428">
        <f t="shared" si="30"/>
        <v>0</v>
      </c>
      <c r="R117" s="1488">
        <f t="shared" si="31"/>
        <v>0</v>
      </c>
      <c r="S117" s="1427">
        <f t="shared" si="22"/>
        <v>0</v>
      </c>
    </row>
    <row r="118" ht="13" spans="1:19">
      <c r="A118" s="1437"/>
      <c r="B118" s="1432"/>
      <c r="C118" s="1428">
        <f t="shared" si="23"/>
        <v>1</v>
      </c>
      <c r="D118" s="1435"/>
      <c r="E118" s="1428">
        <f t="shared" si="24"/>
        <v>1</v>
      </c>
      <c r="F118" s="1435"/>
      <c r="G118" s="1428">
        <f t="shared" si="25"/>
        <v>1</v>
      </c>
      <c r="H118" s="1435"/>
      <c r="I118" s="1428">
        <f t="shared" si="26"/>
        <v>1</v>
      </c>
      <c r="J118" s="1435"/>
      <c r="K118" s="1428">
        <f t="shared" si="27"/>
        <v>1</v>
      </c>
      <c r="L118" s="1435"/>
      <c r="M118" s="1428">
        <f t="shared" si="28"/>
        <v>1</v>
      </c>
      <c r="N118" s="1435"/>
      <c r="O118" s="1428">
        <f t="shared" si="29"/>
        <v>1</v>
      </c>
      <c r="P118" s="1435"/>
      <c r="Q118" s="1428">
        <f t="shared" si="30"/>
        <v>0</v>
      </c>
      <c r="R118" s="1488">
        <f t="shared" si="31"/>
        <v>0</v>
      </c>
      <c r="S118" s="1427">
        <f t="shared" si="22"/>
        <v>0</v>
      </c>
    </row>
    <row r="119" ht="13" spans="1:19">
      <c r="A119" s="1437"/>
      <c r="B119" s="1432"/>
      <c r="C119" s="1428">
        <f t="shared" si="23"/>
        <v>1</v>
      </c>
      <c r="D119" s="1435"/>
      <c r="E119" s="1428">
        <f t="shared" si="24"/>
        <v>1</v>
      </c>
      <c r="F119" s="1435"/>
      <c r="G119" s="1428">
        <f t="shared" si="25"/>
        <v>1</v>
      </c>
      <c r="H119" s="1435"/>
      <c r="I119" s="1428">
        <f t="shared" si="26"/>
        <v>1</v>
      </c>
      <c r="J119" s="1435"/>
      <c r="K119" s="1428">
        <f t="shared" si="27"/>
        <v>1</v>
      </c>
      <c r="L119" s="1435"/>
      <c r="M119" s="1428">
        <f t="shared" si="28"/>
        <v>1</v>
      </c>
      <c r="N119" s="1435"/>
      <c r="O119" s="1428">
        <f t="shared" si="29"/>
        <v>1</v>
      </c>
      <c r="P119" s="1435"/>
      <c r="Q119" s="1428">
        <f t="shared" si="30"/>
        <v>0</v>
      </c>
      <c r="R119" s="1488">
        <f t="shared" si="31"/>
        <v>0</v>
      </c>
      <c r="S119" s="1427">
        <f t="shared" si="22"/>
        <v>0</v>
      </c>
    </row>
    <row r="120" ht="13" spans="1:19">
      <c r="A120" s="1437"/>
      <c r="B120" s="1432"/>
      <c r="C120" s="1428">
        <f t="shared" si="23"/>
        <v>1</v>
      </c>
      <c r="D120" s="1435"/>
      <c r="E120" s="1428">
        <f t="shared" si="24"/>
        <v>1</v>
      </c>
      <c r="F120" s="1435"/>
      <c r="G120" s="1428">
        <f t="shared" si="25"/>
        <v>1</v>
      </c>
      <c r="H120" s="1435"/>
      <c r="I120" s="1428">
        <f t="shared" si="26"/>
        <v>1</v>
      </c>
      <c r="J120" s="1435"/>
      <c r="K120" s="1428">
        <f t="shared" si="27"/>
        <v>1</v>
      </c>
      <c r="L120" s="1435"/>
      <c r="M120" s="1428">
        <f t="shared" si="28"/>
        <v>1</v>
      </c>
      <c r="N120" s="1435"/>
      <c r="O120" s="1428">
        <f t="shared" si="29"/>
        <v>1</v>
      </c>
      <c r="P120" s="1435"/>
      <c r="Q120" s="1428">
        <f t="shared" si="30"/>
        <v>0</v>
      </c>
      <c r="R120" s="1488">
        <f t="shared" si="31"/>
        <v>0</v>
      </c>
      <c r="S120" s="1427">
        <f t="shared" si="22"/>
        <v>0</v>
      </c>
    </row>
    <row r="121" ht="13" spans="1:19">
      <c r="A121" s="1437"/>
      <c r="B121" s="1432"/>
      <c r="C121" s="1428">
        <f t="shared" si="23"/>
        <v>1</v>
      </c>
      <c r="D121" s="1435"/>
      <c r="E121" s="1428">
        <f t="shared" si="24"/>
        <v>1</v>
      </c>
      <c r="F121" s="1435"/>
      <c r="G121" s="1428">
        <f t="shared" si="25"/>
        <v>1</v>
      </c>
      <c r="H121" s="1435"/>
      <c r="I121" s="1428">
        <f t="shared" si="26"/>
        <v>1</v>
      </c>
      <c r="J121" s="1435"/>
      <c r="K121" s="1428">
        <f t="shared" si="27"/>
        <v>1</v>
      </c>
      <c r="L121" s="1435"/>
      <c r="M121" s="1428">
        <f t="shared" si="28"/>
        <v>1</v>
      </c>
      <c r="N121" s="1435"/>
      <c r="O121" s="1428">
        <f t="shared" si="29"/>
        <v>1</v>
      </c>
      <c r="P121" s="1435"/>
      <c r="Q121" s="1428">
        <f t="shared" si="30"/>
        <v>0</v>
      </c>
      <c r="R121" s="1488">
        <f t="shared" si="31"/>
        <v>0</v>
      </c>
      <c r="S121" s="1427">
        <f t="shared" si="22"/>
        <v>0</v>
      </c>
    </row>
    <row r="122" ht="13" spans="1:19">
      <c r="A122" s="1437"/>
      <c r="B122" s="1432"/>
      <c r="C122" s="1428">
        <f t="shared" si="23"/>
        <v>1</v>
      </c>
      <c r="D122" s="1435"/>
      <c r="E122" s="1428">
        <f t="shared" si="24"/>
        <v>1</v>
      </c>
      <c r="F122" s="1435"/>
      <c r="G122" s="1428">
        <f t="shared" si="25"/>
        <v>1</v>
      </c>
      <c r="H122" s="1435"/>
      <c r="I122" s="1428">
        <f t="shared" si="26"/>
        <v>1</v>
      </c>
      <c r="J122" s="1435"/>
      <c r="K122" s="1428">
        <f t="shared" si="27"/>
        <v>1</v>
      </c>
      <c r="L122" s="1435"/>
      <c r="M122" s="1428">
        <f t="shared" si="28"/>
        <v>1</v>
      </c>
      <c r="N122" s="1435"/>
      <c r="O122" s="1428">
        <f t="shared" si="29"/>
        <v>1</v>
      </c>
      <c r="P122" s="1435"/>
      <c r="Q122" s="1428">
        <f t="shared" si="30"/>
        <v>0</v>
      </c>
      <c r="R122" s="1488">
        <f t="shared" si="31"/>
        <v>0</v>
      </c>
      <c r="S122" s="1427">
        <f t="shared" si="22"/>
        <v>0</v>
      </c>
    </row>
    <row r="123" ht="13" spans="1:19">
      <c r="A123" s="1437"/>
      <c r="B123" s="1432"/>
      <c r="C123" s="1428">
        <f t="shared" si="23"/>
        <v>1</v>
      </c>
      <c r="D123" s="1435"/>
      <c r="E123" s="1428">
        <f t="shared" si="24"/>
        <v>1</v>
      </c>
      <c r="F123" s="1435"/>
      <c r="G123" s="1428">
        <f t="shared" si="25"/>
        <v>1</v>
      </c>
      <c r="H123" s="1435"/>
      <c r="I123" s="1428">
        <f t="shared" si="26"/>
        <v>1</v>
      </c>
      <c r="J123" s="1435"/>
      <c r="K123" s="1428">
        <f t="shared" si="27"/>
        <v>1</v>
      </c>
      <c r="L123" s="1435"/>
      <c r="M123" s="1428">
        <f t="shared" si="28"/>
        <v>1</v>
      </c>
      <c r="N123" s="1435"/>
      <c r="O123" s="1428">
        <f t="shared" si="29"/>
        <v>1</v>
      </c>
      <c r="P123" s="1435"/>
      <c r="Q123" s="1428">
        <f t="shared" si="30"/>
        <v>0</v>
      </c>
      <c r="R123" s="1488">
        <f t="shared" si="31"/>
        <v>0</v>
      </c>
      <c r="S123" s="1427">
        <f t="shared" ref="S123:S186" si="32">ROUND(R123*B123/10000,0)</f>
        <v>0</v>
      </c>
    </row>
    <row r="124" ht="13" spans="1:19">
      <c r="A124" s="1437"/>
      <c r="B124" s="1432"/>
      <c r="C124" s="1428">
        <f t="shared" si="23"/>
        <v>1</v>
      </c>
      <c r="D124" s="1435"/>
      <c r="E124" s="1428">
        <f t="shared" si="24"/>
        <v>1</v>
      </c>
      <c r="F124" s="1435"/>
      <c r="G124" s="1428">
        <f t="shared" si="25"/>
        <v>1</v>
      </c>
      <c r="H124" s="1435"/>
      <c r="I124" s="1428">
        <f t="shared" si="26"/>
        <v>1</v>
      </c>
      <c r="J124" s="1435"/>
      <c r="K124" s="1428">
        <f t="shared" si="27"/>
        <v>1</v>
      </c>
      <c r="L124" s="1435"/>
      <c r="M124" s="1428">
        <f t="shared" si="28"/>
        <v>1</v>
      </c>
      <c r="N124" s="1435"/>
      <c r="O124" s="1428">
        <f t="shared" si="29"/>
        <v>1</v>
      </c>
      <c r="P124" s="1435"/>
      <c r="Q124" s="1428">
        <f t="shared" si="30"/>
        <v>0</v>
      </c>
      <c r="R124" s="1488">
        <f t="shared" si="31"/>
        <v>0</v>
      </c>
      <c r="S124" s="1427">
        <f t="shared" si="32"/>
        <v>0</v>
      </c>
    </row>
    <row r="125" ht="13" spans="1:19">
      <c r="A125" s="1437"/>
      <c r="B125" s="1432"/>
      <c r="C125" s="1428">
        <f t="shared" si="23"/>
        <v>1</v>
      </c>
      <c r="D125" s="1435"/>
      <c r="E125" s="1428">
        <f t="shared" si="24"/>
        <v>1</v>
      </c>
      <c r="F125" s="1435"/>
      <c r="G125" s="1428">
        <f t="shared" si="25"/>
        <v>1</v>
      </c>
      <c r="H125" s="1435"/>
      <c r="I125" s="1428">
        <f t="shared" si="26"/>
        <v>1</v>
      </c>
      <c r="J125" s="1435"/>
      <c r="K125" s="1428">
        <f t="shared" si="27"/>
        <v>1</v>
      </c>
      <c r="L125" s="1435"/>
      <c r="M125" s="1428">
        <f t="shared" si="28"/>
        <v>1</v>
      </c>
      <c r="N125" s="1435"/>
      <c r="O125" s="1428">
        <f t="shared" si="29"/>
        <v>1</v>
      </c>
      <c r="P125" s="1435"/>
      <c r="Q125" s="1428">
        <f t="shared" si="30"/>
        <v>0</v>
      </c>
      <c r="R125" s="1488">
        <f t="shared" si="31"/>
        <v>0</v>
      </c>
      <c r="S125" s="1427">
        <f t="shared" si="32"/>
        <v>0</v>
      </c>
    </row>
    <row r="126" ht="13" spans="1:19">
      <c r="A126" s="1437"/>
      <c r="B126" s="1432"/>
      <c r="C126" s="1428">
        <f t="shared" si="23"/>
        <v>1</v>
      </c>
      <c r="D126" s="1435"/>
      <c r="E126" s="1428">
        <f t="shared" si="24"/>
        <v>1</v>
      </c>
      <c r="F126" s="1435"/>
      <c r="G126" s="1428">
        <f t="shared" si="25"/>
        <v>1</v>
      </c>
      <c r="H126" s="1435"/>
      <c r="I126" s="1428">
        <f t="shared" si="26"/>
        <v>1</v>
      </c>
      <c r="J126" s="1435"/>
      <c r="K126" s="1428">
        <f t="shared" si="27"/>
        <v>1</v>
      </c>
      <c r="L126" s="1435"/>
      <c r="M126" s="1428">
        <f t="shared" si="28"/>
        <v>1</v>
      </c>
      <c r="N126" s="1435"/>
      <c r="O126" s="1428">
        <f t="shared" si="29"/>
        <v>1</v>
      </c>
      <c r="P126" s="1435"/>
      <c r="Q126" s="1428">
        <f t="shared" si="30"/>
        <v>0</v>
      </c>
      <c r="R126" s="1488">
        <f t="shared" si="31"/>
        <v>0</v>
      </c>
      <c r="S126" s="1427">
        <f t="shared" si="32"/>
        <v>0</v>
      </c>
    </row>
    <row r="127" ht="13" spans="1:19">
      <c r="A127" s="1437"/>
      <c r="B127" s="1432"/>
      <c r="C127" s="1428">
        <f t="shared" si="23"/>
        <v>1</v>
      </c>
      <c r="D127" s="1435"/>
      <c r="E127" s="1428">
        <f t="shared" si="24"/>
        <v>1</v>
      </c>
      <c r="F127" s="1435"/>
      <c r="G127" s="1428">
        <f t="shared" si="25"/>
        <v>1</v>
      </c>
      <c r="H127" s="1435"/>
      <c r="I127" s="1428">
        <f t="shared" si="26"/>
        <v>1</v>
      </c>
      <c r="J127" s="1435"/>
      <c r="K127" s="1428">
        <f t="shared" si="27"/>
        <v>1</v>
      </c>
      <c r="L127" s="1435"/>
      <c r="M127" s="1428">
        <f t="shared" si="28"/>
        <v>1</v>
      </c>
      <c r="N127" s="1435"/>
      <c r="O127" s="1428">
        <f t="shared" si="29"/>
        <v>1</v>
      </c>
      <c r="P127" s="1435"/>
      <c r="Q127" s="1428">
        <f t="shared" si="30"/>
        <v>0</v>
      </c>
      <c r="R127" s="1488">
        <f t="shared" si="31"/>
        <v>0</v>
      </c>
      <c r="S127" s="1427">
        <f t="shared" si="32"/>
        <v>0</v>
      </c>
    </row>
    <row r="128" ht="13" spans="1:19">
      <c r="A128" s="1437"/>
      <c r="B128" s="1432"/>
      <c r="C128" s="1428">
        <f t="shared" si="23"/>
        <v>1</v>
      </c>
      <c r="D128" s="1435"/>
      <c r="E128" s="1428">
        <f t="shared" si="24"/>
        <v>1</v>
      </c>
      <c r="F128" s="1435"/>
      <c r="G128" s="1428">
        <f t="shared" si="25"/>
        <v>1</v>
      </c>
      <c r="H128" s="1435"/>
      <c r="I128" s="1428">
        <f t="shared" si="26"/>
        <v>1</v>
      </c>
      <c r="J128" s="1435"/>
      <c r="K128" s="1428">
        <f t="shared" si="27"/>
        <v>1</v>
      </c>
      <c r="L128" s="1435"/>
      <c r="M128" s="1428">
        <f t="shared" si="28"/>
        <v>1</v>
      </c>
      <c r="N128" s="1435"/>
      <c r="O128" s="1428">
        <f t="shared" si="29"/>
        <v>1</v>
      </c>
      <c r="P128" s="1435"/>
      <c r="Q128" s="1428">
        <f t="shared" si="30"/>
        <v>0</v>
      </c>
      <c r="R128" s="1488">
        <f t="shared" si="31"/>
        <v>0</v>
      </c>
      <c r="S128" s="1427">
        <f t="shared" si="32"/>
        <v>0</v>
      </c>
    </row>
    <row r="129" ht="13" spans="1:19">
      <c r="A129" s="1437"/>
      <c r="B129" s="1432"/>
      <c r="C129" s="1428">
        <f t="shared" si="23"/>
        <v>1</v>
      </c>
      <c r="D129" s="1435"/>
      <c r="E129" s="1428">
        <f t="shared" si="24"/>
        <v>1</v>
      </c>
      <c r="F129" s="1435"/>
      <c r="G129" s="1428">
        <f t="shared" si="25"/>
        <v>1</v>
      </c>
      <c r="H129" s="1435"/>
      <c r="I129" s="1428">
        <f t="shared" si="26"/>
        <v>1</v>
      </c>
      <c r="J129" s="1435"/>
      <c r="K129" s="1428">
        <f t="shared" si="27"/>
        <v>1</v>
      </c>
      <c r="L129" s="1435"/>
      <c r="M129" s="1428">
        <f t="shared" si="28"/>
        <v>1</v>
      </c>
      <c r="N129" s="1435"/>
      <c r="O129" s="1428">
        <f t="shared" si="29"/>
        <v>1</v>
      </c>
      <c r="P129" s="1435"/>
      <c r="Q129" s="1428">
        <f t="shared" si="30"/>
        <v>0</v>
      </c>
      <c r="R129" s="1488">
        <f t="shared" si="31"/>
        <v>0</v>
      </c>
      <c r="S129" s="1427">
        <f t="shared" si="32"/>
        <v>0</v>
      </c>
    </row>
    <row r="130" ht="13" spans="1:19">
      <c r="A130" s="1437"/>
      <c r="B130" s="1432"/>
      <c r="C130" s="1428">
        <f t="shared" si="23"/>
        <v>1</v>
      </c>
      <c r="D130" s="1435"/>
      <c r="E130" s="1428">
        <f t="shared" si="24"/>
        <v>1</v>
      </c>
      <c r="F130" s="1435"/>
      <c r="G130" s="1428">
        <f t="shared" si="25"/>
        <v>1</v>
      </c>
      <c r="H130" s="1435"/>
      <c r="I130" s="1428">
        <f t="shared" si="26"/>
        <v>1</v>
      </c>
      <c r="J130" s="1435"/>
      <c r="K130" s="1428">
        <f t="shared" si="27"/>
        <v>1</v>
      </c>
      <c r="L130" s="1435"/>
      <c r="M130" s="1428">
        <f t="shared" si="28"/>
        <v>1</v>
      </c>
      <c r="N130" s="1435"/>
      <c r="O130" s="1428">
        <f t="shared" si="29"/>
        <v>1</v>
      </c>
      <c r="P130" s="1435"/>
      <c r="Q130" s="1428">
        <f t="shared" si="30"/>
        <v>0</v>
      </c>
      <c r="R130" s="1488">
        <f t="shared" si="31"/>
        <v>0</v>
      </c>
      <c r="S130" s="1427">
        <f t="shared" si="32"/>
        <v>0</v>
      </c>
    </row>
    <row r="131" ht="13" spans="1:19">
      <c r="A131" s="1437"/>
      <c r="B131" s="1432"/>
      <c r="C131" s="1428">
        <f t="shared" si="23"/>
        <v>1</v>
      </c>
      <c r="D131" s="1435"/>
      <c r="E131" s="1428">
        <f t="shared" si="24"/>
        <v>1</v>
      </c>
      <c r="F131" s="1435"/>
      <c r="G131" s="1428">
        <f t="shared" si="25"/>
        <v>1</v>
      </c>
      <c r="H131" s="1435"/>
      <c r="I131" s="1428">
        <f t="shared" si="26"/>
        <v>1</v>
      </c>
      <c r="J131" s="1435"/>
      <c r="K131" s="1428">
        <f t="shared" si="27"/>
        <v>1</v>
      </c>
      <c r="L131" s="1435"/>
      <c r="M131" s="1428">
        <f t="shared" si="28"/>
        <v>1</v>
      </c>
      <c r="N131" s="1435"/>
      <c r="O131" s="1428">
        <f t="shared" si="29"/>
        <v>1</v>
      </c>
      <c r="P131" s="1435"/>
      <c r="Q131" s="1428">
        <f t="shared" si="30"/>
        <v>0</v>
      </c>
      <c r="R131" s="1488">
        <f t="shared" si="31"/>
        <v>0</v>
      </c>
      <c r="S131" s="1427">
        <f t="shared" si="32"/>
        <v>0</v>
      </c>
    </row>
    <row r="132" ht="13" spans="1:19">
      <c r="A132" s="1437"/>
      <c r="B132" s="1432"/>
      <c r="C132" s="1428">
        <f t="shared" si="23"/>
        <v>1</v>
      </c>
      <c r="D132" s="1435"/>
      <c r="E132" s="1428">
        <f t="shared" si="24"/>
        <v>1</v>
      </c>
      <c r="F132" s="1435"/>
      <c r="G132" s="1428">
        <f t="shared" si="25"/>
        <v>1</v>
      </c>
      <c r="H132" s="1435"/>
      <c r="I132" s="1428">
        <f t="shared" si="26"/>
        <v>1</v>
      </c>
      <c r="J132" s="1435"/>
      <c r="K132" s="1428">
        <f t="shared" si="27"/>
        <v>1</v>
      </c>
      <c r="L132" s="1435"/>
      <c r="M132" s="1428">
        <f t="shared" si="28"/>
        <v>1</v>
      </c>
      <c r="N132" s="1435"/>
      <c r="O132" s="1428">
        <f t="shared" si="29"/>
        <v>1</v>
      </c>
      <c r="P132" s="1435"/>
      <c r="Q132" s="1428">
        <f t="shared" si="30"/>
        <v>0</v>
      </c>
      <c r="R132" s="1488">
        <f t="shared" si="31"/>
        <v>0</v>
      </c>
      <c r="S132" s="1427">
        <f t="shared" si="32"/>
        <v>0</v>
      </c>
    </row>
    <row r="133" ht="13" spans="1:19">
      <c r="A133" s="1437"/>
      <c r="B133" s="1432"/>
      <c r="C133" s="1428">
        <f t="shared" si="23"/>
        <v>1</v>
      </c>
      <c r="D133" s="1435"/>
      <c r="E133" s="1428">
        <f t="shared" si="24"/>
        <v>1</v>
      </c>
      <c r="F133" s="1435"/>
      <c r="G133" s="1428">
        <f t="shared" si="25"/>
        <v>1</v>
      </c>
      <c r="H133" s="1435"/>
      <c r="I133" s="1428">
        <f t="shared" si="26"/>
        <v>1</v>
      </c>
      <c r="J133" s="1435"/>
      <c r="K133" s="1428">
        <f t="shared" si="27"/>
        <v>1</v>
      </c>
      <c r="L133" s="1435"/>
      <c r="M133" s="1428">
        <f t="shared" si="28"/>
        <v>1</v>
      </c>
      <c r="N133" s="1435"/>
      <c r="O133" s="1428">
        <f t="shared" si="29"/>
        <v>1</v>
      </c>
      <c r="P133" s="1435"/>
      <c r="Q133" s="1428">
        <f t="shared" si="30"/>
        <v>0</v>
      </c>
      <c r="R133" s="1488">
        <f t="shared" si="31"/>
        <v>0</v>
      </c>
      <c r="S133" s="1427">
        <f t="shared" si="32"/>
        <v>0</v>
      </c>
    </row>
    <row r="134" ht="13" spans="1:19">
      <c r="A134" s="1437"/>
      <c r="B134" s="1432"/>
      <c r="C134" s="1428">
        <f t="shared" si="23"/>
        <v>1</v>
      </c>
      <c r="D134" s="1435"/>
      <c r="E134" s="1428">
        <f t="shared" si="24"/>
        <v>1</v>
      </c>
      <c r="F134" s="1435"/>
      <c r="G134" s="1428">
        <f t="shared" si="25"/>
        <v>1</v>
      </c>
      <c r="H134" s="1435"/>
      <c r="I134" s="1428">
        <f t="shared" si="26"/>
        <v>1</v>
      </c>
      <c r="J134" s="1435"/>
      <c r="K134" s="1428">
        <f t="shared" si="27"/>
        <v>1</v>
      </c>
      <c r="L134" s="1435"/>
      <c r="M134" s="1428">
        <f t="shared" si="28"/>
        <v>1</v>
      </c>
      <c r="N134" s="1435"/>
      <c r="O134" s="1428">
        <f t="shared" si="29"/>
        <v>1</v>
      </c>
      <c r="P134" s="1435"/>
      <c r="Q134" s="1428">
        <f t="shared" si="30"/>
        <v>0</v>
      </c>
      <c r="R134" s="1488">
        <f t="shared" si="31"/>
        <v>0</v>
      </c>
      <c r="S134" s="1427">
        <f t="shared" si="32"/>
        <v>0</v>
      </c>
    </row>
    <row r="135" ht="13" spans="1:19">
      <c r="A135" s="1437"/>
      <c r="B135" s="1432"/>
      <c r="C135" s="1428">
        <f t="shared" si="23"/>
        <v>1</v>
      </c>
      <c r="D135" s="1435"/>
      <c r="E135" s="1428">
        <f t="shared" si="24"/>
        <v>1</v>
      </c>
      <c r="F135" s="1435"/>
      <c r="G135" s="1428">
        <f t="shared" si="25"/>
        <v>1</v>
      </c>
      <c r="H135" s="1435"/>
      <c r="I135" s="1428">
        <f t="shared" si="26"/>
        <v>1</v>
      </c>
      <c r="J135" s="1435"/>
      <c r="K135" s="1428">
        <f t="shared" si="27"/>
        <v>1</v>
      </c>
      <c r="L135" s="1435"/>
      <c r="M135" s="1428">
        <f t="shared" si="28"/>
        <v>1</v>
      </c>
      <c r="N135" s="1435"/>
      <c r="O135" s="1428">
        <f t="shared" si="29"/>
        <v>1</v>
      </c>
      <c r="P135" s="1435"/>
      <c r="Q135" s="1428">
        <f t="shared" si="30"/>
        <v>0</v>
      </c>
      <c r="R135" s="1488">
        <f t="shared" si="31"/>
        <v>0</v>
      </c>
      <c r="S135" s="1427">
        <f t="shared" si="32"/>
        <v>0</v>
      </c>
    </row>
    <row r="136" ht="13" spans="1:19">
      <c r="A136" s="1437"/>
      <c r="B136" s="1432"/>
      <c r="C136" s="1428">
        <f t="shared" si="23"/>
        <v>1</v>
      </c>
      <c r="D136" s="1435"/>
      <c r="E136" s="1428">
        <f t="shared" si="24"/>
        <v>1</v>
      </c>
      <c r="F136" s="1435"/>
      <c r="G136" s="1428">
        <f t="shared" si="25"/>
        <v>1</v>
      </c>
      <c r="H136" s="1435"/>
      <c r="I136" s="1428">
        <f t="shared" si="26"/>
        <v>1</v>
      </c>
      <c r="J136" s="1435"/>
      <c r="K136" s="1428">
        <f t="shared" si="27"/>
        <v>1</v>
      </c>
      <c r="L136" s="1435"/>
      <c r="M136" s="1428">
        <f t="shared" si="28"/>
        <v>1</v>
      </c>
      <c r="N136" s="1435"/>
      <c r="O136" s="1428">
        <f t="shared" si="29"/>
        <v>1</v>
      </c>
      <c r="P136" s="1435"/>
      <c r="Q136" s="1428">
        <f t="shared" si="30"/>
        <v>0</v>
      </c>
      <c r="R136" s="1488">
        <f t="shared" si="31"/>
        <v>0</v>
      </c>
      <c r="S136" s="1427">
        <f t="shared" si="32"/>
        <v>0</v>
      </c>
    </row>
    <row r="137" ht="13" spans="1:19">
      <c r="A137" s="1437"/>
      <c r="B137" s="1432"/>
      <c r="C137" s="1428">
        <f t="shared" si="23"/>
        <v>1</v>
      </c>
      <c r="D137" s="1435"/>
      <c r="E137" s="1428">
        <f t="shared" si="24"/>
        <v>1</v>
      </c>
      <c r="F137" s="1435"/>
      <c r="G137" s="1428">
        <f t="shared" si="25"/>
        <v>1</v>
      </c>
      <c r="H137" s="1435"/>
      <c r="I137" s="1428">
        <f t="shared" si="26"/>
        <v>1</v>
      </c>
      <c r="J137" s="1435"/>
      <c r="K137" s="1428">
        <f t="shared" si="27"/>
        <v>1</v>
      </c>
      <c r="L137" s="1435"/>
      <c r="M137" s="1428">
        <f t="shared" si="28"/>
        <v>1</v>
      </c>
      <c r="N137" s="1435"/>
      <c r="O137" s="1428">
        <f t="shared" si="29"/>
        <v>1</v>
      </c>
      <c r="P137" s="1435"/>
      <c r="Q137" s="1428">
        <f t="shared" si="30"/>
        <v>0</v>
      </c>
      <c r="R137" s="1488">
        <f t="shared" si="31"/>
        <v>0</v>
      </c>
      <c r="S137" s="1427">
        <f t="shared" si="32"/>
        <v>0</v>
      </c>
    </row>
    <row r="138" ht="13" spans="1:19">
      <c r="A138" s="1437"/>
      <c r="B138" s="1432"/>
      <c r="C138" s="1428">
        <f t="shared" si="23"/>
        <v>1</v>
      </c>
      <c r="D138" s="1435"/>
      <c r="E138" s="1428">
        <f t="shared" si="24"/>
        <v>1</v>
      </c>
      <c r="F138" s="1435"/>
      <c r="G138" s="1428">
        <f t="shared" si="25"/>
        <v>1</v>
      </c>
      <c r="H138" s="1435"/>
      <c r="I138" s="1428">
        <f t="shared" si="26"/>
        <v>1</v>
      </c>
      <c r="J138" s="1435"/>
      <c r="K138" s="1428">
        <f t="shared" si="27"/>
        <v>1</v>
      </c>
      <c r="L138" s="1435"/>
      <c r="M138" s="1428">
        <f t="shared" si="28"/>
        <v>1</v>
      </c>
      <c r="N138" s="1435"/>
      <c r="O138" s="1428">
        <f t="shared" si="29"/>
        <v>1</v>
      </c>
      <c r="P138" s="1435"/>
      <c r="Q138" s="1428">
        <f t="shared" si="30"/>
        <v>0</v>
      </c>
      <c r="R138" s="1488">
        <f t="shared" si="31"/>
        <v>0</v>
      </c>
      <c r="S138" s="1427">
        <f t="shared" si="32"/>
        <v>0</v>
      </c>
    </row>
    <row r="139" ht="13" spans="1:19">
      <c r="A139" s="1437"/>
      <c r="B139" s="1432"/>
      <c r="C139" s="1428">
        <f t="shared" si="23"/>
        <v>1</v>
      </c>
      <c r="D139" s="1435"/>
      <c r="E139" s="1428">
        <f t="shared" si="24"/>
        <v>1</v>
      </c>
      <c r="F139" s="1435"/>
      <c r="G139" s="1428">
        <f t="shared" si="25"/>
        <v>1</v>
      </c>
      <c r="H139" s="1435"/>
      <c r="I139" s="1428">
        <f t="shared" si="26"/>
        <v>1</v>
      </c>
      <c r="J139" s="1435"/>
      <c r="K139" s="1428">
        <f t="shared" si="27"/>
        <v>1</v>
      </c>
      <c r="L139" s="1435"/>
      <c r="M139" s="1428">
        <f t="shared" si="28"/>
        <v>1</v>
      </c>
      <c r="N139" s="1435"/>
      <c r="O139" s="1428">
        <f t="shared" si="29"/>
        <v>1</v>
      </c>
      <c r="P139" s="1435"/>
      <c r="Q139" s="1428">
        <f t="shared" si="30"/>
        <v>0</v>
      </c>
      <c r="R139" s="1488">
        <f t="shared" si="31"/>
        <v>0</v>
      </c>
      <c r="S139" s="1427">
        <f t="shared" si="32"/>
        <v>0</v>
      </c>
    </row>
    <row r="140" ht="13" spans="1:19">
      <c r="A140" s="1437"/>
      <c r="B140" s="1432"/>
      <c r="C140" s="1428">
        <f t="shared" si="23"/>
        <v>1</v>
      </c>
      <c r="D140" s="1435"/>
      <c r="E140" s="1428">
        <f t="shared" si="24"/>
        <v>1</v>
      </c>
      <c r="F140" s="1435"/>
      <c r="G140" s="1428">
        <f t="shared" si="25"/>
        <v>1</v>
      </c>
      <c r="H140" s="1435"/>
      <c r="I140" s="1428">
        <f t="shared" si="26"/>
        <v>1</v>
      </c>
      <c r="J140" s="1435"/>
      <c r="K140" s="1428">
        <f t="shared" si="27"/>
        <v>1</v>
      </c>
      <c r="L140" s="1435"/>
      <c r="M140" s="1428">
        <f t="shared" si="28"/>
        <v>1</v>
      </c>
      <c r="N140" s="1435"/>
      <c r="O140" s="1428">
        <f t="shared" si="29"/>
        <v>1</v>
      </c>
      <c r="P140" s="1435"/>
      <c r="Q140" s="1428">
        <f t="shared" si="30"/>
        <v>0</v>
      </c>
      <c r="R140" s="1488">
        <f t="shared" si="31"/>
        <v>0</v>
      </c>
      <c r="S140" s="1427">
        <f t="shared" si="32"/>
        <v>0</v>
      </c>
    </row>
    <row r="141" ht="13" spans="1:19">
      <c r="A141" s="1437"/>
      <c r="B141" s="1432"/>
      <c r="C141" s="1428">
        <f t="shared" si="23"/>
        <v>1</v>
      </c>
      <c r="D141" s="1435"/>
      <c r="E141" s="1428">
        <f t="shared" si="24"/>
        <v>1</v>
      </c>
      <c r="F141" s="1435"/>
      <c r="G141" s="1428">
        <f t="shared" si="25"/>
        <v>1</v>
      </c>
      <c r="H141" s="1435"/>
      <c r="I141" s="1428">
        <f t="shared" si="26"/>
        <v>1</v>
      </c>
      <c r="J141" s="1435"/>
      <c r="K141" s="1428">
        <f t="shared" si="27"/>
        <v>1</v>
      </c>
      <c r="L141" s="1435"/>
      <c r="M141" s="1428">
        <f t="shared" si="28"/>
        <v>1</v>
      </c>
      <c r="N141" s="1435"/>
      <c r="O141" s="1428">
        <f t="shared" si="29"/>
        <v>1</v>
      </c>
      <c r="P141" s="1435"/>
      <c r="Q141" s="1428">
        <f t="shared" si="30"/>
        <v>0</v>
      </c>
      <c r="R141" s="1488">
        <f t="shared" si="31"/>
        <v>0</v>
      </c>
      <c r="S141" s="1427">
        <f t="shared" si="32"/>
        <v>0</v>
      </c>
    </row>
    <row r="142" ht="13" spans="1:19">
      <c r="A142" s="1437"/>
      <c r="B142" s="1432"/>
      <c r="C142" s="1428">
        <f t="shared" si="23"/>
        <v>1</v>
      </c>
      <c r="D142" s="1435"/>
      <c r="E142" s="1428">
        <f t="shared" si="24"/>
        <v>1</v>
      </c>
      <c r="F142" s="1435"/>
      <c r="G142" s="1428">
        <f t="shared" si="25"/>
        <v>1</v>
      </c>
      <c r="H142" s="1435"/>
      <c r="I142" s="1428">
        <f t="shared" si="26"/>
        <v>1</v>
      </c>
      <c r="J142" s="1435"/>
      <c r="K142" s="1428">
        <f t="shared" si="27"/>
        <v>1</v>
      </c>
      <c r="L142" s="1435"/>
      <c r="M142" s="1428">
        <f t="shared" si="28"/>
        <v>1</v>
      </c>
      <c r="N142" s="1435"/>
      <c r="O142" s="1428">
        <f t="shared" si="29"/>
        <v>1</v>
      </c>
      <c r="P142" s="1435"/>
      <c r="Q142" s="1428">
        <f t="shared" si="30"/>
        <v>0</v>
      </c>
      <c r="R142" s="1488">
        <f t="shared" si="31"/>
        <v>0</v>
      </c>
      <c r="S142" s="1427">
        <f t="shared" si="32"/>
        <v>0</v>
      </c>
    </row>
    <row r="143" ht="13" spans="1:19">
      <c r="A143" s="1437"/>
      <c r="B143" s="1432"/>
      <c r="C143" s="1428">
        <f t="shared" si="23"/>
        <v>1</v>
      </c>
      <c r="D143" s="1435"/>
      <c r="E143" s="1428">
        <f t="shared" si="24"/>
        <v>1</v>
      </c>
      <c r="F143" s="1435"/>
      <c r="G143" s="1428">
        <f t="shared" si="25"/>
        <v>1</v>
      </c>
      <c r="H143" s="1435"/>
      <c r="I143" s="1428">
        <f t="shared" si="26"/>
        <v>1</v>
      </c>
      <c r="J143" s="1435"/>
      <c r="K143" s="1428">
        <f t="shared" si="27"/>
        <v>1</v>
      </c>
      <c r="L143" s="1435"/>
      <c r="M143" s="1428">
        <f t="shared" si="28"/>
        <v>1</v>
      </c>
      <c r="N143" s="1435"/>
      <c r="O143" s="1428">
        <f t="shared" si="29"/>
        <v>1</v>
      </c>
      <c r="P143" s="1435"/>
      <c r="Q143" s="1428">
        <f t="shared" si="30"/>
        <v>0</v>
      </c>
      <c r="R143" s="1488">
        <f t="shared" si="31"/>
        <v>0</v>
      </c>
      <c r="S143" s="1427">
        <f t="shared" si="32"/>
        <v>0</v>
      </c>
    </row>
    <row r="144" ht="13" spans="1:19">
      <c r="A144" s="1437"/>
      <c r="B144" s="1432"/>
      <c r="C144" s="1428">
        <f t="shared" si="23"/>
        <v>1</v>
      </c>
      <c r="D144" s="1435"/>
      <c r="E144" s="1428">
        <f t="shared" si="24"/>
        <v>1</v>
      </c>
      <c r="F144" s="1435"/>
      <c r="G144" s="1428">
        <f t="shared" si="25"/>
        <v>1</v>
      </c>
      <c r="H144" s="1435"/>
      <c r="I144" s="1428">
        <f t="shared" si="26"/>
        <v>1</v>
      </c>
      <c r="J144" s="1435"/>
      <c r="K144" s="1428">
        <f t="shared" si="27"/>
        <v>1</v>
      </c>
      <c r="L144" s="1435"/>
      <c r="M144" s="1428">
        <f t="shared" si="28"/>
        <v>1</v>
      </c>
      <c r="N144" s="1435"/>
      <c r="O144" s="1428">
        <f t="shared" si="29"/>
        <v>1</v>
      </c>
      <c r="P144" s="1435"/>
      <c r="Q144" s="1428">
        <f t="shared" si="30"/>
        <v>0</v>
      </c>
      <c r="R144" s="1488">
        <f t="shared" si="31"/>
        <v>0</v>
      </c>
      <c r="S144" s="1427">
        <f t="shared" si="32"/>
        <v>0</v>
      </c>
    </row>
    <row r="145" ht="13" spans="1:19">
      <c r="A145" s="1437"/>
      <c r="B145" s="1432"/>
      <c r="C145" s="1428">
        <f t="shared" si="23"/>
        <v>1</v>
      </c>
      <c r="D145" s="1435"/>
      <c r="E145" s="1428">
        <f t="shared" si="24"/>
        <v>1</v>
      </c>
      <c r="F145" s="1435"/>
      <c r="G145" s="1428">
        <f t="shared" si="25"/>
        <v>1</v>
      </c>
      <c r="H145" s="1435"/>
      <c r="I145" s="1428">
        <f t="shared" si="26"/>
        <v>1</v>
      </c>
      <c r="J145" s="1435"/>
      <c r="K145" s="1428">
        <f t="shared" si="27"/>
        <v>1</v>
      </c>
      <c r="L145" s="1435"/>
      <c r="M145" s="1428">
        <f t="shared" si="28"/>
        <v>1</v>
      </c>
      <c r="N145" s="1435"/>
      <c r="O145" s="1428">
        <f t="shared" si="29"/>
        <v>1</v>
      </c>
      <c r="P145" s="1435"/>
      <c r="Q145" s="1428">
        <f t="shared" si="30"/>
        <v>0</v>
      </c>
      <c r="R145" s="1488">
        <f t="shared" si="31"/>
        <v>0</v>
      </c>
      <c r="S145" s="1427">
        <f t="shared" si="32"/>
        <v>0</v>
      </c>
    </row>
    <row r="146" ht="13" spans="1:19">
      <c r="A146" s="1437"/>
      <c r="B146" s="1432"/>
      <c r="C146" s="1428">
        <f t="shared" si="23"/>
        <v>1</v>
      </c>
      <c r="D146" s="1435"/>
      <c r="E146" s="1428">
        <f t="shared" si="24"/>
        <v>1</v>
      </c>
      <c r="F146" s="1435"/>
      <c r="G146" s="1428">
        <f t="shared" si="25"/>
        <v>1</v>
      </c>
      <c r="H146" s="1435"/>
      <c r="I146" s="1428">
        <f t="shared" si="26"/>
        <v>1</v>
      </c>
      <c r="J146" s="1435"/>
      <c r="K146" s="1428">
        <f t="shared" si="27"/>
        <v>1</v>
      </c>
      <c r="L146" s="1435"/>
      <c r="M146" s="1428">
        <f t="shared" si="28"/>
        <v>1</v>
      </c>
      <c r="N146" s="1435"/>
      <c r="O146" s="1428">
        <f t="shared" si="29"/>
        <v>1</v>
      </c>
      <c r="P146" s="1435"/>
      <c r="Q146" s="1428">
        <f t="shared" si="30"/>
        <v>0</v>
      </c>
      <c r="R146" s="1488">
        <f t="shared" si="31"/>
        <v>0</v>
      </c>
      <c r="S146" s="1427">
        <f t="shared" si="32"/>
        <v>0</v>
      </c>
    </row>
    <row r="147" ht="13" spans="1:19">
      <c r="A147" s="1437"/>
      <c r="B147" s="1432"/>
      <c r="C147" s="1428">
        <f t="shared" si="23"/>
        <v>1</v>
      </c>
      <c r="D147" s="1435"/>
      <c r="E147" s="1428">
        <f t="shared" si="24"/>
        <v>1</v>
      </c>
      <c r="F147" s="1435"/>
      <c r="G147" s="1428">
        <f t="shared" si="25"/>
        <v>1</v>
      </c>
      <c r="H147" s="1435"/>
      <c r="I147" s="1428">
        <f t="shared" si="26"/>
        <v>1</v>
      </c>
      <c r="J147" s="1435"/>
      <c r="K147" s="1428">
        <f t="shared" si="27"/>
        <v>1</v>
      </c>
      <c r="L147" s="1435"/>
      <c r="M147" s="1428">
        <f t="shared" si="28"/>
        <v>1</v>
      </c>
      <c r="N147" s="1435"/>
      <c r="O147" s="1428">
        <f t="shared" si="29"/>
        <v>1</v>
      </c>
      <c r="P147" s="1435"/>
      <c r="Q147" s="1428">
        <f t="shared" si="30"/>
        <v>0</v>
      </c>
      <c r="R147" s="1488">
        <f t="shared" si="31"/>
        <v>0</v>
      </c>
      <c r="S147" s="1427">
        <f t="shared" si="32"/>
        <v>0</v>
      </c>
    </row>
    <row r="148" ht="13" spans="1:19">
      <c r="A148" s="1437"/>
      <c r="B148" s="1432"/>
      <c r="C148" s="1428">
        <f t="shared" si="23"/>
        <v>1</v>
      </c>
      <c r="D148" s="1435"/>
      <c r="E148" s="1428">
        <f t="shared" si="24"/>
        <v>1</v>
      </c>
      <c r="F148" s="1435"/>
      <c r="G148" s="1428">
        <f t="shared" si="25"/>
        <v>1</v>
      </c>
      <c r="H148" s="1435"/>
      <c r="I148" s="1428">
        <f t="shared" si="26"/>
        <v>1</v>
      </c>
      <c r="J148" s="1435"/>
      <c r="K148" s="1428">
        <f t="shared" si="27"/>
        <v>1</v>
      </c>
      <c r="L148" s="1435"/>
      <c r="M148" s="1428">
        <f t="shared" si="28"/>
        <v>1</v>
      </c>
      <c r="N148" s="1435"/>
      <c r="O148" s="1428">
        <f t="shared" si="29"/>
        <v>1</v>
      </c>
      <c r="P148" s="1435"/>
      <c r="Q148" s="1428">
        <f t="shared" si="30"/>
        <v>0</v>
      </c>
      <c r="R148" s="1488">
        <f t="shared" si="31"/>
        <v>0</v>
      </c>
      <c r="S148" s="1427">
        <f t="shared" si="32"/>
        <v>0</v>
      </c>
    </row>
    <row r="149" ht="13" spans="1:19">
      <c r="A149" s="1437"/>
      <c r="B149" s="1432"/>
      <c r="C149" s="1428">
        <f t="shared" si="23"/>
        <v>1</v>
      </c>
      <c r="D149" s="1435"/>
      <c r="E149" s="1428">
        <f t="shared" si="24"/>
        <v>1</v>
      </c>
      <c r="F149" s="1435"/>
      <c r="G149" s="1428">
        <f t="shared" si="25"/>
        <v>1</v>
      </c>
      <c r="H149" s="1435"/>
      <c r="I149" s="1428">
        <f t="shared" si="26"/>
        <v>1</v>
      </c>
      <c r="J149" s="1435"/>
      <c r="K149" s="1428">
        <f t="shared" si="27"/>
        <v>1</v>
      </c>
      <c r="L149" s="1435"/>
      <c r="M149" s="1428">
        <f t="shared" si="28"/>
        <v>1</v>
      </c>
      <c r="N149" s="1435"/>
      <c r="O149" s="1428">
        <f t="shared" si="29"/>
        <v>1</v>
      </c>
      <c r="P149" s="1435"/>
      <c r="Q149" s="1428">
        <f t="shared" si="30"/>
        <v>0</v>
      </c>
      <c r="R149" s="1488">
        <f t="shared" si="31"/>
        <v>0</v>
      </c>
      <c r="S149" s="1427">
        <f t="shared" si="32"/>
        <v>0</v>
      </c>
    </row>
    <row r="150" ht="13" spans="1:19">
      <c r="A150" s="1437"/>
      <c r="B150" s="1432"/>
      <c r="C150" s="1428">
        <f t="shared" si="23"/>
        <v>1</v>
      </c>
      <c r="D150" s="1435"/>
      <c r="E150" s="1428">
        <f t="shared" si="24"/>
        <v>1</v>
      </c>
      <c r="F150" s="1435"/>
      <c r="G150" s="1428">
        <f t="shared" si="25"/>
        <v>1</v>
      </c>
      <c r="H150" s="1435"/>
      <c r="I150" s="1428">
        <f t="shared" si="26"/>
        <v>1</v>
      </c>
      <c r="J150" s="1435"/>
      <c r="K150" s="1428">
        <f t="shared" si="27"/>
        <v>1</v>
      </c>
      <c r="L150" s="1435"/>
      <c r="M150" s="1428">
        <f t="shared" si="28"/>
        <v>1</v>
      </c>
      <c r="N150" s="1435"/>
      <c r="O150" s="1428">
        <f t="shared" si="29"/>
        <v>1</v>
      </c>
      <c r="P150" s="1435"/>
      <c r="Q150" s="1428">
        <f t="shared" si="30"/>
        <v>0</v>
      </c>
      <c r="R150" s="1488">
        <f t="shared" si="31"/>
        <v>0</v>
      </c>
      <c r="S150" s="1427">
        <f t="shared" si="32"/>
        <v>0</v>
      </c>
    </row>
    <row r="151" ht="13" spans="1:19">
      <c r="A151" s="1437"/>
      <c r="B151" s="1432"/>
      <c r="C151" s="1428">
        <f t="shared" si="23"/>
        <v>1</v>
      </c>
      <c r="D151" s="1435"/>
      <c r="E151" s="1428">
        <f t="shared" si="24"/>
        <v>1</v>
      </c>
      <c r="F151" s="1435"/>
      <c r="G151" s="1428">
        <f t="shared" si="25"/>
        <v>1</v>
      </c>
      <c r="H151" s="1435"/>
      <c r="I151" s="1428">
        <f t="shared" si="26"/>
        <v>1</v>
      </c>
      <c r="J151" s="1435"/>
      <c r="K151" s="1428">
        <f t="shared" si="27"/>
        <v>1</v>
      </c>
      <c r="L151" s="1435"/>
      <c r="M151" s="1428">
        <f t="shared" si="28"/>
        <v>1</v>
      </c>
      <c r="N151" s="1435"/>
      <c r="O151" s="1428">
        <f t="shared" si="29"/>
        <v>1</v>
      </c>
      <c r="P151" s="1435"/>
      <c r="Q151" s="1428">
        <f t="shared" si="30"/>
        <v>0</v>
      </c>
      <c r="R151" s="1488">
        <f t="shared" si="31"/>
        <v>0</v>
      </c>
      <c r="S151" s="1427">
        <f t="shared" si="32"/>
        <v>0</v>
      </c>
    </row>
    <row r="152" ht="13" spans="1:19">
      <c r="A152" s="1437"/>
      <c r="B152" s="1432"/>
      <c r="C152" s="1428">
        <f t="shared" si="23"/>
        <v>1</v>
      </c>
      <c r="D152" s="1435"/>
      <c r="E152" s="1428">
        <f t="shared" si="24"/>
        <v>1</v>
      </c>
      <c r="F152" s="1435"/>
      <c r="G152" s="1428">
        <f t="shared" si="25"/>
        <v>1</v>
      </c>
      <c r="H152" s="1435"/>
      <c r="I152" s="1428">
        <f t="shared" si="26"/>
        <v>1</v>
      </c>
      <c r="J152" s="1435"/>
      <c r="K152" s="1428">
        <f t="shared" si="27"/>
        <v>1</v>
      </c>
      <c r="L152" s="1435"/>
      <c r="M152" s="1428">
        <f t="shared" si="28"/>
        <v>1</v>
      </c>
      <c r="N152" s="1435"/>
      <c r="O152" s="1428">
        <f t="shared" si="29"/>
        <v>1</v>
      </c>
      <c r="P152" s="1435"/>
      <c r="Q152" s="1428">
        <f t="shared" si="30"/>
        <v>0</v>
      </c>
      <c r="R152" s="1488">
        <f t="shared" si="31"/>
        <v>0</v>
      </c>
      <c r="S152" s="1427">
        <f t="shared" si="32"/>
        <v>0</v>
      </c>
    </row>
    <row r="153" ht="13" spans="1:19">
      <c r="A153" s="1437"/>
      <c r="B153" s="1432"/>
      <c r="C153" s="1428">
        <f t="shared" si="23"/>
        <v>1</v>
      </c>
      <c r="D153" s="1435"/>
      <c r="E153" s="1428">
        <f t="shared" si="24"/>
        <v>1</v>
      </c>
      <c r="F153" s="1435"/>
      <c r="G153" s="1428">
        <f t="shared" si="25"/>
        <v>1</v>
      </c>
      <c r="H153" s="1435"/>
      <c r="I153" s="1428">
        <f t="shared" si="26"/>
        <v>1</v>
      </c>
      <c r="J153" s="1435"/>
      <c r="K153" s="1428">
        <f t="shared" si="27"/>
        <v>1</v>
      </c>
      <c r="L153" s="1435"/>
      <c r="M153" s="1428">
        <f t="shared" si="28"/>
        <v>1</v>
      </c>
      <c r="N153" s="1435"/>
      <c r="O153" s="1428">
        <f t="shared" si="29"/>
        <v>1</v>
      </c>
      <c r="P153" s="1435"/>
      <c r="Q153" s="1428">
        <f t="shared" si="30"/>
        <v>0</v>
      </c>
      <c r="R153" s="1488">
        <f t="shared" si="31"/>
        <v>0</v>
      </c>
      <c r="S153" s="1427">
        <f t="shared" si="32"/>
        <v>0</v>
      </c>
    </row>
    <row r="154" ht="13" spans="1:19">
      <c r="A154" s="1437"/>
      <c r="B154" s="1432"/>
      <c r="C154" s="1428">
        <f t="shared" ref="C154:C217" si="33">IF(B154="",1,(LOOKUP(B154,$3:$3,$4:$4)-LOOKUP($B$24,$3:$3,$4:$4)+100)/100)</f>
        <v>1</v>
      </c>
      <c r="D154" s="1435"/>
      <c r="E154" s="1428">
        <f t="shared" ref="E154:E217" si="34">(SUMIF($5:$5,D154,$6:$6)-SUMIF($5:$5,$D$24,$6:$6)+100)/100</f>
        <v>1</v>
      </c>
      <c r="F154" s="1435"/>
      <c r="G154" s="1428">
        <f t="shared" ref="G154:G217" si="35">(SUMIF($7:$7,F154,$8:$8)-SUMIF($7:$7,$F$24,$8:$8)+100)/100</f>
        <v>1</v>
      </c>
      <c r="H154" s="1435"/>
      <c r="I154" s="1428">
        <f t="shared" ref="I154:I217" si="36">(SUMIF($9:$9,H154,$10:$10)-SUMIF($9:$9,$H$24,$10:$10)+100)/100</f>
        <v>1</v>
      </c>
      <c r="J154" s="1435"/>
      <c r="K154" s="1428">
        <f t="shared" ref="K154:K217" si="37">(SUMIF($11:$11,J154,$12:$12)-SUMIF($11:$11,$J$24,$12:$12)+100)/100</f>
        <v>1</v>
      </c>
      <c r="L154" s="1435"/>
      <c r="M154" s="1428">
        <f t="shared" ref="M154:M217" si="38">(SUMIF($13:$13,L154,$14:$14)-SUMIF($13:$13,$L$24,$14:$14)+100)/100</f>
        <v>1</v>
      </c>
      <c r="N154" s="1435"/>
      <c r="O154" s="1428">
        <f t="shared" ref="O154:O217" si="39">(SUMIF($15:$15,N154,$16:$16)-SUMIF($15:$15,$N$24,$16:$16)+100)/100</f>
        <v>1</v>
      </c>
      <c r="P154" s="1435"/>
      <c r="Q154" s="1428">
        <f t="shared" ref="Q154:Q217" si="40">(SUMIF($17:$17,P154,$18:$18)-SUMIF($17:$17,$P$24,$18:$18)+100)/100</f>
        <v>0</v>
      </c>
      <c r="R154" s="1488">
        <f t="shared" ref="R154:R217" si="41">IF(B154="",0,ROUND($R$24*C154*E154*G154*I154*K154*M154*O154*Q154,0))</f>
        <v>0</v>
      </c>
      <c r="S154" s="1427">
        <f t="shared" si="32"/>
        <v>0</v>
      </c>
    </row>
    <row r="155" ht="13" spans="1:19">
      <c r="A155" s="1437"/>
      <c r="B155" s="1432"/>
      <c r="C155" s="1428">
        <f t="shared" si="33"/>
        <v>1</v>
      </c>
      <c r="D155" s="1435"/>
      <c r="E155" s="1428">
        <f t="shared" si="34"/>
        <v>1</v>
      </c>
      <c r="F155" s="1435"/>
      <c r="G155" s="1428">
        <f t="shared" si="35"/>
        <v>1</v>
      </c>
      <c r="H155" s="1435"/>
      <c r="I155" s="1428">
        <f t="shared" si="36"/>
        <v>1</v>
      </c>
      <c r="J155" s="1435"/>
      <c r="K155" s="1428">
        <f t="shared" si="37"/>
        <v>1</v>
      </c>
      <c r="L155" s="1435"/>
      <c r="M155" s="1428">
        <f t="shared" si="38"/>
        <v>1</v>
      </c>
      <c r="N155" s="1435"/>
      <c r="O155" s="1428">
        <f t="shared" si="39"/>
        <v>1</v>
      </c>
      <c r="P155" s="1435"/>
      <c r="Q155" s="1428">
        <f t="shared" si="40"/>
        <v>0</v>
      </c>
      <c r="R155" s="1488">
        <f t="shared" si="41"/>
        <v>0</v>
      </c>
      <c r="S155" s="1427">
        <f t="shared" si="32"/>
        <v>0</v>
      </c>
    </row>
    <row r="156" ht="13" spans="1:19">
      <c r="A156" s="1437"/>
      <c r="B156" s="1432"/>
      <c r="C156" s="1428">
        <f t="shared" si="33"/>
        <v>1</v>
      </c>
      <c r="D156" s="1435"/>
      <c r="E156" s="1428">
        <f t="shared" si="34"/>
        <v>1</v>
      </c>
      <c r="F156" s="1435"/>
      <c r="G156" s="1428">
        <f t="shared" si="35"/>
        <v>1</v>
      </c>
      <c r="H156" s="1435"/>
      <c r="I156" s="1428">
        <f t="shared" si="36"/>
        <v>1</v>
      </c>
      <c r="J156" s="1435"/>
      <c r="K156" s="1428">
        <f t="shared" si="37"/>
        <v>1</v>
      </c>
      <c r="L156" s="1435"/>
      <c r="M156" s="1428">
        <f t="shared" si="38"/>
        <v>1</v>
      </c>
      <c r="N156" s="1435"/>
      <c r="O156" s="1428">
        <f t="shared" si="39"/>
        <v>1</v>
      </c>
      <c r="P156" s="1435"/>
      <c r="Q156" s="1428">
        <f t="shared" si="40"/>
        <v>0</v>
      </c>
      <c r="R156" s="1488">
        <f t="shared" si="41"/>
        <v>0</v>
      </c>
      <c r="S156" s="1427">
        <f t="shared" si="32"/>
        <v>0</v>
      </c>
    </row>
    <row r="157" ht="13" spans="1:19">
      <c r="A157" s="1437"/>
      <c r="B157" s="1432"/>
      <c r="C157" s="1428">
        <f t="shared" si="33"/>
        <v>1</v>
      </c>
      <c r="D157" s="1435"/>
      <c r="E157" s="1428">
        <f t="shared" si="34"/>
        <v>1</v>
      </c>
      <c r="F157" s="1435"/>
      <c r="G157" s="1428">
        <f t="shared" si="35"/>
        <v>1</v>
      </c>
      <c r="H157" s="1435"/>
      <c r="I157" s="1428">
        <f t="shared" si="36"/>
        <v>1</v>
      </c>
      <c r="J157" s="1435"/>
      <c r="K157" s="1428">
        <f t="shared" si="37"/>
        <v>1</v>
      </c>
      <c r="L157" s="1435"/>
      <c r="M157" s="1428">
        <f t="shared" si="38"/>
        <v>1</v>
      </c>
      <c r="N157" s="1435"/>
      <c r="O157" s="1428">
        <f t="shared" si="39"/>
        <v>1</v>
      </c>
      <c r="P157" s="1435"/>
      <c r="Q157" s="1428">
        <f t="shared" si="40"/>
        <v>0</v>
      </c>
      <c r="R157" s="1488">
        <f t="shared" si="41"/>
        <v>0</v>
      </c>
      <c r="S157" s="1427">
        <f t="shared" si="32"/>
        <v>0</v>
      </c>
    </row>
    <row r="158" ht="13" spans="1:19">
      <c r="A158" s="1437"/>
      <c r="B158" s="1432"/>
      <c r="C158" s="1428">
        <f t="shared" si="33"/>
        <v>1</v>
      </c>
      <c r="D158" s="1435"/>
      <c r="E158" s="1428">
        <f t="shared" si="34"/>
        <v>1</v>
      </c>
      <c r="F158" s="1435"/>
      <c r="G158" s="1428">
        <f t="shared" si="35"/>
        <v>1</v>
      </c>
      <c r="H158" s="1435"/>
      <c r="I158" s="1428">
        <f t="shared" si="36"/>
        <v>1</v>
      </c>
      <c r="J158" s="1435"/>
      <c r="K158" s="1428">
        <f t="shared" si="37"/>
        <v>1</v>
      </c>
      <c r="L158" s="1435"/>
      <c r="M158" s="1428">
        <f t="shared" si="38"/>
        <v>1</v>
      </c>
      <c r="N158" s="1435"/>
      <c r="O158" s="1428">
        <f t="shared" si="39"/>
        <v>1</v>
      </c>
      <c r="P158" s="1435"/>
      <c r="Q158" s="1428">
        <f t="shared" si="40"/>
        <v>0</v>
      </c>
      <c r="R158" s="1488">
        <f t="shared" si="41"/>
        <v>0</v>
      </c>
      <c r="S158" s="1427">
        <f t="shared" si="32"/>
        <v>0</v>
      </c>
    </row>
    <row r="159" ht="13" spans="1:19">
      <c r="A159" s="1437"/>
      <c r="B159" s="1432"/>
      <c r="C159" s="1428">
        <f t="shared" si="33"/>
        <v>1</v>
      </c>
      <c r="D159" s="1435"/>
      <c r="E159" s="1428">
        <f t="shared" si="34"/>
        <v>1</v>
      </c>
      <c r="F159" s="1435"/>
      <c r="G159" s="1428">
        <f t="shared" si="35"/>
        <v>1</v>
      </c>
      <c r="H159" s="1435"/>
      <c r="I159" s="1428">
        <f t="shared" si="36"/>
        <v>1</v>
      </c>
      <c r="J159" s="1435"/>
      <c r="K159" s="1428">
        <f t="shared" si="37"/>
        <v>1</v>
      </c>
      <c r="L159" s="1435"/>
      <c r="M159" s="1428">
        <f t="shared" si="38"/>
        <v>1</v>
      </c>
      <c r="N159" s="1435"/>
      <c r="O159" s="1428">
        <f t="shared" si="39"/>
        <v>1</v>
      </c>
      <c r="P159" s="1435"/>
      <c r="Q159" s="1428">
        <f t="shared" si="40"/>
        <v>0</v>
      </c>
      <c r="R159" s="1488">
        <f t="shared" si="41"/>
        <v>0</v>
      </c>
      <c r="S159" s="1427">
        <f t="shared" si="32"/>
        <v>0</v>
      </c>
    </row>
    <row r="160" ht="13" spans="1:19">
      <c r="A160" s="1437"/>
      <c r="B160" s="1432"/>
      <c r="C160" s="1428">
        <f t="shared" si="33"/>
        <v>1</v>
      </c>
      <c r="D160" s="1435"/>
      <c r="E160" s="1428">
        <f t="shared" si="34"/>
        <v>1</v>
      </c>
      <c r="F160" s="1435"/>
      <c r="G160" s="1428">
        <f t="shared" si="35"/>
        <v>1</v>
      </c>
      <c r="H160" s="1435"/>
      <c r="I160" s="1428">
        <f t="shared" si="36"/>
        <v>1</v>
      </c>
      <c r="J160" s="1435"/>
      <c r="K160" s="1428">
        <f t="shared" si="37"/>
        <v>1</v>
      </c>
      <c r="L160" s="1435"/>
      <c r="M160" s="1428">
        <f t="shared" si="38"/>
        <v>1</v>
      </c>
      <c r="N160" s="1435"/>
      <c r="O160" s="1428">
        <f t="shared" si="39"/>
        <v>1</v>
      </c>
      <c r="P160" s="1435"/>
      <c r="Q160" s="1428">
        <f t="shared" si="40"/>
        <v>0</v>
      </c>
      <c r="R160" s="1488">
        <f t="shared" si="41"/>
        <v>0</v>
      </c>
      <c r="S160" s="1427">
        <f t="shared" si="32"/>
        <v>0</v>
      </c>
    </row>
    <row r="161" ht="13" spans="1:19">
      <c r="A161" s="1437"/>
      <c r="B161" s="1432"/>
      <c r="C161" s="1428">
        <f t="shared" si="33"/>
        <v>1</v>
      </c>
      <c r="D161" s="1435"/>
      <c r="E161" s="1428">
        <f t="shared" si="34"/>
        <v>1</v>
      </c>
      <c r="F161" s="1435"/>
      <c r="G161" s="1428">
        <f t="shared" si="35"/>
        <v>1</v>
      </c>
      <c r="H161" s="1435"/>
      <c r="I161" s="1428">
        <f t="shared" si="36"/>
        <v>1</v>
      </c>
      <c r="J161" s="1435"/>
      <c r="K161" s="1428">
        <f t="shared" si="37"/>
        <v>1</v>
      </c>
      <c r="L161" s="1435"/>
      <c r="M161" s="1428">
        <f t="shared" si="38"/>
        <v>1</v>
      </c>
      <c r="N161" s="1435"/>
      <c r="O161" s="1428">
        <f t="shared" si="39"/>
        <v>1</v>
      </c>
      <c r="P161" s="1435"/>
      <c r="Q161" s="1428">
        <f t="shared" si="40"/>
        <v>0</v>
      </c>
      <c r="R161" s="1488">
        <f t="shared" si="41"/>
        <v>0</v>
      </c>
      <c r="S161" s="1427">
        <f t="shared" si="32"/>
        <v>0</v>
      </c>
    </row>
    <row r="162" ht="13" spans="1:19">
      <c r="A162" s="1437"/>
      <c r="B162" s="1432"/>
      <c r="C162" s="1428">
        <f t="shared" si="33"/>
        <v>1</v>
      </c>
      <c r="D162" s="1435"/>
      <c r="E162" s="1428">
        <f t="shared" si="34"/>
        <v>1</v>
      </c>
      <c r="F162" s="1435"/>
      <c r="G162" s="1428">
        <f t="shared" si="35"/>
        <v>1</v>
      </c>
      <c r="H162" s="1435"/>
      <c r="I162" s="1428">
        <f t="shared" si="36"/>
        <v>1</v>
      </c>
      <c r="J162" s="1435"/>
      <c r="K162" s="1428">
        <f t="shared" si="37"/>
        <v>1</v>
      </c>
      <c r="L162" s="1435"/>
      <c r="M162" s="1428">
        <f t="shared" si="38"/>
        <v>1</v>
      </c>
      <c r="N162" s="1435"/>
      <c r="O162" s="1428">
        <f t="shared" si="39"/>
        <v>1</v>
      </c>
      <c r="P162" s="1435"/>
      <c r="Q162" s="1428">
        <f t="shared" si="40"/>
        <v>0</v>
      </c>
      <c r="R162" s="1488">
        <f t="shared" si="41"/>
        <v>0</v>
      </c>
      <c r="S162" s="1427">
        <f t="shared" si="32"/>
        <v>0</v>
      </c>
    </row>
    <row r="163" ht="13" spans="1:19">
      <c r="A163" s="1437"/>
      <c r="B163" s="1432"/>
      <c r="C163" s="1428">
        <f t="shared" si="33"/>
        <v>1</v>
      </c>
      <c r="D163" s="1435"/>
      <c r="E163" s="1428">
        <f t="shared" si="34"/>
        <v>1</v>
      </c>
      <c r="F163" s="1435"/>
      <c r="G163" s="1428">
        <f t="shared" si="35"/>
        <v>1</v>
      </c>
      <c r="H163" s="1435"/>
      <c r="I163" s="1428">
        <f t="shared" si="36"/>
        <v>1</v>
      </c>
      <c r="J163" s="1435"/>
      <c r="K163" s="1428">
        <f t="shared" si="37"/>
        <v>1</v>
      </c>
      <c r="L163" s="1435"/>
      <c r="M163" s="1428">
        <f t="shared" si="38"/>
        <v>1</v>
      </c>
      <c r="N163" s="1435"/>
      <c r="O163" s="1428">
        <f t="shared" si="39"/>
        <v>1</v>
      </c>
      <c r="P163" s="1435"/>
      <c r="Q163" s="1428">
        <f t="shared" si="40"/>
        <v>0</v>
      </c>
      <c r="R163" s="1488">
        <f t="shared" si="41"/>
        <v>0</v>
      </c>
      <c r="S163" s="1427">
        <f t="shared" si="32"/>
        <v>0</v>
      </c>
    </row>
    <row r="164" ht="13" spans="1:19">
      <c r="A164" s="1437"/>
      <c r="B164" s="1432"/>
      <c r="C164" s="1428">
        <f t="shared" si="33"/>
        <v>1</v>
      </c>
      <c r="D164" s="1435"/>
      <c r="E164" s="1428">
        <f t="shared" si="34"/>
        <v>1</v>
      </c>
      <c r="F164" s="1435"/>
      <c r="G164" s="1428">
        <f t="shared" si="35"/>
        <v>1</v>
      </c>
      <c r="H164" s="1435"/>
      <c r="I164" s="1428">
        <f t="shared" si="36"/>
        <v>1</v>
      </c>
      <c r="J164" s="1435"/>
      <c r="K164" s="1428">
        <f t="shared" si="37"/>
        <v>1</v>
      </c>
      <c r="L164" s="1435"/>
      <c r="M164" s="1428">
        <f t="shared" si="38"/>
        <v>1</v>
      </c>
      <c r="N164" s="1435"/>
      <c r="O164" s="1428">
        <f t="shared" si="39"/>
        <v>1</v>
      </c>
      <c r="P164" s="1435"/>
      <c r="Q164" s="1428">
        <f t="shared" si="40"/>
        <v>0</v>
      </c>
      <c r="R164" s="1488">
        <f t="shared" si="41"/>
        <v>0</v>
      </c>
      <c r="S164" s="1427">
        <f t="shared" si="32"/>
        <v>0</v>
      </c>
    </row>
    <row r="165" ht="13" spans="1:19">
      <c r="A165" s="1437"/>
      <c r="B165" s="1432"/>
      <c r="C165" s="1428">
        <f t="shared" si="33"/>
        <v>1</v>
      </c>
      <c r="D165" s="1435"/>
      <c r="E165" s="1428">
        <f t="shared" si="34"/>
        <v>1</v>
      </c>
      <c r="F165" s="1435"/>
      <c r="G165" s="1428">
        <f t="shared" si="35"/>
        <v>1</v>
      </c>
      <c r="H165" s="1435"/>
      <c r="I165" s="1428">
        <f t="shared" si="36"/>
        <v>1</v>
      </c>
      <c r="J165" s="1435"/>
      <c r="K165" s="1428">
        <f t="shared" si="37"/>
        <v>1</v>
      </c>
      <c r="L165" s="1435"/>
      <c r="M165" s="1428">
        <f t="shared" si="38"/>
        <v>1</v>
      </c>
      <c r="N165" s="1435"/>
      <c r="O165" s="1428">
        <f t="shared" si="39"/>
        <v>1</v>
      </c>
      <c r="P165" s="1435"/>
      <c r="Q165" s="1428">
        <f t="shared" si="40"/>
        <v>0</v>
      </c>
      <c r="R165" s="1488">
        <f t="shared" si="41"/>
        <v>0</v>
      </c>
      <c r="S165" s="1427">
        <f t="shared" si="32"/>
        <v>0</v>
      </c>
    </row>
    <row r="166" ht="13" spans="1:19">
      <c r="A166" s="1437"/>
      <c r="B166" s="1432"/>
      <c r="C166" s="1428">
        <f t="shared" si="33"/>
        <v>1</v>
      </c>
      <c r="D166" s="1435"/>
      <c r="E166" s="1428">
        <f t="shared" si="34"/>
        <v>1</v>
      </c>
      <c r="F166" s="1435"/>
      <c r="G166" s="1428">
        <f t="shared" si="35"/>
        <v>1</v>
      </c>
      <c r="H166" s="1435"/>
      <c r="I166" s="1428">
        <f t="shared" si="36"/>
        <v>1</v>
      </c>
      <c r="J166" s="1435"/>
      <c r="K166" s="1428">
        <f t="shared" si="37"/>
        <v>1</v>
      </c>
      <c r="L166" s="1435"/>
      <c r="M166" s="1428">
        <f t="shared" si="38"/>
        <v>1</v>
      </c>
      <c r="N166" s="1435"/>
      <c r="O166" s="1428">
        <f t="shared" si="39"/>
        <v>1</v>
      </c>
      <c r="P166" s="1435"/>
      <c r="Q166" s="1428">
        <f t="shared" si="40"/>
        <v>0</v>
      </c>
      <c r="R166" s="1488">
        <f t="shared" si="41"/>
        <v>0</v>
      </c>
      <c r="S166" s="1427">
        <f t="shared" si="32"/>
        <v>0</v>
      </c>
    </row>
    <row r="167" ht="13" spans="1:19">
      <c r="A167" s="1437"/>
      <c r="B167" s="1432"/>
      <c r="C167" s="1428">
        <f t="shared" si="33"/>
        <v>1</v>
      </c>
      <c r="D167" s="1435"/>
      <c r="E167" s="1428">
        <f t="shared" si="34"/>
        <v>1</v>
      </c>
      <c r="F167" s="1435"/>
      <c r="G167" s="1428">
        <f t="shared" si="35"/>
        <v>1</v>
      </c>
      <c r="H167" s="1435"/>
      <c r="I167" s="1428">
        <f t="shared" si="36"/>
        <v>1</v>
      </c>
      <c r="J167" s="1435"/>
      <c r="K167" s="1428">
        <f t="shared" si="37"/>
        <v>1</v>
      </c>
      <c r="L167" s="1435"/>
      <c r="M167" s="1428">
        <f t="shared" si="38"/>
        <v>1</v>
      </c>
      <c r="N167" s="1435"/>
      <c r="O167" s="1428">
        <f t="shared" si="39"/>
        <v>1</v>
      </c>
      <c r="P167" s="1435"/>
      <c r="Q167" s="1428">
        <f t="shared" si="40"/>
        <v>0</v>
      </c>
      <c r="R167" s="1488">
        <f t="shared" si="41"/>
        <v>0</v>
      </c>
      <c r="S167" s="1427">
        <f t="shared" si="32"/>
        <v>0</v>
      </c>
    </row>
    <row r="168" ht="13" spans="1:19">
      <c r="A168" s="1437"/>
      <c r="B168" s="1432"/>
      <c r="C168" s="1428">
        <f t="shared" si="33"/>
        <v>1</v>
      </c>
      <c r="D168" s="1435"/>
      <c r="E168" s="1428">
        <f t="shared" si="34"/>
        <v>1</v>
      </c>
      <c r="F168" s="1435"/>
      <c r="G168" s="1428">
        <f t="shared" si="35"/>
        <v>1</v>
      </c>
      <c r="H168" s="1435"/>
      <c r="I168" s="1428">
        <f t="shared" si="36"/>
        <v>1</v>
      </c>
      <c r="J168" s="1435"/>
      <c r="K168" s="1428">
        <f t="shared" si="37"/>
        <v>1</v>
      </c>
      <c r="L168" s="1435"/>
      <c r="M168" s="1428">
        <f t="shared" si="38"/>
        <v>1</v>
      </c>
      <c r="N168" s="1435"/>
      <c r="O168" s="1428">
        <f t="shared" si="39"/>
        <v>1</v>
      </c>
      <c r="P168" s="1435"/>
      <c r="Q168" s="1428">
        <f t="shared" si="40"/>
        <v>0</v>
      </c>
      <c r="R168" s="1488">
        <f t="shared" si="41"/>
        <v>0</v>
      </c>
      <c r="S168" s="1427">
        <f t="shared" si="32"/>
        <v>0</v>
      </c>
    </row>
    <row r="169" ht="13" spans="1:19">
      <c r="A169" s="1437"/>
      <c r="B169" s="1432"/>
      <c r="C169" s="1428">
        <f t="shared" si="33"/>
        <v>1</v>
      </c>
      <c r="D169" s="1435"/>
      <c r="E169" s="1428">
        <f t="shared" si="34"/>
        <v>1</v>
      </c>
      <c r="F169" s="1435"/>
      <c r="G169" s="1428">
        <f t="shared" si="35"/>
        <v>1</v>
      </c>
      <c r="H169" s="1435"/>
      <c r="I169" s="1428">
        <f t="shared" si="36"/>
        <v>1</v>
      </c>
      <c r="J169" s="1435"/>
      <c r="K169" s="1428">
        <f t="shared" si="37"/>
        <v>1</v>
      </c>
      <c r="L169" s="1435"/>
      <c r="M169" s="1428">
        <f t="shared" si="38"/>
        <v>1</v>
      </c>
      <c r="N169" s="1435"/>
      <c r="O169" s="1428">
        <f t="shared" si="39"/>
        <v>1</v>
      </c>
      <c r="P169" s="1435"/>
      <c r="Q169" s="1428">
        <f t="shared" si="40"/>
        <v>0</v>
      </c>
      <c r="R169" s="1488">
        <f t="shared" si="41"/>
        <v>0</v>
      </c>
      <c r="S169" s="1427">
        <f t="shared" si="32"/>
        <v>0</v>
      </c>
    </row>
    <row r="170" ht="13" spans="1:19">
      <c r="A170" s="1437"/>
      <c r="B170" s="1432"/>
      <c r="C170" s="1428">
        <f t="shared" si="33"/>
        <v>1</v>
      </c>
      <c r="D170" s="1435"/>
      <c r="E170" s="1428">
        <f t="shared" si="34"/>
        <v>1</v>
      </c>
      <c r="F170" s="1435"/>
      <c r="G170" s="1428">
        <f t="shared" si="35"/>
        <v>1</v>
      </c>
      <c r="H170" s="1435"/>
      <c r="I170" s="1428">
        <f t="shared" si="36"/>
        <v>1</v>
      </c>
      <c r="J170" s="1435"/>
      <c r="K170" s="1428">
        <f t="shared" si="37"/>
        <v>1</v>
      </c>
      <c r="L170" s="1435"/>
      <c r="M170" s="1428">
        <f t="shared" si="38"/>
        <v>1</v>
      </c>
      <c r="N170" s="1435"/>
      <c r="O170" s="1428">
        <f t="shared" si="39"/>
        <v>1</v>
      </c>
      <c r="P170" s="1435"/>
      <c r="Q170" s="1428">
        <f t="shared" si="40"/>
        <v>0</v>
      </c>
      <c r="R170" s="1488">
        <f t="shared" si="41"/>
        <v>0</v>
      </c>
      <c r="S170" s="1427">
        <f t="shared" si="32"/>
        <v>0</v>
      </c>
    </row>
    <row r="171" ht="13" spans="1:19">
      <c r="A171" s="1437"/>
      <c r="B171" s="1432"/>
      <c r="C171" s="1428">
        <f t="shared" si="33"/>
        <v>1</v>
      </c>
      <c r="D171" s="1435"/>
      <c r="E171" s="1428">
        <f t="shared" si="34"/>
        <v>1</v>
      </c>
      <c r="F171" s="1435"/>
      <c r="G171" s="1428">
        <f t="shared" si="35"/>
        <v>1</v>
      </c>
      <c r="H171" s="1435"/>
      <c r="I171" s="1428">
        <f t="shared" si="36"/>
        <v>1</v>
      </c>
      <c r="J171" s="1435"/>
      <c r="K171" s="1428">
        <f t="shared" si="37"/>
        <v>1</v>
      </c>
      <c r="L171" s="1435"/>
      <c r="M171" s="1428">
        <f t="shared" si="38"/>
        <v>1</v>
      </c>
      <c r="N171" s="1435"/>
      <c r="O171" s="1428">
        <f t="shared" si="39"/>
        <v>1</v>
      </c>
      <c r="P171" s="1435"/>
      <c r="Q171" s="1428">
        <f t="shared" si="40"/>
        <v>0</v>
      </c>
      <c r="R171" s="1488">
        <f t="shared" si="41"/>
        <v>0</v>
      </c>
      <c r="S171" s="1427">
        <f t="shared" si="32"/>
        <v>0</v>
      </c>
    </row>
    <row r="172" ht="13" spans="1:19">
      <c r="A172" s="1437"/>
      <c r="B172" s="1432"/>
      <c r="C172" s="1428">
        <f t="shared" si="33"/>
        <v>1</v>
      </c>
      <c r="D172" s="1435"/>
      <c r="E172" s="1428">
        <f t="shared" si="34"/>
        <v>1</v>
      </c>
      <c r="F172" s="1435"/>
      <c r="G172" s="1428">
        <f t="shared" si="35"/>
        <v>1</v>
      </c>
      <c r="H172" s="1435"/>
      <c r="I172" s="1428">
        <f t="shared" si="36"/>
        <v>1</v>
      </c>
      <c r="J172" s="1435"/>
      <c r="K172" s="1428">
        <f t="shared" si="37"/>
        <v>1</v>
      </c>
      <c r="L172" s="1435"/>
      <c r="M172" s="1428">
        <f t="shared" si="38"/>
        <v>1</v>
      </c>
      <c r="N172" s="1435"/>
      <c r="O172" s="1428">
        <f t="shared" si="39"/>
        <v>1</v>
      </c>
      <c r="P172" s="1435"/>
      <c r="Q172" s="1428">
        <f t="shared" si="40"/>
        <v>0</v>
      </c>
      <c r="R172" s="1488">
        <f t="shared" si="41"/>
        <v>0</v>
      </c>
      <c r="S172" s="1427">
        <f t="shared" si="32"/>
        <v>0</v>
      </c>
    </row>
    <row r="173" ht="13" spans="1:19">
      <c r="A173" s="1437"/>
      <c r="B173" s="1432"/>
      <c r="C173" s="1428">
        <f t="shared" si="33"/>
        <v>1</v>
      </c>
      <c r="D173" s="1435"/>
      <c r="E173" s="1428">
        <f t="shared" si="34"/>
        <v>1</v>
      </c>
      <c r="F173" s="1435"/>
      <c r="G173" s="1428">
        <f t="shared" si="35"/>
        <v>1</v>
      </c>
      <c r="H173" s="1435"/>
      <c r="I173" s="1428">
        <f t="shared" si="36"/>
        <v>1</v>
      </c>
      <c r="J173" s="1435"/>
      <c r="K173" s="1428">
        <f t="shared" si="37"/>
        <v>1</v>
      </c>
      <c r="L173" s="1435"/>
      <c r="M173" s="1428">
        <f t="shared" si="38"/>
        <v>1</v>
      </c>
      <c r="N173" s="1435"/>
      <c r="O173" s="1428">
        <f t="shared" si="39"/>
        <v>1</v>
      </c>
      <c r="P173" s="1435"/>
      <c r="Q173" s="1428">
        <f t="shared" si="40"/>
        <v>0</v>
      </c>
      <c r="R173" s="1488">
        <f t="shared" si="41"/>
        <v>0</v>
      </c>
      <c r="S173" s="1427">
        <f t="shared" si="32"/>
        <v>0</v>
      </c>
    </row>
    <row r="174" ht="13" spans="1:19">
      <c r="A174" s="1437"/>
      <c r="B174" s="1432"/>
      <c r="C174" s="1428">
        <f t="shared" si="33"/>
        <v>1</v>
      </c>
      <c r="D174" s="1435"/>
      <c r="E174" s="1428">
        <f t="shared" si="34"/>
        <v>1</v>
      </c>
      <c r="F174" s="1435"/>
      <c r="G174" s="1428">
        <f t="shared" si="35"/>
        <v>1</v>
      </c>
      <c r="H174" s="1435"/>
      <c r="I174" s="1428">
        <f t="shared" si="36"/>
        <v>1</v>
      </c>
      <c r="J174" s="1435"/>
      <c r="K174" s="1428">
        <f t="shared" si="37"/>
        <v>1</v>
      </c>
      <c r="L174" s="1435"/>
      <c r="M174" s="1428">
        <f t="shared" si="38"/>
        <v>1</v>
      </c>
      <c r="N174" s="1435"/>
      <c r="O174" s="1428">
        <f t="shared" si="39"/>
        <v>1</v>
      </c>
      <c r="P174" s="1435"/>
      <c r="Q174" s="1428">
        <f t="shared" si="40"/>
        <v>0</v>
      </c>
      <c r="R174" s="1488">
        <f t="shared" si="41"/>
        <v>0</v>
      </c>
      <c r="S174" s="1427">
        <f t="shared" si="32"/>
        <v>0</v>
      </c>
    </row>
    <row r="175" ht="13" spans="1:19">
      <c r="A175" s="1437"/>
      <c r="B175" s="1432"/>
      <c r="C175" s="1428">
        <f t="shared" si="33"/>
        <v>1</v>
      </c>
      <c r="D175" s="1435"/>
      <c r="E175" s="1428">
        <f t="shared" si="34"/>
        <v>1</v>
      </c>
      <c r="F175" s="1435"/>
      <c r="G175" s="1428">
        <f t="shared" si="35"/>
        <v>1</v>
      </c>
      <c r="H175" s="1435"/>
      <c r="I175" s="1428">
        <f t="shared" si="36"/>
        <v>1</v>
      </c>
      <c r="J175" s="1435"/>
      <c r="K175" s="1428">
        <f t="shared" si="37"/>
        <v>1</v>
      </c>
      <c r="L175" s="1435"/>
      <c r="M175" s="1428">
        <f t="shared" si="38"/>
        <v>1</v>
      </c>
      <c r="N175" s="1435"/>
      <c r="O175" s="1428">
        <f t="shared" si="39"/>
        <v>1</v>
      </c>
      <c r="P175" s="1435"/>
      <c r="Q175" s="1428">
        <f t="shared" si="40"/>
        <v>0</v>
      </c>
      <c r="R175" s="1488">
        <f t="shared" si="41"/>
        <v>0</v>
      </c>
      <c r="S175" s="1427">
        <f t="shared" si="32"/>
        <v>0</v>
      </c>
    </row>
    <row r="176" ht="13" spans="1:19">
      <c r="A176" s="1437"/>
      <c r="B176" s="1432"/>
      <c r="C176" s="1428">
        <f t="shared" si="33"/>
        <v>1</v>
      </c>
      <c r="D176" s="1435"/>
      <c r="E176" s="1428">
        <f t="shared" si="34"/>
        <v>1</v>
      </c>
      <c r="F176" s="1435"/>
      <c r="G176" s="1428">
        <f t="shared" si="35"/>
        <v>1</v>
      </c>
      <c r="H176" s="1435"/>
      <c r="I176" s="1428">
        <f t="shared" si="36"/>
        <v>1</v>
      </c>
      <c r="J176" s="1435"/>
      <c r="K176" s="1428">
        <f t="shared" si="37"/>
        <v>1</v>
      </c>
      <c r="L176" s="1435"/>
      <c r="M176" s="1428">
        <f t="shared" si="38"/>
        <v>1</v>
      </c>
      <c r="N176" s="1435"/>
      <c r="O176" s="1428">
        <f t="shared" si="39"/>
        <v>1</v>
      </c>
      <c r="P176" s="1435"/>
      <c r="Q176" s="1428">
        <f t="shared" si="40"/>
        <v>0</v>
      </c>
      <c r="R176" s="1488">
        <f t="shared" si="41"/>
        <v>0</v>
      </c>
      <c r="S176" s="1427">
        <f t="shared" si="32"/>
        <v>0</v>
      </c>
    </row>
    <row r="177" ht="13" spans="1:19">
      <c r="A177" s="1437"/>
      <c r="B177" s="1432"/>
      <c r="C177" s="1428">
        <f t="shared" si="33"/>
        <v>1</v>
      </c>
      <c r="D177" s="1435"/>
      <c r="E177" s="1428">
        <f t="shared" si="34"/>
        <v>1</v>
      </c>
      <c r="F177" s="1435"/>
      <c r="G177" s="1428">
        <f t="shared" si="35"/>
        <v>1</v>
      </c>
      <c r="H177" s="1435"/>
      <c r="I177" s="1428">
        <f t="shared" si="36"/>
        <v>1</v>
      </c>
      <c r="J177" s="1435"/>
      <c r="K177" s="1428">
        <f t="shared" si="37"/>
        <v>1</v>
      </c>
      <c r="L177" s="1435"/>
      <c r="M177" s="1428">
        <f t="shared" si="38"/>
        <v>1</v>
      </c>
      <c r="N177" s="1435"/>
      <c r="O177" s="1428">
        <f t="shared" si="39"/>
        <v>1</v>
      </c>
      <c r="P177" s="1435"/>
      <c r="Q177" s="1428">
        <f t="shared" si="40"/>
        <v>0</v>
      </c>
      <c r="R177" s="1488">
        <f t="shared" si="41"/>
        <v>0</v>
      </c>
      <c r="S177" s="1427">
        <f t="shared" si="32"/>
        <v>0</v>
      </c>
    </row>
    <row r="178" ht="13" spans="1:19">
      <c r="A178" s="1437"/>
      <c r="B178" s="1432"/>
      <c r="C178" s="1428">
        <f t="shared" si="33"/>
        <v>1</v>
      </c>
      <c r="D178" s="1435"/>
      <c r="E178" s="1428">
        <f t="shared" si="34"/>
        <v>1</v>
      </c>
      <c r="F178" s="1435"/>
      <c r="G178" s="1428">
        <f t="shared" si="35"/>
        <v>1</v>
      </c>
      <c r="H178" s="1435"/>
      <c r="I178" s="1428">
        <f t="shared" si="36"/>
        <v>1</v>
      </c>
      <c r="J178" s="1435"/>
      <c r="K178" s="1428">
        <f t="shared" si="37"/>
        <v>1</v>
      </c>
      <c r="L178" s="1435"/>
      <c r="M178" s="1428">
        <f t="shared" si="38"/>
        <v>1</v>
      </c>
      <c r="N178" s="1435"/>
      <c r="O178" s="1428">
        <f t="shared" si="39"/>
        <v>1</v>
      </c>
      <c r="P178" s="1435"/>
      <c r="Q178" s="1428">
        <f t="shared" si="40"/>
        <v>0</v>
      </c>
      <c r="R178" s="1488">
        <f t="shared" si="41"/>
        <v>0</v>
      </c>
      <c r="S178" s="1427">
        <f t="shared" si="32"/>
        <v>0</v>
      </c>
    </row>
    <row r="179" ht="13" spans="1:19">
      <c r="A179" s="1437"/>
      <c r="B179" s="1432"/>
      <c r="C179" s="1428">
        <f t="shared" si="33"/>
        <v>1</v>
      </c>
      <c r="D179" s="1435"/>
      <c r="E179" s="1428">
        <f t="shared" si="34"/>
        <v>1</v>
      </c>
      <c r="F179" s="1435"/>
      <c r="G179" s="1428">
        <f t="shared" si="35"/>
        <v>1</v>
      </c>
      <c r="H179" s="1435"/>
      <c r="I179" s="1428">
        <f t="shared" si="36"/>
        <v>1</v>
      </c>
      <c r="J179" s="1435"/>
      <c r="K179" s="1428">
        <f t="shared" si="37"/>
        <v>1</v>
      </c>
      <c r="L179" s="1435"/>
      <c r="M179" s="1428">
        <f t="shared" si="38"/>
        <v>1</v>
      </c>
      <c r="N179" s="1435"/>
      <c r="O179" s="1428">
        <f t="shared" si="39"/>
        <v>1</v>
      </c>
      <c r="P179" s="1435"/>
      <c r="Q179" s="1428">
        <f t="shared" si="40"/>
        <v>0</v>
      </c>
      <c r="R179" s="1488">
        <f t="shared" si="41"/>
        <v>0</v>
      </c>
      <c r="S179" s="1427">
        <f t="shared" si="32"/>
        <v>0</v>
      </c>
    </row>
    <row r="180" ht="13" spans="1:19">
      <c r="A180" s="1437"/>
      <c r="B180" s="1432"/>
      <c r="C180" s="1428">
        <f t="shared" si="33"/>
        <v>1</v>
      </c>
      <c r="D180" s="1435"/>
      <c r="E180" s="1428">
        <f t="shared" si="34"/>
        <v>1</v>
      </c>
      <c r="F180" s="1435"/>
      <c r="G180" s="1428">
        <f t="shared" si="35"/>
        <v>1</v>
      </c>
      <c r="H180" s="1435"/>
      <c r="I180" s="1428">
        <f t="shared" si="36"/>
        <v>1</v>
      </c>
      <c r="J180" s="1435"/>
      <c r="K180" s="1428">
        <f t="shared" si="37"/>
        <v>1</v>
      </c>
      <c r="L180" s="1435"/>
      <c r="M180" s="1428">
        <f t="shared" si="38"/>
        <v>1</v>
      </c>
      <c r="N180" s="1435"/>
      <c r="O180" s="1428">
        <f t="shared" si="39"/>
        <v>1</v>
      </c>
      <c r="P180" s="1435"/>
      <c r="Q180" s="1428">
        <f t="shared" si="40"/>
        <v>0</v>
      </c>
      <c r="R180" s="1488">
        <f t="shared" si="41"/>
        <v>0</v>
      </c>
      <c r="S180" s="1427">
        <f t="shared" si="32"/>
        <v>0</v>
      </c>
    </row>
    <row r="181" ht="13" spans="1:19">
      <c r="A181" s="1437"/>
      <c r="B181" s="1432"/>
      <c r="C181" s="1428">
        <f t="shared" si="33"/>
        <v>1</v>
      </c>
      <c r="D181" s="1435"/>
      <c r="E181" s="1428">
        <f t="shared" si="34"/>
        <v>1</v>
      </c>
      <c r="F181" s="1435"/>
      <c r="G181" s="1428">
        <f t="shared" si="35"/>
        <v>1</v>
      </c>
      <c r="H181" s="1435"/>
      <c r="I181" s="1428">
        <f t="shared" si="36"/>
        <v>1</v>
      </c>
      <c r="J181" s="1435"/>
      <c r="K181" s="1428">
        <f t="shared" si="37"/>
        <v>1</v>
      </c>
      <c r="L181" s="1435"/>
      <c r="M181" s="1428">
        <f t="shared" si="38"/>
        <v>1</v>
      </c>
      <c r="N181" s="1435"/>
      <c r="O181" s="1428">
        <f t="shared" si="39"/>
        <v>1</v>
      </c>
      <c r="P181" s="1435"/>
      <c r="Q181" s="1428">
        <f t="shared" si="40"/>
        <v>0</v>
      </c>
      <c r="R181" s="1488">
        <f t="shared" si="41"/>
        <v>0</v>
      </c>
      <c r="S181" s="1427">
        <f t="shared" si="32"/>
        <v>0</v>
      </c>
    </row>
    <row r="182" ht="13" spans="1:19">
      <c r="A182" s="1437"/>
      <c r="B182" s="1432"/>
      <c r="C182" s="1428">
        <f t="shared" si="33"/>
        <v>1</v>
      </c>
      <c r="D182" s="1435"/>
      <c r="E182" s="1428">
        <f t="shared" si="34"/>
        <v>1</v>
      </c>
      <c r="F182" s="1435"/>
      <c r="G182" s="1428">
        <f t="shared" si="35"/>
        <v>1</v>
      </c>
      <c r="H182" s="1435"/>
      <c r="I182" s="1428">
        <f t="shared" si="36"/>
        <v>1</v>
      </c>
      <c r="J182" s="1435"/>
      <c r="K182" s="1428">
        <f t="shared" si="37"/>
        <v>1</v>
      </c>
      <c r="L182" s="1435"/>
      <c r="M182" s="1428">
        <f t="shared" si="38"/>
        <v>1</v>
      </c>
      <c r="N182" s="1435"/>
      <c r="O182" s="1428">
        <f t="shared" si="39"/>
        <v>1</v>
      </c>
      <c r="P182" s="1435"/>
      <c r="Q182" s="1428">
        <f t="shared" si="40"/>
        <v>0</v>
      </c>
      <c r="R182" s="1488">
        <f t="shared" si="41"/>
        <v>0</v>
      </c>
      <c r="S182" s="1427">
        <f t="shared" si="32"/>
        <v>0</v>
      </c>
    </row>
    <row r="183" ht="13" spans="1:19">
      <c r="A183" s="1437"/>
      <c r="B183" s="1432"/>
      <c r="C183" s="1428">
        <f t="shared" si="33"/>
        <v>1</v>
      </c>
      <c r="D183" s="1435"/>
      <c r="E183" s="1428">
        <f t="shared" si="34"/>
        <v>1</v>
      </c>
      <c r="F183" s="1435"/>
      <c r="G183" s="1428">
        <f t="shared" si="35"/>
        <v>1</v>
      </c>
      <c r="H183" s="1435"/>
      <c r="I183" s="1428">
        <f t="shared" si="36"/>
        <v>1</v>
      </c>
      <c r="J183" s="1435"/>
      <c r="K183" s="1428">
        <f t="shared" si="37"/>
        <v>1</v>
      </c>
      <c r="L183" s="1435"/>
      <c r="M183" s="1428">
        <f t="shared" si="38"/>
        <v>1</v>
      </c>
      <c r="N183" s="1435"/>
      <c r="O183" s="1428">
        <f t="shared" si="39"/>
        <v>1</v>
      </c>
      <c r="P183" s="1435"/>
      <c r="Q183" s="1428">
        <f t="shared" si="40"/>
        <v>0</v>
      </c>
      <c r="R183" s="1488">
        <f t="shared" si="41"/>
        <v>0</v>
      </c>
      <c r="S183" s="1427">
        <f t="shared" si="32"/>
        <v>0</v>
      </c>
    </row>
    <row r="184" ht="13" spans="1:19">
      <c r="A184" s="1437"/>
      <c r="B184" s="1432"/>
      <c r="C184" s="1428">
        <f t="shared" si="33"/>
        <v>1</v>
      </c>
      <c r="D184" s="1435"/>
      <c r="E184" s="1428">
        <f t="shared" si="34"/>
        <v>1</v>
      </c>
      <c r="F184" s="1435"/>
      <c r="G184" s="1428">
        <f t="shared" si="35"/>
        <v>1</v>
      </c>
      <c r="H184" s="1435"/>
      <c r="I184" s="1428">
        <f t="shared" si="36"/>
        <v>1</v>
      </c>
      <c r="J184" s="1435"/>
      <c r="K184" s="1428">
        <f t="shared" si="37"/>
        <v>1</v>
      </c>
      <c r="L184" s="1435"/>
      <c r="M184" s="1428">
        <f t="shared" si="38"/>
        <v>1</v>
      </c>
      <c r="N184" s="1435"/>
      <c r="O184" s="1428">
        <f t="shared" si="39"/>
        <v>1</v>
      </c>
      <c r="P184" s="1435"/>
      <c r="Q184" s="1428">
        <f t="shared" si="40"/>
        <v>0</v>
      </c>
      <c r="R184" s="1488">
        <f t="shared" si="41"/>
        <v>0</v>
      </c>
      <c r="S184" s="1427">
        <f t="shared" si="32"/>
        <v>0</v>
      </c>
    </row>
    <row r="185" ht="13" spans="1:19">
      <c r="A185" s="1437"/>
      <c r="B185" s="1432"/>
      <c r="C185" s="1428">
        <f t="shared" si="33"/>
        <v>1</v>
      </c>
      <c r="D185" s="1435"/>
      <c r="E185" s="1428">
        <f t="shared" si="34"/>
        <v>1</v>
      </c>
      <c r="F185" s="1435"/>
      <c r="G185" s="1428">
        <f t="shared" si="35"/>
        <v>1</v>
      </c>
      <c r="H185" s="1435"/>
      <c r="I185" s="1428">
        <f t="shared" si="36"/>
        <v>1</v>
      </c>
      <c r="J185" s="1435"/>
      <c r="K185" s="1428">
        <f t="shared" si="37"/>
        <v>1</v>
      </c>
      <c r="L185" s="1435"/>
      <c r="M185" s="1428">
        <f t="shared" si="38"/>
        <v>1</v>
      </c>
      <c r="N185" s="1435"/>
      <c r="O185" s="1428">
        <f t="shared" si="39"/>
        <v>1</v>
      </c>
      <c r="P185" s="1435"/>
      <c r="Q185" s="1428">
        <f t="shared" si="40"/>
        <v>0</v>
      </c>
      <c r="R185" s="1488">
        <f t="shared" si="41"/>
        <v>0</v>
      </c>
      <c r="S185" s="1427">
        <f t="shared" si="32"/>
        <v>0</v>
      </c>
    </row>
    <row r="186" ht="13" spans="1:19">
      <c r="A186" s="1437"/>
      <c r="B186" s="1432"/>
      <c r="C186" s="1428">
        <f t="shared" si="33"/>
        <v>1</v>
      </c>
      <c r="D186" s="1435"/>
      <c r="E186" s="1428">
        <f t="shared" si="34"/>
        <v>1</v>
      </c>
      <c r="F186" s="1435"/>
      <c r="G186" s="1428">
        <f t="shared" si="35"/>
        <v>1</v>
      </c>
      <c r="H186" s="1435"/>
      <c r="I186" s="1428">
        <f t="shared" si="36"/>
        <v>1</v>
      </c>
      <c r="J186" s="1435"/>
      <c r="K186" s="1428">
        <f t="shared" si="37"/>
        <v>1</v>
      </c>
      <c r="L186" s="1435"/>
      <c r="M186" s="1428">
        <f t="shared" si="38"/>
        <v>1</v>
      </c>
      <c r="N186" s="1435"/>
      <c r="O186" s="1428">
        <f t="shared" si="39"/>
        <v>1</v>
      </c>
      <c r="P186" s="1435"/>
      <c r="Q186" s="1428">
        <f t="shared" si="40"/>
        <v>0</v>
      </c>
      <c r="R186" s="1488">
        <f t="shared" si="41"/>
        <v>0</v>
      </c>
      <c r="S186" s="1427">
        <f t="shared" si="32"/>
        <v>0</v>
      </c>
    </row>
    <row r="187" ht="13" spans="1:19">
      <c r="A187" s="1437"/>
      <c r="B187" s="1432"/>
      <c r="C187" s="1428">
        <f t="shared" si="33"/>
        <v>1</v>
      </c>
      <c r="D187" s="1435"/>
      <c r="E187" s="1428">
        <f t="shared" si="34"/>
        <v>1</v>
      </c>
      <c r="F187" s="1435"/>
      <c r="G187" s="1428">
        <f t="shared" si="35"/>
        <v>1</v>
      </c>
      <c r="H187" s="1435"/>
      <c r="I187" s="1428">
        <f t="shared" si="36"/>
        <v>1</v>
      </c>
      <c r="J187" s="1435"/>
      <c r="K187" s="1428">
        <f t="shared" si="37"/>
        <v>1</v>
      </c>
      <c r="L187" s="1435"/>
      <c r="M187" s="1428">
        <f t="shared" si="38"/>
        <v>1</v>
      </c>
      <c r="N187" s="1435"/>
      <c r="O187" s="1428">
        <f t="shared" si="39"/>
        <v>1</v>
      </c>
      <c r="P187" s="1435"/>
      <c r="Q187" s="1428">
        <f t="shared" si="40"/>
        <v>0</v>
      </c>
      <c r="R187" s="1488">
        <f t="shared" si="41"/>
        <v>0</v>
      </c>
      <c r="S187" s="1427">
        <f t="shared" ref="S187:S222" si="42">ROUND(R187*B187/10000,0)</f>
        <v>0</v>
      </c>
    </row>
    <row r="188" ht="13" spans="1:19">
      <c r="A188" s="1437"/>
      <c r="B188" s="1432"/>
      <c r="C188" s="1428">
        <f t="shared" si="33"/>
        <v>1</v>
      </c>
      <c r="D188" s="1435"/>
      <c r="E188" s="1428">
        <f t="shared" si="34"/>
        <v>1</v>
      </c>
      <c r="F188" s="1435"/>
      <c r="G188" s="1428">
        <f t="shared" si="35"/>
        <v>1</v>
      </c>
      <c r="H188" s="1435"/>
      <c r="I188" s="1428">
        <f t="shared" si="36"/>
        <v>1</v>
      </c>
      <c r="J188" s="1435"/>
      <c r="K188" s="1428">
        <f t="shared" si="37"/>
        <v>1</v>
      </c>
      <c r="L188" s="1435"/>
      <c r="M188" s="1428">
        <f t="shared" si="38"/>
        <v>1</v>
      </c>
      <c r="N188" s="1435"/>
      <c r="O188" s="1428">
        <f t="shared" si="39"/>
        <v>1</v>
      </c>
      <c r="P188" s="1435"/>
      <c r="Q188" s="1428">
        <f t="shared" si="40"/>
        <v>0</v>
      </c>
      <c r="R188" s="1488">
        <f t="shared" si="41"/>
        <v>0</v>
      </c>
      <c r="S188" s="1427">
        <f t="shared" si="42"/>
        <v>0</v>
      </c>
    </row>
    <row r="189" ht="13" spans="1:19">
      <c r="A189" s="1437"/>
      <c r="B189" s="1432"/>
      <c r="C189" s="1428">
        <f t="shared" si="33"/>
        <v>1</v>
      </c>
      <c r="D189" s="1435"/>
      <c r="E189" s="1428">
        <f t="shared" si="34"/>
        <v>1</v>
      </c>
      <c r="F189" s="1435"/>
      <c r="G189" s="1428">
        <f t="shared" si="35"/>
        <v>1</v>
      </c>
      <c r="H189" s="1435"/>
      <c r="I189" s="1428">
        <f t="shared" si="36"/>
        <v>1</v>
      </c>
      <c r="J189" s="1435"/>
      <c r="K189" s="1428">
        <f t="shared" si="37"/>
        <v>1</v>
      </c>
      <c r="L189" s="1435"/>
      <c r="M189" s="1428">
        <f t="shared" si="38"/>
        <v>1</v>
      </c>
      <c r="N189" s="1435"/>
      <c r="O189" s="1428">
        <f t="shared" si="39"/>
        <v>1</v>
      </c>
      <c r="P189" s="1435"/>
      <c r="Q189" s="1428">
        <f t="shared" si="40"/>
        <v>0</v>
      </c>
      <c r="R189" s="1488">
        <f t="shared" si="41"/>
        <v>0</v>
      </c>
      <c r="S189" s="1427">
        <f t="shared" si="42"/>
        <v>0</v>
      </c>
    </row>
    <row r="190" ht="13" spans="1:19">
      <c r="A190" s="1437"/>
      <c r="B190" s="1432"/>
      <c r="C190" s="1428">
        <f t="shared" si="33"/>
        <v>1</v>
      </c>
      <c r="D190" s="1435"/>
      <c r="E190" s="1428">
        <f t="shared" si="34"/>
        <v>1</v>
      </c>
      <c r="F190" s="1435"/>
      <c r="G190" s="1428">
        <f t="shared" si="35"/>
        <v>1</v>
      </c>
      <c r="H190" s="1435"/>
      <c r="I190" s="1428">
        <f t="shared" si="36"/>
        <v>1</v>
      </c>
      <c r="J190" s="1435"/>
      <c r="K190" s="1428">
        <f t="shared" si="37"/>
        <v>1</v>
      </c>
      <c r="L190" s="1435"/>
      <c r="M190" s="1428">
        <f t="shared" si="38"/>
        <v>1</v>
      </c>
      <c r="N190" s="1435"/>
      <c r="O190" s="1428">
        <f t="shared" si="39"/>
        <v>1</v>
      </c>
      <c r="P190" s="1435"/>
      <c r="Q190" s="1428">
        <f t="shared" si="40"/>
        <v>0</v>
      </c>
      <c r="R190" s="1488">
        <f t="shared" si="41"/>
        <v>0</v>
      </c>
      <c r="S190" s="1427">
        <f t="shared" si="42"/>
        <v>0</v>
      </c>
    </row>
    <row r="191" ht="13" spans="1:19">
      <c r="A191" s="1437"/>
      <c r="B191" s="1432"/>
      <c r="C191" s="1428">
        <f t="shared" si="33"/>
        <v>1</v>
      </c>
      <c r="D191" s="1435"/>
      <c r="E191" s="1428">
        <f t="shared" si="34"/>
        <v>1</v>
      </c>
      <c r="F191" s="1435"/>
      <c r="G191" s="1428">
        <f t="shared" si="35"/>
        <v>1</v>
      </c>
      <c r="H191" s="1435"/>
      <c r="I191" s="1428">
        <f t="shared" si="36"/>
        <v>1</v>
      </c>
      <c r="J191" s="1435"/>
      <c r="K191" s="1428">
        <f t="shared" si="37"/>
        <v>1</v>
      </c>
      <c r="L191" s="1435"/>
      <c r="M191" s="1428">
        <f t="shared" si="38"/>
        <v>1</v>
      </c>
      <c r="N191" s="1435"/>
      <c r="O191" s="1428">
        <f t="shared" si="39"/>
        <v>1</v>
      </c>
      <c r="P191" s="1435"/>
      <c r="Q191" s="1428">
        <f t="shared" si="40"/>
        <v>0</v>
      </c>
      <c r="R191" s="1488">
        <f t="shared" si="41"/>
        <v>0</v>
      </c>
      <c r="S191" s="1427">
        <f t="shared" si="42"/>
        <v>0</v>
      </c>
    </row>
    <row r="192" ht="13" spans="1:19">
      <c r="A192" s="1437"/>
      <c r="B192" s="1432"/>
      <c r="C192" s="1428">
        <f t="shared" si="33"/>
        <v>1</v>
      </c>
      <c r="D192" s="1435"/>
      <c r="E192" s="1428">
        <f t="shared" si="34"/>
        <v>1</v>
      </c>
      <c r="F192" s="1435"/>
      <c r="G192" s="1428">
        <f t="shared" si="35"/>
        <v>1</v>
      </c>
      <c r="H192" s="1435"/>
      <c r="I192" s="1428">
        <f t="shared" si="36"/>
        <v>1</v>
      </c>
      <c r="J192" s="1435"/>
      <c r="K192" s="1428">
        <f t="shared" si="37"/>
        <v>1</v>
      </c>
      <c r="L192" s="1435"/>
      <c r="M192" s="1428">
        <f t="shared" si="38"/>
        <v>1</v>
      </c>
      <c r="N192" s="1435"/>
      <c r="O192" s="1428">
        <f t="shared" si="39"/>
        <v>1</v>
      </c>
      <c r="P192" s="1435"/>
      <c r="Q192" s="1428">
        <f t="shared" si="40"/>
        <v>0</v>
      </c>
      <c r="R192" s="1488">
        <f t="shared" si="41"/>
        <v>0</v>
      </c>
      <c r="S192" s="1427">
        <f t="shared" si="42"/>
        <v>0</v>
      </c>
    </row>
    <row r="193" ht="13" spans="1:19">
      <c r="A193" s="1437"/>
      <c r="B193" s="1432"/>
      <c r="C193" s="1428">
        <f t="shared" si="33"/>
        <v>1</v>
      </c>
      <c r="D193" s="1435"/>
      <c r="E193" s="1428">
        <f t="shared" si="34"/>
        <v>1</v>
      </c>
      <c r="F193" s="1435"/>
      <c r="G193" s="1428">
        <f t="shared" si="35"/>
        <v>1</v>
      </c>
      <c r="H193" s="1435"/>
      <c r="I193" s="1428">
        <f t="shared" si="36"/>
        <v>1</v>
      </c>
      <c r="J193" s="1435"/>
      <c r="K193" s="1428">
        <f t="shared" si="37"/>
        <v>1</v>
      </c>
      <c r="L193" s="1435"/>
      <c r="M193" s="1428">
        <f t="shared" si="38"/>
        <v>1</v>
      </c>
      <c r="N193" s="1435"/>
      <c r="O193" s="1428">
        <f t="shared" si="39"/>
        <v>1</v>
      </c>
      <c r="P193" s="1435"/>
      <c r="Q193" s="1428">
        <f t="shared" si="40"/>
        <v>0</v>
      </c>
      <c r="R193" s="1488">
        <f t="shared" si="41"/>
        <v>0</v>
      </c>
      <c r="S193" s="1427">
        <f t="shared" si="42"/>
        <v>0</v>
      </c>
    </row>
    <row r="194" ht="13" spans="1:19">
      <c r="A194" s="1437"/>
      <c r="B194" s="1432"/>
      <c r="C194" s="1428">
        <f t="shared" si="33"/>
        <v>1</v>
      </c>
      <c r="D194" s="1435"/>
      <c r="E194" s="1428">
        <f t="shared" si="34"/>
        <v>1</v>
      </c>
      <c r="F194" s="1435"/>
      <c r="G194" s="1428">
        <f t="shared" si="35"/>
        <v>1</v>
      </c>
      <c r="H194" s="1435"/>
      <c r="I194" s="1428">
        <f t="shared" si="36"/>
        <v>1</v>
      </c>
      <c r="J194" s="1435"/>
      <c r="K194" s="1428">
        <f t="shared" si="37"/>
        <v>1</v>
      </c>
      <c r="L194" s="1435"/>
      <c r="M194" s="1428">
        <f t="shared" si="38"/>
        <v>1</v>
      </c>
      <c r="N194" s="1435"/>
      <c r="O194" s="1428">
        <f t="shared" si="39"/>
        <v>1</v>
      </c>
      <c r="P194" s="1435"/>
      <c r="Q194" s="1428">
        <f t="shared" si="40"/>
        <v>0</v>
      </c>
      <c r="R194" s="1488">
        <f t="shared" si="41"/>
        <v>0</v>
      </c>
      <c r="S194" s="1427">
        <f t="shared" si="42"/>
        <v>0</v>
      </c>
    </row>
    <row r="195" ht="13" spans="1:19">
      <c r="A195" s="1437"/>
      <c r="B195" s="1432"/>
      <c r="C195" s="1428">
        <f t="shared" si="33"/>
        <v>1</v>
      </c>
      <c r="D195" s="1435"/>
      <c r="E195" s="1428">
        <f t="shared" si="34"/>
        <v>1</v>
      </c>
      <c r="F195" s="1435"/>
      <c r="G195" s="1428">
        <f t="shared" si="35"/>
        <v>1</v>
      </c>
      <c r="H195" s="1435"/>
      <c r="I195" s="1428">
        <f t="shared" si="36"/>
        <v>1</v>
      </c>
      <c r="J195" s="1435"/>
      <c r="K195" s="1428">
        <f t="shared" si="37"/>
        <v>1</v>
      </c>
      <c r="L195" s="1435"/>
      <c r="M195" s="1428">
        <f t="shared" si="38"/>
        <v>1</v>
      </c>
      <c r="N195" s="1435"/>
      <c r="O195" s="1428">
        <f t="shared" si="39"/>
        <v>1</v>
      </c>
      <c r="P195" s="1435"/>
      <c r="Q195" s="1428">
        <f t="shared" si="40"/>
        <v>0</v>
      </c>
      <c r="R195" s="1488">
        <f t="shared" si="41"/>
        <v>0</v>
      </c>
      <c r="S195" s="1427">
        <f t="shared" si="42"/>
        <v>0</v>
      </c>
    </row>
    <row r="196" ht="13" spans="1:19">
      <c r="A196" s="1437"/>
      <c r="B196" s="1432"/>
      <c r="C196" s="1428">
        <f t="shared" si="33"/>
        <v>1</v>
      </c>
      <c r="D196" s="1435"/>
      <c r="E196" s="1428">
        <f t="shared" si="34"/>
        <v>1</v>
      </c>
      <c r="F196" s="1435"/>
      <c r="G196" s="1428">
        <f t="shared" si="35"/>
        <v>1</v>
      </c>
      <c r="H196" s="1435"/>
      <c r="I196" s="1428">
        <f t="shared" si="36"/>
        <v>1</v>
      </c>
      <c r="J196" s="1435"/>
      <c r="K196" s="1428">
        <f t="shared" si="37"/>
        <v>1</v>
      </c>
      <c r="L196" s="1435"/>
      <c r="M196" s="1428">
        <f t="shared" si="38"/>
        <v>1</v>
      </c>
      <c r="N196" s="1435"/>
      <c r="O196" s="1428">
        <f t="shared" si="39"/>
        <v>1</v>
      </c>
      <c r="P196" s="1435"/>
      <c r="Q196" s="1428">
        <f t="shared" si="40"/>
        <v>0</v>
      </c>
      <c r="R196" s="1488">
        <f t="shared" si="41"/>
        <v>0</v>
      </c>
      <c r="S196" s="1427">
        <f t="shared" si="42"/>
        <v>0</v>
      </c>
    </row>
    <row r="197" ht="13" spans="1:19">
      <c r="A197" s="1437"/>
      <c r="B197" s="1432"/>
      <c r="C197" s="1428">
        <f t="shared" si="33"/>
        <v>1</v>
      </c>
      <c r="D197" s="1435"/>
      <c r="E197" s="1428">
        <f t="shared" si="34"/>
        <v>1</v>
      </c>
      <c r="F197" s="1435"/>
      <c r="G197" s="1428">
        <f t="shared" si="35"/>
        <v>1</v>
      </c>
      <c r="H197" s="1435"/>
      <c r="I197" s="1428">
        <f t="shared" si="36"/>
        <v>1</v>
      </c>
      <c r="J197" s="1435"/>
      <c r="K197" s="1428">
        <f t="shared" si="37"/>
        <v>1</v>
      </c>
      <c r="L197" s="1435"/>
      <c r="M197" s="1428">
        <f t="shared" si="38"/>
        <v>1</v>
      </c>
      <c r="N197" s="1435"/>
      <c r="O197" s="1428">
        <f t="shared" si="39"/>
        <v>1</v>
      </c>
      <c r="P197" s="1435"/>
      <c r="Q197" s="1428">
        <f t="shared" si="40"/>
        <v>0</v>
      </c>
      <c r="R197" s="1488">
        <f t="shared" si="41"/>
        <v>0</v>
      </c>
      <c r="S197" s="1427">
        <f t="shared" si="42"/>
        <v>0</v>
      </c>
    </row>
    <row r="198" ht="13" spans="1:19">
      <c r="A198" s="1437"/>
      <c r="B198" s="1432"/>
      <c r="C198" s="1428">
        <f t="shared" si="33"/>
        <v>1</v>
      </c>
      <c r="D198" s="1435"/>
      <c r="E198" s="1428">
        <f t="shared" si="34"/>
        <v>1</v>
      </c>
      <c r="F198" s="1435"/>
      <c r="G198" s="1428">
        <f t="shared" si="35"/>
        <v>1</v>
      </c>
      <c r="H198" s="1435"/>
      <c r="I198" s="1428">
        <f t="shared" si="36"/>
        <v>1</v>
      </c>
      <c r="J198" s="1435"/>
      <c r="K198" s="1428">
        <f t="shared" si="37"/>
        <v>1</v>
      </c>
      <c r="L198" s="1435"/>
      <c r="M198" s="1428">
        <f t="shared" si="38"/>
        <v>1</v>
      </c>
      <c r="N198" s="1435"/>
      <c r="O198" s="1428">
        <f t="shared" si="39"/>
        <v>1</v>
      </c>
      <c r="P198" s="1435"/>
      <c r="Q198" s="1428">
        <f t="shared" si="40"/>
        <v>0</v>
      </c>
      <c r="R198" s="1488">
        <f t="shared" si="41"/>
        <v>0</v>
      </c>
      <c r="S198" s="1427">
        <f t="shared" si="42"/>
        <v>0</v>
      </c>
    </row>
    <row r="199" ht="13" spans="1:19">
      <c r="A199" s="1437"/>
      <c r="B199" s="1432"/>
      <c r="C199" s="1428">
        <f t="shared" si="33"/>
        <v>1</v>
      </c>
      <c r="D199" s="1435"/>
      <c r="E199" s="1428">
        <f t="shared" si="34"/>
        <v>1</v>
      </c>
      <c r="F199" s="1435"/>
      <c r="G199" s="1428">
        <f t="shared" si="35"/>
        <v>1</v>
      </c>
      <c r="H199" s="1435"/>
      <c r="I199" s="1428">
        <f t="shared" si="36"/>
        <v>1</v>
      </c>
      <c r="J199" s="1435"/>
      <c r="K199" s="1428">
        <f t="shared" si="37"/>
        <v>1</v>
      </c>
      <c r="L199" s="1435"/>
      <c r="M199" s="1428">
        <f t="shared" si="38"/>
        <v>1</v>
      </c>
      <c r="N199" s="1435"/>
      <c r="O199" s="1428">
        <f t="shared" si="39"/>
        <v>1</v>
      </c>
      <c r="P199" s="1435"/>
      <c r="Q199" s="1428">
        <f t="shared" si="40"/>
        <v>0</v>
      </c>
      <c r="R199" s="1488">
        <f t="shared" si="41"/>
        <v>0</v>
      </c>
      <c r="S199" s="1427">
        <f t="shared" si="42"/>
        <v>0</v>
      </c>
    </row>
    <row r="200" ht="13" spans="1:19">
      <c r="A200" s="1437"/>
      <c r="B200" s="1432"/>
      <c r="C200" s="1428">
        <f t="shared" si="33"/>
        <v>1</v>
      </c>
      <c r="D200" s="1435"/>
      <c r="E200" s="1428">
        <f t="shared" si="34"/>
        <v>1</v>
      </c>
      <c r="F200" s="1435"/>
      <c r="G200" s="1428">
        <f t="shared" si="35"/>
        <v>1</v>
      </c>
      <c r="H200" s="1435"/>
      <c r="I200" s="1428">
        <f t="shared" si="36"/>
        <v>1</v>
      </c>
      <c r="J200" s="1435"/>
      <c r="K200" s="1428">
        <f t="shared" si="37"/>
        <v>1</v>
      </c>
      <c r="L200" s="1435"/>
      <c r="M200" s="1428">
        <f t="shared" si="38"/>
        <v>1</v>
      </c>
      <c r="N200" s="1435"/>
      <c r="O200" s="1428">
        <f t="shared" si="39"/>
        <v>1</v>
      </c>
      <c r="P200" s="1435"/>
      <c r="Q200" s="1428">
        <f t="shared" si="40"/>
        <v>0</v>
      </c>
      <c r="R200" s="1488">
        <f t="shared" si="41"/>
        <v>0</v>
      </c>
      <c r="S200" s="1427">
        <f t="shared" si="42"/>
        <v>0</v>
      </c>
    </row>
    <row r="201" ht="13" spans="1:19">
      <c r="A201" s="1437"/>
      <c r="B201" s="1432"/>
      <c r="C201" s="1428">
        <f t="shared" si="33"/>
        <v>1</v>
      </c>
      <c r="D201" s="1435"/>
      <c r="E201" s="1428">
        <f t="shared" si="34"/>
        <v>1</v>
      </c>
      <c r="F201" s="1435"/>
      <c r="G201" s="1428">
        <f t="shared" si="35"/>
        <v>1</v>
      </c>
      <c r="H201" s="1435"/>
      <c r="I201" s="1428">
        <f t="shared" si="36"/>
        <v>1</v>
      </c>
      <c r="J201" s="1435"/>
      <c r="K201" s="1428">
        <f t="shared" si="37"/>
        <v>1</v>
      </c>
      <c r="L201" s="1435"/>
      <c r="M201" s="1428">
        <f t="shared" si="38"/>
        <v>1</v>
      </c>
      <c r="N201" s="1435"/>
      <c r="O201" s="1428">
        <f t="shared" si="39"/>
        <v>1</v>
      </c>
      <c r="P201" s="1435"/>
      <c r="Q201" s="1428">
        <f t="shared" si="40"/>
        <v>0</v>
      </c>
      <c r="R201" s="1488">
        <f t="shared" si="41"/>
        <v>0</v>
      </c>
      <c r="S201" s="1427">
        <f t="shared" si="42"/>
        <v>0</v>
      </c>
    </row>
    <row r="202" ht="13" spans="1:19">
      <c r="A202" s="1437"/>
      <c r="B202" s="1432"/>
      <c r="C202" s="1428">
        <f t="shared" si="33"/>
        <v>1</v>
      </c>
      <c r="D202" s="1435"/>
      <c r="E202" s="1428">
        <f t="shared" si="34"/>
        <v>1</v>
      </c>
      <c r="F202" s="1435"/>
      <c r="G202" s="1428">
        <f t="shared" si="35"/>
        <v>1</v>
      </c>
      <c r="H202" s="1435"/>
      <c r="I202" s="1428">
        <f t="shared" si="36"/>
        <v>1</v>
      </c>
      <c r="J202" s="1435"/>
      <c r="K202" s="1428">
        <f t="shared" si="37"/>
        <v>1</v>
      </c>
      <c r="L202" s="1435"/>
      <c r="M202" s="1428">
        <f t="shared" si="38"/>
        <v>1</v>
      </c>
      <c r="N202" s="1435"/>
      <c r="O202" s="1428">
        <f t="shared" si="39"/>
        <v>1</v>
      </c>
      <c r="P202" s="1435"/>
      <c r="Q202" s="1428">
        <f t="shared" si="40"/>
        <v>0</v>
      </c>
      <c r="R202" s="1488">
        <f t="shared" si="41"/>
        <v>0</v>
      </c>
      <c r="S202" s="1427">
        <f t="shared" si="42"/>
        <v>0</v>
      </c>
    </row>
    <row r="203" ht="13" spans="1:19">
      <c r="A203" s="1437"/>
      <c r="B203" s="1432"/>
      <c r="C203" s="1428">
        <f t="shared" si="33"/>
        <v>1</v>
      </c>
      <c r="D203" s="1435"/>
      <c r="E203" s="1428">
        <f t="shared" si="34"/>
        <v>1</v>
      </c>
      <c r="F203" s="1435"/>
      <c r="G203" s="1428">
        <f t="shared" si="35"/>
        <v>1</v>
      </c>
      <c r="H203" s="1435"/>
      <c r="I203" s="1428">
        <f t="shared" si="36"/>
        <v>1</v>
      </c>
      <c r="J203" s="1435"/>
      <c r="K203" s="1428">
        <f t="shared" si="37"/>
        <v>1</v>
      </c>
      <c r="L203" s="1435"/>
      <c r="M203" s="1428">
        <f t="shared" si="38"/>
        <v>1</v>
      </c>
      <c r="N203" s="1435"/>
      <c r="O203" s="1428">
        <f t="shared" si="39"/>
        <v>1</v>
      </c>
      <c r="P203" s="1435"/>
      <c r="Q203" s="1428">
        <f t="shared" si="40"/>
        <v>0</v>
      </c>
      <c r="R203" s="1488">
        <f t="shared" si="41"/>
        <v>0</v>
      </c>
      <c r="S203" s="1427">
        <f t="shared" si="42"/>
        <v>0</v>
      </c>
    </row>
    <row r="204" ht="13" spans="1:19">
      <c r="A204" s="1437"/>
      <c r="B204" s="1432"/>
      <c r="C204" s="1428">
        <f t="shared" si="33"/>
        <v>1</v>
      </c>
      <c r="D204" s="1435"/>
      <c r="E204" s="1428">
        <f t="shared" si="34"/>
        <v>1</v>
      </c>
      <c r="F204" s="1435"/>
      <c r="G204" s="1428">
        <f t="shared" si="35"/>
        <v>1</v>
      </c>
      <c r="H204" s="1435"/>
      <c r="I204" s="1428">
        <f t="shared" si="36"/>
        <v>1</v>
      </c>
      <c r="J204" s="1435"/>
      <c r="K204" s="1428">
        <f t="shared" si="37"/>
        <v>1</v>
      </c>
      <c r="L204" s="1435"/>
      <c r="M204" s="1428">
        <f t="shared" si="38"/>
        <v>1</v>
      </c>
      <c r="N204" s="1435"/>
      <c r="O204" s="1428">
        <f t="shared" si="39"/>
        <v>1</v>
      </c>
      <c r="P204" s="1435"/>
      <c r="Q204" s="1428">
        <f t="shared" si="40"/>
        <v>0</v>
      </c>
      <c r="R204" s="1488">
        <f t="shared" si="41"/>
        <v>0</v>
      </c>
      <c r="S204" s="1427">
        <f t="shared" si="42"/>
        <v>0</v>
      </c>
    </row>
    <row r="205" ht="13" spans="1:19">
      <c r="A205" s="1437"/>
      <c r="B205" s="1432"/>
      <c r="C205" s="1428">
        <f t="shared" si="33"/>
        <v>1</v>
      </c>
      <c r="D205" s="1435"/>
      <c r="E205" s="1428">
        <f t="shared" si="34"/>
        <v>1</v>
      </c>
      <c r="F205" s="1435"/>
      <c r="G205" s="1428">
        <f t="shared" si="35"/>
        <v>1</v>
      </c>
      <c r="H205" s="1435"/>
      <c r="I205" s="1428">
        <f t="shared" si="36"/>
        <v>1</v>
      </c>
      <c r="J205" s="1435"/>
      <c r="K205" s="1428">
        <f t="shared" si="37"/>
        <v>1</v>
      </c>
      <c r="L205" s="1435"/>
      <c r="M205" s="1428">
        <f t="shared" si="38"/>
        <v>1</v>
      </c>
      <c r="N205" s="1435"/>
      <c r="O205" s="1428">
        <f t="shared" si="39"/>
        <v>1</v>
      </c>
      <c r="P205" s="1435"/>
      <c r="Q205" s="1428">
        <f t="shared" si="40"/>
        <v>0</v>
      </c>
      <c r="R205" s="1488">
        <f t="shared" si="41"/>
        <v>0</v>
      </c>
      <c r="S205" s="1427">
        <f t="shared" si="42"/>
        <v>0</v>
      </c>
    </row>
    <row r="206" ht="13" spans="1:19">
      <c r="A206" s="1437"/>
      <c r="B206" s="1432"/>
      <c r="C206" s="1428">
        <f t="shared" si="33"/>
        <v>1</v>
      </c>
      <c r="D206" s="1435"/>
      <c r="E206" s="1428">
        <f t="shared" si="34"/>
        <v>1</v>
      </c>
      <c r="F206" s="1435"/>
      <c r="G206" s="1428">
        <f t="shared" si="35"/>
        <v>1</v>
      </c>
      <c r="H206" s="1435"/>
      <c r="I206" s="1428">
        <f t="shared" si="36"/>
        <v>1</v>
      </c>
      <c r="J206" s="1435"/>
      <c r="K206" s="1428">
        <f t="shared" si="37"/>
        <v>1</v>
      </c>
      <c r="L206" s="1435"/>
      <c r="M206" s="1428">
        <f t="shared" si="38"/>
        <v>1</v>
      </c>
      <c r="N206" s="1435"/>
      <c r="O206" s="1428">
        <f t="shared" si="39"/>
        <v>1</v>
      </c>
      <c r="P206" s="1435"/>
      <c r="Q206" s="1428">
        <f t="shared" si="40"/>
        <v>0</v>
      </c>
      <c r="R206" s="1488">
        <f t="shared" si="41"/>
        <v>0</v>
      </c>
      <c r="S206" s="1427">
        <f t="shared" si="42"/>
        <v>0</v>
      </c>
    </row>
    <row r="207" ht="13" spans="1:19">
      <c r="A207" s="1437"/>
      <c r="B207" s="1432"/>
      <c r="C207" s="1428">
        <f t="shared" si="33"/>
        <v>1</v>
      </c>
      <c r="D207" s="1435"/>
      <c r="E207" s="1428">
        <f t="shared" si="34"/>
        <v>1</v>
      </c>
      <c r="F207" s="1435"/>
      <c r="G207" s="1428">
        <f t="shared" si="35"/>
        <v>1</v>
      </c>
      <c r="H207" s="1435"/>
      <c r="I207" s="1428">
        <f t="shared" si="36"/>
        <v>1</v>
      </c>
      <c r="J207" s="1435"/>
      <c r="K207" s="1428">
        <f t="shared" si="37"/>
        <v>1</v>
      </c>
      <c r="L207" s="1435"/>
      <c r="M207" s="1428">
        <f t="shared" si="38"/>
        <v>1</v>
      </c>
      <c r="N207" s="1435"/>
      <c r="O207" s="1428">
        <f t="shared" si="39"/>
        <v>1</v>
      </c>
      <c r="P207" s="1435"/>
      <c r="Q207" s="1428">
        <f t="shared" si="40"/>
        <v>0</v>
      </c>
      <c r="R207" s="1488">
        <f t="shared" si="41"/>
        <v>0</v>
      </c>
      <c r="S207" s="1427">
        <f t="shared" si="42"/>
        <v>0</v>
      </c>
    </row>
    <row r="208" ht="13" spans="1:19">
      <c r="A208" s="1437"/>
      <c r="B208" s="1432"/>
      <c r="C208" s="1428">
        <f t="shared" si="33"/>
        <v>1</v>
      </c>
      <c r="D208" s="1435"/>
      <c r="E208" s="1428">
        <f t="shared" si="34"/>
        <v>1</v>
      </c>
      <c r="F208" s="1435"/>
      <c r="G208" s="1428">
        <f t="shared" si="35"/>
        <v>1</v>
      </c>
      <c r="H208" s="1435"/>
      <c r="I208" s="1428">
        <f t="shared" si="36"/>
        <v>1</v>
      </c>
      <c r="J208" s="1435"/>
      <c r="K208" s="1428">
        <f t="shared" si="37"/>
        <v>1</v>
      </c>
      <c r="L208" s="1435"/>
      <c r="M208" s="1428">
        <f t="shared" si="38"/>
        <v>1</v>
      </c>
      <c r="N208" s="1435"/>
      <c r="O208" s="1428">
        <f t="shared" si="39"/>
        <v>1</v>
      </c>
      <c r="P208" s="1435"/>
      <c r="Q208" s="1428">
        <f t="shared" si="40"/>
        <v>0</v>
      </c>
      <c r="R208" s="1488">
        <f t="shared" si="41"/>
        <v>0</v>
      </c>
      <c r="S208" s="1427">
        <f t="shared" si="42"/>
        <v>0</v>
      </c>
    </row>
    <row r="209" ht="13" spans="1:19">
      <c r="A209" s="1437"/>
      <c r="B209" s="1432"/>
      <c r="C209" s="1428">
        <f t="shared" si="33"/>
        <v>1</v>
      </c>
      <c r="D209" s="1435"/>
      <c r="E209" s="1428">
        <f t="shared" si="34"/>
        <v>1</v>
      </c>
      <c r="F209" s="1435"/>
      <c r="G209" s="1428">
        <f t="shared" si="35"/>
        <v>1</v>
      </c>
      <c r="H209" s="1435"/>
      <c r="I209" s="1428">
        <f t="shared" si="36"/>
        <v>1</v>
      </c>
      <c r="J209" s="1435"/>
      <c r="K209" s="1428">
        <f t="shared" si="37"/>
        <v>1</v>
      </c>
      <c r="L209" s="1435"/>
      <c r="M209" s="1428">
        <f t="shared" si="38"/>
        <v>1</v>
      </c>
      <c r="N209" s="1435"/>
      <c r="O209" s="1428">
        <f t="shared" si="39"/>
        <v>1</v>
      </c>
      <c r="P209" s="1435"/>
      <c r="Q209" s="1428">
        <f t="shared" si="40"/>
        <v>0</v>
      </c>
      <c r="R209" s="1488">
        <f t="shared" si="41"/>
        <v>0</v>
      </c>
      <c r="S209" s="1427">
        <f t="shared" si="42"/>
        <v>0</v>
      </c>
    </row>
    <row r="210" ht="13" spans="1:19">
      <c r="A210" s="1437"/>
      <c r="B210" s="1432"/>
      <c r="C210" s="1428">
        <f t="shared" si="33"/>
        <v>1</v>
      </c>
      <c r="D210" s="1435"/>
      <c r="E210" s="1428">
        <f t="shared" si="34"/>
        <v>1</v>
      </c>
      <c r="F210" s="1435"/>
      <c r="G210" s="1428">
        <f t="shared" si="35"/>
        <v>1</v>
      </c>
      <c r="H210" s="1435"/>
      <c r="I210" s="1428">
        <f t="shared" si="36"/>
        <v>1</v>
      </c>
      <c r="J210" s="1435"/>
      <c r="K210" s="1428">
        <f t="shared" si="37"/>
        <v>1</v>
      </c>
      <c r="L210" s="1435"/>
      <c r="M210" s="1428">
        <f t="shared" si="38"/>
        <v>1</v>
      </c>
      <c r="N210" s="1435"/>
      <c r="O210" s="1428">
        <f t="shared" si="39"/>
        <v>1</v>
      </c>
      <c r="P210" s="1435"/>
      <c r="Q210" s="1428">
        <f t="shared" si="40"/>
        <v>0</v>
      </c>
      <c r="R210" s="1488">
        <f t="shared" si="41"/>
        <v>0</v>
      </c>
      <c r="S210" s="1427">
        <f t="shared" si="42"/>
        <v>0</v>
      </c>
    </row>
    <row r="211" ht="13" spans="1:19">
      <c r="A211" s="1437"/>
      <c r="B211" s="1432"/>
      <c r="C211" s="1428">
        <f t="shared" si="33"/>
        <v>1</v>
      </c>
      <c r="D211" s="1435"/>
      <c r="E211" s="1428">
        <f t="shared" si="34"/>
        <v>1</v>
      </c>
      <c r="F211" s="1435"/>
      <c r="G211" s="1428">
        <f t="shared" si="35"/>
        <v>1</v>
      </c>
      <c r="H211" s="1435"/>
      <c r="I211" s="1428">
        <f t="shared" si="36"/>
        <v>1</v>
      </c>
      <c r="J211" s="1435"/>
      <c r="K211" s="1428">
        <f t="shared" si="37"/>
        <v>1</v>
      </c>
      <c r="L211" s="1435"/>
      <c r="M211" s="1428">
        <f t="shared" si="38"/>
        <v>1</v>
      </c>
      <c r="N211" s="1435"/>
      <c r="O211" s="1428">
        <f t="shared" si="39"/>
        <v>1</v>
      </c>
      <c r="P211" s="1435"/>
      <c r="Q211" s="1428">
        <f t="shared" si="40"/>
        <v>0</v>
      </c>
      <c r="R211" s="1488">
        <f t="shared" si="41"/>
        <v>0</v>
      </c>
      <c r="S211" s="1427">
        <f t="shared" si="42"/>
        <v>0</v>
      </c>
    </row>
    <row r="212" ht="13" spans="1:19">
      <c r="A212" s="1437"/>
      <c r="B212" s="1432"/>
      <c r="C212" s="1428">
        <f t="shared" si="33"/>
        <v>1</v>
      </c>
      <c r="D212" s="1435"/>
      <c r="E212" s="1428">
        <f t="shared" si="34"/>
        <v>1</v>
      </c>
      <c r="F212" s="1435"/>
      <c r="G212" s="1428">
        <f t="shared" si="35"/>
        <v>1</v>
      </c>
      <c r="H212" s="1435"/>
      <c r="I212" s="1428">
        <f t="shared" si="36"/>
        <v>1</v>
      </c>
      <c r="J212" s="1435"/>
      <c r="K212" s="1428">
        <f t="shared" si="37"/>
        <v>1</v>
      </c>
      <c r="L212" s="1435"/>
      <c r="M212" s="1428">
        <f t="shared" si="38"/>
        <v>1</v>
      </c>
      <c r="N212" s="1435"/>
      <c r="O212" s="1428">
        <f t="shared" si="39"/>
        <v>1</v>
      </c>
      <c r="P212" s="1435"/>
      <c r="Q212" s="1428">
        <f t="shared" si="40"/>
        <v>0</v>
      </c>
      <c r="R212" s="1488">
        <f t="shared" si="41"/>
        <v>0</v>
      </c>
      <c r="S212" s="1427">
        <f t="shared" si="42"/>
        <v>0</v>
      </c>
    </row>
    <row r="213" ht="13" spans="1:19">
      <c r="A213" s="1437"/>
      <c r="B213" s="1432"/>
      <c r="C213" s="1428">
        <f t="shared" si="33"/>
        <v>1</v>
      </c>
      <c r="D213" s="1435"/>
      <c r="E213" s="1428">
        <f t="shared" si="34"/>
        <v>1</v>
      </c>
      <c r="F213" s="1435"/>
      <c r="G213" s="1428">
        <f t="shared" si="35"/>
        <v>1</v>
      </c>
      <c r="H213" s="1435"/>
      <c r="I213" s="1428">
        <f t="shared" si="36"/>
        <v>1</v>
      </c>
      <c r="J213" s="1435"/>
      <c r="K213" s="1428">
        <f t="shared" si="37"/>
        <v>1</v>
      </c>
      <c r="L213" s="1435"/>
      <c r="M213" s="1428">
        <f t="shared" si="38"/>
        <v>1</v>
      </c>
      <c r="N213" s="1435"/>
      <c r="O213" s="1428">
        <f t="shared" si="39"/>
        <v>1</v>
      </c>
      <c r="P213" s="1435"/>
      <c r="Q213" s="1428">
        <f t="shared" si="40"/>
        <v>0</v>
      </c>
      <c r="R213" s="1488">
        <f t="shared" si="41"/>
        <v>0</v>
      </c>
      <c r="S213" s="1427">
        <f t="shared" si="42"/>
        <v>0</v>
      </c>
    </row>
    <row r="214" ht="13" spans="1:19">
      <c r="A214" s="1437"/>
      <c r="B214" s="1432"/>
      <c r="C214" s="1428">
        <f t="shared" si="33"/>
        <v>1</v>
      </c>
      <c r="D214" s="1435"/>
      <c r="E214" s="1428">
        <f t="shared" si="34"/>
        <v>1</v>
      </c>
      <c r="F214" s="1435"/>
      <c r="G214" s="1428">
        <f t="shared" si="35"/>
        <v>1</v>
      </c>
      <c r="H214" s="1435"/>
      <c r="I214" s="1428">
        <f t="shared" si="36"/>
        <v>1</v>
      </c>
      <c r="J214" s="1435"/>
      <c r="K214" s="1428">
        <f t="shared" si="37"/>
        <v>1</v>
      </c>
      <c r="L214" s="1435"/>
      <c r="M214" s="1428">
        <f t="shared" si="38"/>
        <v>1</v>
      </c>
      <c r="N214" s="1435"/>
      <c r="O214" s="1428">
        <f t="shared" si="39"/>
        <v>1</v>
      </c>
      <c r="P214" s="1435"/>
      <c r="Q214" s="1428">
        <f t="shared" si="40"/>
        <v>0</v>
      </c>
      <c r="R214" s="1488">
        <f t="shared" si="41"/>
        <v>0</v>
      </c>
      <c r="S214" s="1427">
        <f t="shared" si="42"/>
        <v>0</v>
      </c>
    </row>
    <row r="215" ht="13" spans="1:19">
      <c r="A215" s="1437"/>
      <c r="B215" s="1432"/>
      <c r="C215" s="1428">
        <f t="shared" si="33"/>
        <v>1</v>
      </c>
      <c r="D215" s="1435"/>
      <c r="E215" s="1428">
        <f t="shared" si="34"/>
        <v>1</v>
      </c>
      <c r="F215" s="1435"/>
      <c r="G215" s="1428">
        <f t="shared" si="35"/>
        <v>1</v>
      </c>
      <c r="H215" s="1435"/>
      <c r="I215" s="1428">
        <f t="shared" si="36"/>
        <v>1</v>
      </c>
      <c r="J215" s="1435"/>
      <c r="K215" s="1428">
        <f t="shared" si="37"/>
        <v>1</v>
      </c>
      <c r="L215" s="1435"/>
      <c r="M215" s="1428">
        <f t="shared" si="38"/>
        <v>1</v>
      </c>
      <c r="N215" s="1435"/>
      <c r="O215" s="1428">
        <f t="shared" si="39"/>
        <v>1</v>
      </c>
      <c r="P215" s="1435"/>
      <c r="Q215" s="1428">
        <f t="shared" si="40"/>
        <v>0</v>
      </c>
      <c r="R215" s="1488">
        <f t="shared" si="41"/>
        <v>0</v>
      </c>
      <c r="S215" s="1427">
        <f t="shared" si="42"/>
        <v>0</v>
      </c>
    </row>
    <row r="216" ht="13" spans="1:19">
      <c r="A216" s="1437"/>
      <c r="B216" s="1432"/>
      <c r="C216" s="1428">
        <f t="shared" si="33"/>
        <v>1</v>
      </c>
      <c r="D216" s="1435"/>
      <c r="E216" s="1428">
        <f t="shared" si="34"/>
        <v>1</v>
      </c>
      <c r="F216" s="1435"/>
      <c r="G216" s="1428">
        <f t="shared" si="35"/>
        <v>1</v>
      </c>
      <c r="H216" s="1435"/>
      <c r="I216" s="1428">
        <f t="shared" si="36"/>
        <v>1</v>
      </c>
      <c r="J216" s="1435"/>
      <c r="K216" s="1428">
        <f t="shared" si="37"/>
        <v>1</v>
      </c>
      <c r="L216" s="1435"/>
      <c r="M216" s="1428">
        <f t="shared" si="38"/>
        <v>1</v>
      </c>
      <c r="N216" s="1435"/>
      <c r="O216" s="1428">
        <f t="shared" si="39"/>
        <v>1</v>
      </c>
      <c r="P216" s="1435"/>
      <c r="Q216" s="1428">
        <f t="shared" si="40"/>
        <v>0</v>
      </c>
      <c r="R216" s="1488">
        <f t="shared" si="41"/>
        <v>0</v>
      </c>
      <c r="S216" s="1427">
        <f t="shared" si="42"/>
        <v>0</v>
      </c>
    </row>
    <row r="217" ht="13" spans="1:19">
      <c r="A217" s="1437"/>
      <c r="B217" s="1432"/>
      <c r="C217" s="1428">
        <f t="shared" si="33"/>
        <v>1</v>
      </c>
      <c r="D217" s="1435"/>
      <c r="E217" s="1428">
        <f t="shared" si="34"/>
        <v>1</v>
      </c>
      <c r="F217" s="1435"/>
      <c r="G217" s="1428">
        <f t="shared" si="35"/>
        <v>1</v>
      </c>
      <c r="H217" s="1435"/>
      <c r="I217" s="1428">
        <f t="shared" si="36"/>
        <v>1</v>
      </c>
      <c r="J217" s="1435"/>
      <c r="K217" s="1428">
        <f t="shared" si="37"/>
        <v>1</v>
      </c>
      <c r="L217" s="1435"/>
      <c r="M217" s="1428">
        <f t="shared" si="38"/>
        <v>1</v>
      </c>
      <c r="N217" s="1435"/>
      <c r="O217" s="1428">
        <f t="shared" si="39"/>
        <v>1</v>
      </c>
      <c r="P217" s="1435"/>
      <c r="Q217" s="1428">
        <f t="shared" si="40"/>
        <v>0</v>
      </c>
      <c r="R217" s="1488">
        <f t="shared" si="41"/>
        <v>0</v>
      </c>
      <c r="S217" s="1427">
        <f t="shared" si="42"/>
        <v>0</v>
      </c>
    </row>
    <row r="218" ht="13" spans="1:19">
      <c r="A218" s="1437"/>
      <c r="B218" s="1432"/>
      <c r="C218" s="1428">
        <f t="shared" ref="C218:C281" si="43">IF(B218="",1,(LOOKUP(B218,$3:$3,$4:$4)-LOOKUP($B$24,$3:$3,$4:$4)+100)/100)</f>
        <v>1</v>
      </c>
      <c r="D218" s="1435"/>
      <c r="E218" s="1428">
        <f t="shared" ref="E218:E281" si="44">(SUMIF($5:$5,D218,$6:$6)-SUMIF($5:$5,$D$24,$6:$6)+100)/100</f>
        <v>1</v>
      </c>
      <c r="F218" s="1435"/>
      <c r="G218" s="1428">
        <f t="shared" ref="G218:G281" si="45">(SUMIF($7:$7,F218,$8:$8)-SUMIF($7:$7,$F$24,$8:$8)+100)/100</f>
        <v>1</v>
      </c>
      <c r="H218" s="1435"/>
      <c r="I218" s="1428">
        <f t="shared" ref="I218:I281" si="46">(SUMIF($9:$9,H218,$10:$10)-SUMIF($9:$9,$H$24,$10:$10)+100)/100</f>
        <v>1</v>
      </c>
      <c r="J218" s="1435"/>
      <c r="K218" s="1428">
        <f t="shared" ref="K218:K281" si="47">(SUMIF($11:$11,J218,$12:$12)-SUMIF($11:$11,$J$24,$12:$12)+100)/100</f>
        <v>1</v>
      </c>
      <c r="L218" s="1435"/>
      <c r="M218" s="1428">
        <f t="shared" ref="M218:M281" si="48">(SUMIF($13:$13,L218,$14:$14)-SUMIF($13:$13,$L$24,$14:$14)+100)/100</f>
        <v>1</v>
      </c>
      <c r="N218" s="1435"/>
      <c r="O218" s="1428">
        <f t="shared" ref="O218:O281" si="49">(SUMIF($15:$15,N218,$16:$16)-SUMIF($15:$15,$N$24,$16:$16)+100)/100</f>
        <v>1</v>
      </c>
      <c r="P218" s="1435"/>
      <c r="Q218" s="1428">
        <f t="shared" ref="Q218:Q281" si="50">(SUMIF($17:$17,P218,$18:$18)-SUMIF($17:$17,$P$24,$18:$18)+100)/100</f>
        <v>0</v>
      </c>
      <c r="R218" s="1488">
        <f t="shared" ref="R218:R281" si="51">IF(B218="",0,ROUND($R$24*C218*E218*G218*I218*K218*M218*O218*Q218,0))</f>
        <v>0</v>
      </c>
      <c r="S218" s="1427">
        <f t="shared" si="42"/>
        <v>0</v>
      </c>
    </row>
    <row r="219" ht="13" spans="1:19">
      <c r="A219" s="1437"/>
      <c r="B219" s="1432"/>
      <c r="C219" s="1428">
        <f t="shared" si="43"/>
        <v>1</v>
      </c>
      <c r="D219" s="1435"/>
      <c r="E219" s="1428">
        <f t="shared" si="44"/>
        <v>1</v>
      </c>
      <c r="F219" s="1435"/>
      <c r="G219" s="1428">
        <f t="shared" si="45"/>
        <v>1</v>
      </c>
      <c r="H219" s="1435"/>
      <c r="I219" s="1428">
        <f t="shared" si="46"/>
        <v>1</v>
      </c>
      <c r="J219" s="1435"/>
      <c r="K219" s="1428">
        <f t="shared" si="47"/>
        <v>1</v>
      </c>
      <c r="L219" s="1435"/>
      <c r="M219" s="1428">
        <f t="shared" si="48"/>
        <v>1</v>
      </c>
      <c r="N219" s="1435"/>
      <c r="O219" s="1428">
        <f t="shared" si="49"/>
        <v>1</v>
      </c>
      <c r="P219" s="1435"/>
      <c r="Q219" s="1428">
        <f t="shared" si="50"/>
        <v>0</v>
      </c>
      <c r="R219" s="1488">
        <f t="shared" si="51"/>
        <v>0</v>
      </c>
      <c r="S219" s="1427">
        <f t="shared" si="42"/>
        <v>0</v>
      </c>
    </row>
    <row r="220" ht="13" spans="1:19">
      <c r="A220" s="1437"/>
      <c r="B220" s="1432"/>
      <c r="C220" s="1428">
        <f t="shared" si="43"/>
        <v>1</v>
      </c>
      <c r="D220" s="1435"/>
      <c r="E220" s="1428">
        <f t="shared" si="44"/>
        <v>1</v>
      </c>
      <c r="F220" s="1435"/>
      <c r="G220" s="1428">
        <f t="shared" si="45"/>
        <v>1</v>
      </c>
      <c r="H220" s="1435"/>
      <c r="I220" s="1428">
        <f t="shared" si="46"/>
        <v>1</v>
      </c>
      <c r="J220" s="1435"/>
      <c r="K220" s="1428">
        <f t="shared" si="47"/>
        <v>1</v>
      </c>
      <c r="L220" s="1435"/>
      <c r="M220" s="1428">
        <f t="shared" si="48"/>
        <v>1</v>
      </c>
      <c r="N220" s="1435"/>
      <c r="O220" s="1428">
        <f t="shared" si="49"/>
        <v>1</v>
      </c>
      <c r="P220" s="1435"/>
      <c r="Q220" s="1428">
        <f t="shared" si="50"/>
        <v>0</v>
      </c>
      <c r="R220" s="1488">
        <f t="shared" si="51"/>
        <v>0</v>
      </c>
      <c r="S220" s="1427">
        <f t="shared" si="42"/>
        <v>0</v>
      </c>
    </row>
    <row r="221" ht="13" spans="1:19">
      <c r="A221" s="1437"/>
      <c r="B221" s="1432"/>
      <c r="C221" s="1428">
        <f t="shared" si="43"/>
        <v>1</v>
      </c>
      <c r="D221" s="1435"/>
      <c r="E221" s="1428">
        <f t="shared" si="44"/>
        <v>1</v>
      </c>
      <c r="F221" s="1435"/>
      <c r="G221" s="1428">
        <f t="shared" si="45"/>
        <v>1</v>
      </c>
      <c r="H221" s="1435"/>
      <c r="I221" s="1428">
        <f t="shared" si="46"/>
        <v>1</v>
      </c>
      <c r="J221" s="1435"/>
      <c r="K221" s="1428">
        <f t="shared" si="47"/>
        <v>1</v>
      </c>
      <c r="L221" s="1435"/>
      <c r="M221" s="1428">
        <f t="shared" si="48"/>
        <v>1</v>
      </c>
      <c r="N221" s="1435"/>
      <c r="O221" s="1428">
        <f t="shared" si="49"/>
        <v>1</v>
      </c>
      <c r="P221" s="1435"/>
      <c r="Q221" s="1428">
        <f t="shared" si="50"/>
        <v>0</v>
      </c>
      <c r="R221" s="1488">
        <f t="shared" si="51"/>
        <v>0</v>
      </c>
      <c r="S221" s="1427">
        <f t="shared" si="42"/>
        <v>0</v>
      </c>
    </row>
    <row r="222" ht="13" spans="1:19">
      <c r="A222" s="1437"/>
      <c r="B222" s="1432"/>
      <c r="C222" s="1428">
        <f t="shared" si="43"/>
        <v>1</v>
      </c>
      <c r="D222" s="1435"/>
      <c r="E222" s="1428">
        <f t="shared" si="44"/>
        <v>1</v>
      </c>
      <c r="F222" s="1435"/>
      <c r="G222" s="1428">
        <f t="shared" si="45"/>
        <v>1</v>
      </c>
      <c r="H222" s="1435"/>
      <c r="I222" s="1428">
        <f t="shared" si="46"/>
        <v>1</v>
      </c>
      <c r="J222" s="1435"/>
      <c r="K222" s="1428">
        <f t="shared" si="47"/>
        <v>1</v>
      </c>
      <c r="L222" s="1435"/>
      <c r="M222" s="1428">
        <f t="shared" si="48"/>
        <v>1</v>
      </c>
      <c r="N222" s="1435"/>
      <c r="O222" s="1428">
        <f t="shared" si="49"/>
        <v>1</v>
      </c>
      <c r="P222" s="1435"/>
      <c r="Q222" s="1428">
        <f t="shared" si="50"/>
        <v>0</v>
      </c>
      <c r="R222" s="1488">
        <f t="shared" si="51"/>
        <v>0</v>
      </c>
      <c r="S222" s="1427">
        <f t="shared" si="42"/>
        <v>0</v>
      </c>
    </row>
    <row r="223" ht="13" spans="1:19">
      <c r="A223" s="1437"/>
      <c r="B223" s="1432"/>
      <c r="C223" s="1428">
        <f t="shared" si="43"/>
        <v>1</v>
      </c>
      <c r="D223" s="1435"/>
      <c r="E223" s="1428">
        <f t="shared" si="44"/>
        <v>1</v>
      </c>
      <c r="F223" s="1435"/>
      <c r="G223" s="1428">
        <f t="shared" si="45"/>
        <v>1</v>
      </c>
      <c r="H223" s="1435"/>
      <c r="I223" s="1428">
        <f t="shared" si="46"/>
        <v>1</v>
      </c>
      <c r="J223" s="1435"/>
      <c r="K223" s="1428">
        <f t="shared" si="47"/>
        <v>1</v>
      </c>
      <c r="L223" s="1435"/>
      <c r="M223" s="1428">
        <f t="shared" si="48"/>
        <v>1</v>
      </c>
      <c r="N223" s="1435"/>
      <c r="O223" s="1428">
        <f t="shared" si="49"/>
        <v>1</v>
      </c>
      <c r="P223" s="1435"/>
      <c r="Q223" s="1428">
        <f t="shared" si="50"/>
        <v>0</v>
      </c>
      <c r="R223" s="1488">
        <f t="shared" si="51"/>
        <v>0</v>
      </c>
      <c r="S223" s="1427">
        <f t="shared" ref="S223:S286" si="52">ROUND(R223*B223/10000,0)</f>
        <v>0</v>
      </c>
    </row>
    <row r="224" ht="13" spans="1:19">
      <c r="A224" s="1437"/>
      <c r="B224" s="1432"/>
      <c r="C224" s="1428">
        <f t="shared" si="43"/>
        <v>1</v>
      </c>
      <c r="D224" s="1435"/>
      <c r="E224" s="1428">
        <f t="shared" si="44"/>
        <v>1</v>
      </c>
      <c r="F224" s="1435"/>
      <c r="G224" s="1428">
        <f t="shared" si="45"/>
        <v>1</v>
      </c>
      <c r="H224" s="1435"/>
      <c r="I224" s="1428">
        <f t="shared" si="46"/>
        <v>1</v>
      </c>
      <c r="J224" s="1435"/>
      <c r="K224" s="1428">
        <f t="shared" si="47"/>
        <v>1</v>
      </c>
      <c r="L224" s="1435"/>
      <c r="M224" s="1428">
        <f t="shared" si="48"/>
        <v>1</v>
      </c>
      <c r="N224" s="1435"/>
      <c r="O224" s="1428">
        <f t="shared" si="49"/>
        <v>1</v>
      </c>
      <c r="P224" s="1435"/>
      <c r="Q224" s="1428">
        <f t="shared" si="50"/>
        <v>0</v>
      </c>
      <c r="R224" s="1488">
        <f t="shared" si="51"/>
        <v>0</v>
      </c>
      <c r="S224" s="1427">
        <f t="shared" si="52"/>
        <v>0</v>
      </c>
    </row>
    <row r="225" ht="13" spans="1:19">
      <c r="A225" s="1437"/>
      <c r="B225" s="1432"/>
      <c r="C225" s="1428">
        <f t="shared" si="43"/>
        <v>1</v>
      </c>
      <c r="D225" s="1435"/>
      <c r="E225" s="1428">
        <f t="shared" si="44"/>
        <v>1</v>
      </c>
      <c r="F225" s="1435"/>
      <c r="G225" s="1428">
        <f t="shared" si="45"/>
        <v>1</v>
      </c>
      <c r="H225" s="1435"/>
      <c r="I225" s="1428">
        <f t="shared" si="46"/>
        <v>1</v>
      </c>
      <c r="J225" s="1435"/>
      <c r="K225" s="1428">
        <f t="shared" si="47"/>
        <v>1</v>
      </c>
      <c r="L225" s="1435"/>
      <c r="M225" s="1428">
        <f t="shared" si="48"/>
        <v>1</v>
      </c>
      <c r="N225" s="1435"/>
      <c r="O225" s="1428">
        <f t="shared" si="49"/>
        <v>1</v>
      </c>
      <c r="P225" s="1435"/>
      <c r="Q225" s="1428">
        <f t="shared" si="50"/>
        <v>0</v>
      </c>
      <c r="R225" s="1488">
        <f t="shared" si="51"/>
        <v>0</v>
      </c>
      <c r="S225" s="1427">
        <f t="shared" si="52"/>
        <v>0</v>
      </c>
    </row>
    <row r="226" ht="13" spans="1:19">
      <c r="A226" s="1437"/>
      <c r="B226" s="1432"/>
      <c r="C226" s="1428">
        <f t="shared" si="43"/>
        <v>1</v>
      </c>
      <c r="D226" s="1435"/>
      <c r="E226" s="1428">
        <f t="shared" si="44"/>
        <v>1</v>
      </c>
      <c r="F226" s="1435"/>
      <c r="G226" s="1428">
        <f t="shared" si="45"/>
        <v>1</v>
      </c>
      <c r="H226" s="1435"/>
      <c r="I226" s="1428">
        <f t="shared" si="46"/>
        <v>1</v>
      </c>
      <c r="J226" s="1435"/>
      <c r="K226" s="1428">
        <f t="shared" si="47"/>
        <v>1</v>
      </c>
      <c r="L226" s="1435"/>
      <c r="M226" s="1428">
        <f t="shared" si="48"/>
        <v>1</v>
      </c>
      <c r="N226" s="1435"/>
      <c r="O226" s="1428">
        <f t="shared" si="49"/>
        <v>1</v>
      </c>
      <c r="P226" s="1435"/>
      <c r="Q226" s="1428">
        <f t="shared" si="50"/>
        <v>0</v>
      </c>
      <c r="R226" s="1488">
        <f t="shared" si="51"/>
        <v>0</v>
      </c>
      <c r="S226" s="1427">
        <f t="shared" si="52"/>
        <v>0</v>
      </c>
    </row>
    <row r="227" ht="13" spans="1:19">
      <c r="A227" s="1437"/>
      <c r="B227" s="1432"/>
      <c r="C227" s="1428">
        <f t="shared" si="43"/>
        <v>1</v>
      </c>
      <c r="D227" s="1435"/>
      <c r="E227" s="1428">
        <f t="shared" si="44"/>
        <v>1</v>
      </c>
      <c r="F227" s="1435"/>
      <c r="G227" s="1428">
        <f t="shared" si="45"/>
        <v>1</v>
      </c>
      <c r="H227" s="1435"/>
      <c r="I227" s="1428">
        <f t="shared" si="46"/>
        <v>1</v>
      </c>
      <c r="J227" s="1435"/>
      <c r="K227" s="1428">
        <f t="shared" si="47"/>
        <v>1</v>
      </c>
      <c r="L227" s="1435"/>
      <c r="M227" s="1428">
        <f t="shared" si="48"/>
        <v>1</v>
      </c>
      <c r="N227" s="1435"/>
      <c r="O227" s="1428">
        <f t="shared" si="49"/>
        <v>1</v>
      </c>
      <c r="P227" s="1435"/>
      <c r="Q227" s="1428">
        <f t="shared" si="50"/>
        <v>0</v>
      </c>
      <c r="R227" s="1488">
        <f t="shared" si="51"/>
        <v>0</v>
      </c>
      <c r="S227" s="1427">
        <f t="shared" si="52"/>
        <v>0</v>
      </c>
    </row>
    <row r="228" ht="13" spans="1:19">
      <c r="A228" s="1437"/>
      <c r="B228" s="1432"/>
      <c r="C228" s="1428">
        <f t="shared" si="43"/>
        <v>1</v>
      </c>
      <c r="D228" s="1435"/>
      <c r="E228" s="1428">
        <f t="shared" si="44"/>
        <v>1</v>
      </c>
      <c r="F228" s="1435"/>
      <c r="G228" s="1428">
        <f t="shared" si="45"/>
        <v>1</v>
      </c>
      <c r="H228" s="1435"/>
      <c r="I228" s="1428">
        <f t="shared" si="46"/>
        <v>1</v>
      </c>
      <c r="J228" s="1435"/>
      <c r="K228" s="1428">
        <f t="shared" si="47"/>
        <v>1</v>
      </c>
      <c r="L228" s="1435"/>
      <c r="M228" s="1428">
        <f t="shared" si="48"/>
        <v>1</v>
      </c>
      <c r="N228" s="1435"/>
      <c r="O228" s="1428">
        <f t="shared" si="49"/>
        <v>1</v>
      </c>
      <c r="P228" s="1435"/>
      <c r="Q228" s="1428">
        <f t="shared" si="50"/>
        <v>0</v>
      </c>
      <c r="R228" s="1488">
        <f t="shared" si="51"/>
        <v>0</v>
      </c>
      <c r="S228" s="1427">
        <f t="shared" si="52"/>
        <v>0</v>
      </c>
    </row>
    <row r="229" ht="13" spans="1:19">
      <c r="A229" s="1437"/>
      <c r="B229" s="1432"/>
      <c r="C229" s="1428">
        <f t="shared" si="43"/>
        <v>1</v>
      </c>
      <c r="D229" s="1435"/>
      <c r="E229" s="1428">
        <f t="shared" si="44"/>
        <v>1</v>
      </c>
      <c r="F229" s="1435"/>
      <c r="G229" s="1428">
        <f t="shared" si="45"/>
        <v>1</v>
      </c>
      <c r="H229" s="1435"/>
      <c r="I229" s="1428">
        <f t="shared" si="46"/>
        <v>1</v>
      </c>
      <c r="J229" s="1435"/>
      <c r="K229" s="1428">
        <f t="shared" si="47"/>
        <v>1</v>
      </c>
      <c r="L229" s="1435"/>
      <c r="M229" s="1428">
        <f t="shared" si="48"/>
        <v>1</v>
      </c>
      <c r="N229" s="1435"/>
      <c r="O229" s="1428">
        <f t="shared" si="49"/>
        <v>1</v>
      </c>
      <c r="P229" s="1435"/>
      <c r="Q229" s="1428">
        <f t="shared" si="50"/>
        <v>0</v>
      </c>
      <c r="R229" s="1488">
        <f t="shared" si="51"/>
        <v>0</v>
      </c>
      <c r="S229" s="1427">
        <f t="shared" si="52"/>
        <v>0</v>
      </c>
    </row>
    <row r="230" ht="13" spans="1:19">
      <c r="A230" s="1437"/>
      <c r="B230" s="1432"/>
      <c r="C230" s="1428">
        <f t="shared" si="43"/>
        <v>1</v>
      </c>
      <c r="D230" s="1435"/>
      <c r="E230" s="1428">
        <f t="shared" si="44"/>
        <v>1</v>
      </c>
      <c r="F230" s="1435"/>
      <c r="G230" s="1428">
        <f t="shared" si="45"/>
        <v>1</v>
      </c>
      <c r="H230" s="1435"/>
      <c r="I230" s="1428">
        <f t="shared" si="46"/>
        <v>1</v>
      </c>
      <c r="J230" s="1435"/>
      <c r="K230" s="1428">
        <f t="shared" si="47"/>
        <v>1</v>
      </c>
      <c r="L230" s="1435"/>
      <c r="M230" s="1428">
        <f t="shared" si="48"/>
        <v>1</v>
      </c>
      <c r="N230" s="1435"/>
      <c r="O230" s="1428">
        <f t="shared" si="49"/>
        <v>1</v>
      </c>
      <c r="P230" s="1435"/>
      <c r="Q230" s="1428">
        <f t="shared" si="50"/>
        <v>0</v>
      </c>
      <c r="R230" s="1488">
        <f t="shared" si="51"/>
        <v>0</v>
      </c>
      <c r="S230" s="1427">
        <f t="shared" si="52"/>
        <v>0</v>
      </c>
    </row>
    <row r="231" ht="13" spans="1:19">
      <c r="A231" s="1437"/>
      <c r="B231" s="1432"/>
      <c r="C231" s="1428">
        <f t="shared" si="43"/>
        <v>1</v>
      </c>
      <c r="D231" s="1435"/>
      <c r="E231" s="1428">
        <f t="shared" si="44"/>
        <v>1</v>
      </c>
      <c r="F231" s="1435"/>
      <c r="G231" s="1428">
        <f t="shared" si="45"/>
        <v>1</v>
      </c>
      <c r="H231" s="1435"/>
      <c r="I231" s="1428">
        <f t="shared" si="46"/>
        <v>1</v>
      </c>
      <c r="J231" s="1435"/>
      <c r="K231" s="1428">
        <f t="shared" si="47"/>
        <v>1</v>
      </c>
      <c r="L231" s="1435"/>
      <c r="M231" s="1428">
        <f t="shared" si="48"/>
        <v>1</v>
      </c>
      <c r="N231" s="1435"/>
      <c r="O231" s="1428">
        <f t="shared" si="49"/>
        <v>1</v>
      </c>
      <c r="P231" s="1435"/>
      <c r="Q231" s="1428">
        <f t="shared" si="50"/>
        <v>0</v>
      </c>
      <c r="R231" s="1488">
        <f t="shared" si="51"/>
        <v>0</v>
      </c>
      <c r="S231" s="1427">
        <f t="shared" si="52"/>
        <v>0</v>
      </c>
    </row>
    <row r="232" ht="13" spans="1:19">
      <c r="A232" s="1437"/>
      <c r="B232" s="1432"/>
      <c r="C232" s="1428">
        <f t="shared" si="43"/>
        <v>1</v>
      </c>
      <c r="D232" s="1435"/>
      <c r="E232" s="1428">
        <f t="shared" si="44"/>
        <v>1</v>
      </c>
      <c r="F232" s="1435"/>
      <c r="G232" s="1428">
        <f t="shared" si="45"/>
        <v>1</v>
      </c>
      <c r="H232" s="1435"/>
      <c r="I232" s="1428">
        <f t="shared" si="46"/>
        <v>1</v>
      </c>
      <c r="J232" s="1435"/>
      <c r="K232" s="1428">
        <f t="shared" si="47"/>
        <v>1</v>
      </c>
      <c r="L232" s="1435"/>
      <c r="M232" s="1428">
        <f t="shared" si="48"/>
        <v>1</v>
      </c>
      <c r="N232" s="1435"/>
      <c r="O232" s="1428">
        <f t="shared" si="49"/>
        <v>1</v>
      </c>
      <c r="P232" s="1435"/>
      <c r="Q232" s="1428">
        <f t="shared" si="50"/>
        <v>0</v>
      </c>
      <c r="R232" s="1488">
        <f t="shared" si="51"/>
        <v>0</v>
      </c>
      <c r="S232" s="1427">
        <f t="shared" si="52"/>
        <v>0</v>
      </c>
    </row>
    <row r="233" ht="13" spans="1:19">
      <c r="A233" s="1437"/>
      <c r="B233" s="1432"/>
      <c r="C233" s="1428">
        <f t="shared" si="43"/>
        <v>1</v>
      </c>
      <c r="D233" s="1435"/>
      <c r="E233" s="1428">
        <f t="shared" si="44"/>
        <v>1</v>
      </c>
      <c r="F233" s="1435"/>
      <c r="G233" s="1428">
        <f t="shared" si="45"/>
        <v>1</v>
      </c>
      <c r="H233" s="1435"/>
      <c r="I233" s="1428">
        <f t="shared" si="46"/>
        <v>1</v>
      </c>
      <c r="J233" s="1435"/>
      <c r="K233" s="1428">
        <f t="shared" si="47"/>
        <v>1</v>
      </c>
      <c r="L233" s="1435"/>
      <c r="M233" s="1428">
        <f t="shared" si="48"/>
        <v>1</v>
      </c>
      <c r="N233" s="1435"/>
      <c r="O233" s="1428">
        <f t="shared" si="49"/>
        <v>1</v>
      </c>
      <c r="P233" s="1435"/>
      <c r="Q233" s="1428">
        <f t="shared" si="50"/>
        <v>0</v>
      </c>
      <c r="R233" s="1488">
        <f t="shared" si="51"/>
        <v>0</v>
      </c>
      <c r="S233" s="1427">
        <f t="shared" si="52"/>
        <v>0</v>
      </c>
    </row>
    <row r="234" ht="13" spans="1:19">
      <c r="A234" s="1437"/>
      <c r="B234" s="1432"/>
      <c r="C234" s="1428">
        <f t="shared" si="43"/>
        <v>1</v>
      </c>
      <c r="D234" s="1435"/>
      <c r="E234" s="1428">
        <f t="shared" si="44"/>
        <v>1</v>
      </c>
      <c r="F234" s="1435"/>
      <c r="G234" s="1428">
        <f t="shared" si="45"/>
        <v>1</v>
      </c>
      <c r="H234" s="1435"/>
      <c r="I234" s="1428">
        <f t="shared" si="46"/>
        <v>1</v>
      </c>
      <c r="J234" s="1435"/>
      <c r="K234" s="1428">
        <f t="shared" si="47"/>
        <v>1</v>
      </c>
      <c r="L234" s="1435"/>
      <c r="M234" s="1428">
        <f t="shared" si="48"/>
        <v>1</v>
      </c>
      <c r="N234" s="1435"/>
      <c r="O234" s="1428">
        <f t="shared" si="49"/>
        <v>1</v>
      </c>
      <c r="P234" s="1435"/>
      <c r="Q234" s="1428">
        <f t="shared" si="50"/>
        <v>0</v>
      </c>
      <c r="R234" s="1488">
        <f t="shared" si="51"/>
        <v>0</v>
      </c>
      <c r="S234" s="1427">
        <f t="shared" si="52"/>
        <v>0</v>
      </c>
    </row>
    <row r="235" ht="13" spans="1:19">
      <c r="A235" s="1437"/>
      <c r="B235" s="1432"/>
      <c r="C235" s="1428">
        <f t="shared" si="43"/>
        <v>1</v>
      </c>
      <c r="D235" s="1435"/>
      <c r="E235" s="1428">
        <f t="shared" si="44"/>
        <v>1</v>
      </c>
      <c r="F235" s="1435"/>
      <c r="G235" s="1428">
        <f t="shared" si="45"/>
        <v>1</v>
      </c>
      <c r="H235" s="1435"/>
      <c r="I235" s="1428">
        <f t="shared" si="46"/>
        <v>1</v>
      </c>
      <c r="J235" s="1435"/>
      <c r="K235" s="1428">
        <f t="shared" si="47"/>
        <v>1</v>
      </c>
      <c r="L235" s="1435"/>
      <c r="M235" s="1428">
        <f t="shared" si="48"/>
        <v>1</v>
      </c>
      <c r="N235" s="1435"/>
      <c r="O235" s="1428">
        <f t="shared" si="49"/>
        <v>1</v>
      </c>
      <c r="P235" s="1435"/>
      <c r="Q235" s="1428">
        <f t="shared" si="50"/>
        <v>0</v>
      </c>
      <c r="R235" s="1488">
        <f t="shared" si="51"/>
        <v>0</v>
      </c>
      <c r="S235" s="1427">
        <f t="shared" si="52"/>
        <v>0</v>
      </c>
    </row>
    <row r="236" ht="13" spans="1:19">
      <c r="A236" s="1437"/>
      <c r="B236" s="1432"/>
      <c r="C236" s="1428">
        <f t="shared" si="43"/>
        <v>1</v>
      </c>
      <c r="D236" s="1435"/>
      <c r="E236" s="1428">
        <f t="shared" si="44"/>
        <v>1</v>
      </c>
      <c r="F236" s="1435"/>
      <c r="G236" s="1428">
        <f t="shared" si="45"/>
        <v>1</v>
      </c>
      <c r="H236" s="1435"/>
      <c r="I236" s="1428">
        <f t="shared" si="46"/>
        <v>1</v>
      </c>
      <c r="J236" s="1435"/>
      <c r="K236" s="1428">
        <f t="shared" si="47"/>
        <v>1</v>
      </c>
      <c r="L236" s="1435"/>
      <c r="M236" s="1428">
        <f t="shared" si="48"/>
        <v>1</v>
      </c>
      <c r="N236" s="1435"/>
      <c r="O236" s="1428">
        <f t="shared" si="49"/>
        <v>1</v>
      </c>
      <c r="P236" s="1435"/>
      <c r="Q236" s="1428">
        <f t="shared" si="50"/>
        <v>0</v>
      </c>
      <c r="R236" s="1488">
        <f t="shared" si="51"/>
        <v>0</v>
      </c>
      <c r="S236" s="1427">
        <f t="shared" si="52"/>
        <v>0</v>
      </c>
    </row>
    <row r="237" ht="13" spans="1:19">
      <c r="A237" s="1437"/>
      <c r="B237" s="1432"/>
      <c r="C237" s="1428">
        <f t="shared" si="43"/>
        <v>1</v>
      </c>
      <c r="D237" s="1435"/>
      <c r="E237" s="1428">
        <f t="shared" si="44"/>
        <v>1</v>
      </c>
      <c r="F237" s="1435"/>
      <c r="G237" s="1428">
        <f t="shared" si="45"/>
        <v>1</v>
      </c>
      <c r="H237" s="1435"/>
      <c r="I237" s="1428">
        <f t="shared" si="46"/>
        <v>1</v>
      </c>
      <c r="J237" s="1435"/>
      <c r="K237" s="1428">
        <f t="shared" si="47"/>
        <v>1</v>
      </c>
      <c r="L237" s="1435"/>
      <c r="M237" s="1428">
        <f t="shared" si="48"/>
        <v>1</v>
      </c>
      <c r="N237" s="1435"/>
      <c r="O237" s="1428">
        <f t="shared" si="49"/>
        <v>1</v>
      </c>
      <c r="P237" s="1435"/>
      <c r="Q237" s="1428">
        <f t="shared" si="50"/>
        <v>0</v>
      </c>
      <c r="R237" s="1488">
        <f t="shared" si="51"/>
        <v>0</v>
      </c>
      <c r="S237" s="1427">
        <f t="shared" si="52"/>
        <v>0</v>
      </c>
    </row>
    <row r="238" ht="13" spans="1:19">
      <c r="A238" s="1437"/>
      <c r="B238" s="1432"/>
      <c r="C238" s="1428">
        <f t="shared" si="43"/>
        <v>1</v>
      </c>
      <c r="D238" s="1435"/>
      <c r="E238" s="1428">
        <f t="shared" si="44"/>
        <v>1</v>
      </c>
      <c r="F238" s="1435"/>
      <c r="G238" s="1428">
        <f t="shared" si="45"/>
        <v>1</v>
      </c>
      <c r="H238" s="1435"/>
      <c r="I238" s="1428">
        <f t="shared" si="46"/>
        <v>1</v>
      </c>
      <c r="J238" s="1435"/>
      <c r="K238" s="1428">
        <f t="shared" si="47"/>
        <v>1</v>
      </c>
      <c r="L238" s="1435"/>
      <c r="M238" s="1428">
        <f t="shared" si="48"/>
        <v>1</v>
      </c>
      <c r="N238" s="1435"/>
      <c r="O238" s="1428">
        <f t="shared" si="49"/>
        <v>1</v>
      </c>
      <c r="P238" s="1435"/>
      <c r="Q238" s="1428">
        <f t="shared" si="50"/>
        <v>0</v>
      </c>
      <c r="R238" s="1488">
        <f t="shared" si="51"/>
        <v>0</v>
      </c>
      <c r="S238" s="1427">
        <f t="shared" si="52"/>
        <v>0</v>
      </c>
    </row>
    <row r="239" ht="13" spans="1:19">
      <c r="A239" s="1437"/>
      <c r="B239" s="1432"/>
      <c r="C239" s="1428">
        <f t="shared" si="43"/>
        <v>1</v>
      </c>
      <c r="D239" s="1435"/>
      <c r="E239" s="1428">
        <f t="shared" si="44"/>
        <v>1</v>
      </c>
      <c r="F239" s="1435"/>
      <c r="G239" s="1428">
        <f t="shared" si="45"/>
        <v>1</v>
      </c>
      <c r="H239" s="1435"/>
      <c r="I239" s="1428">
        <f t="shared" si="46"/>
        <v>1</v>
      </c>
      <c r="J239" s="1435"/>
      <c r="K239" s="1428">
        <f t="shared" si="47"/>
        <v>1</v>
      </c>
      <c r="L239" s="1435"/>
      <c r="M239" s="1428">
        <f t="shared" si="48"/>
        <v>1</v>
      </c>
      <c r="N239" s="1435"/>
      <c r="O239" s="1428">
        <f t="shared" si="49"/>
        <v>1</v>
      </c>
      <c r="P239" s="1435"/>
      <c r="Q239" s="1428">
        <f t="shared" si="50"/>
        <v>0</v>
      </c>
      <c r="R239" s="1488">
        <f t="shared" si="51"/>
        <v>0</v>
      </c>
      <c r="S239" s="1427">
        <f t="shared" si="52"/>
        <v>0</v>
      </c>
    </row>
    <row r="240" ht="13" spans="1:19">
      <c r="A240" s="1437"/>
      <c r="B240" s="1432"/>
      <c r="C240" s="1428">
        <f t="shared" si="43"/>
        <v>1</v>
      </c>
      <c r="D240" s="1435"/>
      <c r="E240" s="1428">
        <f t="shared" si="44"/>
        <v>1</v>
      </c>
      <c r="F240" s="1435"/>
      <c r="G240" s="1428">
        <f t="shared" si="45"/>
        <v>1</v>
      </c>
      <c r="H240" s="1435"/>
      <c r="I240" s="1428">
        <f t="shared" si="46"/>
        <v>1</v>
      </c>
      <c r="J240" s="1435"/>
      <c r="K240" s="1428">
        <f t="shared" si="47"/>
        <v>1</v>
      </c>
      <c r="L240" s="1435"/>
      <c r="M240" s="1428">
        <f t="shared" si="48"/>
        <v>1</v>
      </c>
      <c r="N240" s="1435"/>
      <c r="O240" s="1428">
        <f t="shared" si="49"/>
        <v>1</v>
      </c>
      <c r="P240" s="1435"/>
      <c r="Q240" s="1428">
        <f t="shared" si="50"/>
        <v>0</v>
      </c>
      <c r="R240" s="1488">
        <f t="shared" si="51"/>
        <v>0</v>
      </c>
      <c r="S240" s="1427">
        <f t="shared" si="52"/>
        <v>0</v>
      </c>
    </row>
    <row r="241" ht="13" spans="1:19">
      <c r="A241" s="1437"/>
      <c r="B241" s="1432"/>
      <c r="C241" s="1428">
        <f t="shared" si="43"/>
        <v>1</v>
      </c>
      <c r="D241" s="1435"/>
      <c r="E241" s="1428">
        <f t="shared" si="44"/>
        <v>1</v>
      </c>
      <c r="F241" s="1435"/>
      <c r="G241" s="1428">
        <f t="shared" si="45"/>
        <v>1</v>
      </c>
      <c r="H241" s="1435"/>
      <c r="I241" s="1428">
        <f t="shared" si="46"/>
        <v>1</v>
      </c>
      <c r="J241" s="1435"/>
      <c r="K241" s="1428">
        <f t="shared" si="47"/>
        <v>1</v>
      </c>
      <c r="L241" s="1435"/>
      <c r="M241" s="1428">
        <f t="shared" si="48"/>
        <v>1</v>
      </c>
      <c r="N241" s="1435"/>
      <c r="O241" s="1428">
        <f t="shared" si="49"/>
        <v>1</v>
      </c>
      <c r="P241" s="1435"/>
      <c r="Q241" s="1428">
        <f t="shared" si="50"/>
        <v>0</v>
      </c>
      <c r="R241" s="1488">
        <f t="shared" si="51"/>
        <v>0</v>
      </c>
      <c r="S241" s="1427">
        <f t="shared" si="52"/>
        <v>0</v>
      </c>
    </row>
    <row r="242" ht="13" spans="1:19">
      <c r="A242" s="1437"/>
      <c r="B242" s="1432"/>
      <c r="C242" s="1428">
        <f t="shared" si="43"/>
        <v>1</v>
      </c>
      <c r="D242" s="1435"/>
      <c r="E242" s="1428">
        <f t="shared" si="44"/>
        <v>1</v>
      </c>
      <c r="F242" s="1435"/>
      <c r="G242" s="1428">
        <f t="shared" si="45"/>
        <v>1</v>
      </c>
      <c r="H242" s="1435"/>
      <c r="I242" s="1428">
        <f t="shared" si="46"/>
        <v>1</v>
      </c>
      <c r="J242" s="1435"/>
      <c r="K242" s="1428">
        <f t="shared" si="47"/>
        <v>1</v>
      </c>
      <c r="L242" s="1435"/>
      <c r="M242" s="1428">
        <f t="shared" si="48"/>
        <v>1</v>
      </c>
      <c r="N242" s="1435"/>
      <c r="O242" s="1428">
        <f t="shared" si="49"/>
        <v>1</v>
      </c>
      <c r="P242" s="1435"/>
      <c r="Q242" s="1428">
        <f t="shared" si="50"/>
        <v>0</v>
      </c>
      <c r="R242" s="1488">
        <f t="shared" si="51"/>
        <v>0</v>
      </c>
      <c r="S242" s="1427">
        <f t="shared" si="52"/>
        <v>0</v>
      </c>
    </row>
    <row r="243" ht="13" spans="1:19">
      <c r="A243" s="1437"/>
      <c r="B243" s="1432"/>
      <c r="C243" s="1428">
        <f t="shared" si="43"/>
        <v>1</v>
      </c>
      <c r="D243" s="1435"/>
      <c r="E243" s="1428">
        <f t="shared" si="44"/>
        <v>1</v>
      </c>
      <c r="F243" s="1435"/>
      <c r="G243" s="1428">
        <f t="shared" si="45"/>
        <v>1</v>
      </c>
      <c r="H243" s="1435"/>
      <c r="I243" s="1428">
        <f t="shared" si="46"/>
        <v>1</v>
      </c>
      <c r="J243" s="1435"/>
      <c r="K243" s="1428">
        <f t="shared" si="47"/>
        <v>1</v>
      </c>
      <c r="L243" s="1435"/>
      <c r="M243" s="1428">
        <f t="shared" si="48"/>
        <v>1</v>
      </c>
      <c r="N243" s="1435"/>
      <c r="O243" s="1428">
        <f t="shared" si="49"/>
        <v>1</v>
      </c>
      <c r="P243" s="1435"/>
      <c r="Q243" s="1428">
        <f t="shared" si="50"/>
        <v>0</v>
      </c>
      <c r="R243" s="1488">
        <f t="shared" si="51"/>
        <v>0</v>
      </c>
      <c r="S243" s="1427">
        <f t="shared" si="52"/>
        <v>0</v>
      </c>
    </row>
    <row r="244" ht="13" spans="1:19">
      <c r="A244" s="1437"/>
      <c r="B244" s="1432"/>
      <c r="C244" s="1428">
        <f t="shared" si="43"/>
        <v>1</v>
      </c>
      <c r="D244" s="1435"/>
      <c r="E244" s="1428">
        <f t="shared" si="44"/>
        <v>1</v>
      </c>
      <c r="F244" s="1435"/>
      <c r="G244" s="1428">
        <f t="shared" si="45"/>
        <v>1</v>
      </c>
      <c r="H244" s="1435"/>
      <c r="I244" s="1428">
        <f t="shared" si="46"/>
        <v>1</v>
      </c>
      <c r="J244" s="1435"/>
      <c r="K244" s="1428">
        <f t="shared" si="47"/>
        <v>1</v>
      </c>
      <c r="L244" s="1435"/>
      <c r="M244" s="1428">
        <f t="shared" si="48"/>
        <v>1</v>
      </c>
      <c r="N244" s="1435"/>
      <c r="O244" s="1428">
        <f t="shared" si="49"/>
        <v>1</v>
      </c>
      <c r="P244" s="1435"/>
      <c r="Q244" s="1428">
        <f t="shared" si="50"/>
        <v>0</v>
      </c>
      <c r="R244" s="1488">
        <f t="shared" si="51"/>
        <v>0</v>
      </c>
      <c r="S244" s="1427">
        <f t="shared" si="52"/>
        <v>0</v>
      </c>
    </row>
    <row r="245" ht="13" spans="1:19">
      <c r="A245" s="1437"/>
      <c r="B245" s="1432"/>
      <c r="C245" s="1428">
        <f t="shared" si="43"/>
        <v>1</v>
      </c>
      <c r="D245" s="1435"/>
      <c r="E245" s="1428">
        <f t="shared" si="44"/>
        <v>1</v>
      </c>
      <c r="F245" s="1435"/>
      <c r="G245" s="1428">
        <f t="shared" si="45"/>
        <v>1</v>
      </c>
      <c r="H245" s="1435"/>
      <c r="I245" s="1428">
        <f t="shared" si="46"/>
        <v>1</v>
      </c>
      <c r="J245" s="1435"/>
      <c r="K245" s="1428">
        <f t="shared" si="47"/>
        <v>1</v>
      </c>
      <c r="L245" s="1435"/>
      <c r="M245" s="1428">
        <f t="shared" si="48"/>
        <v>1</v>
      </c>
      <c r="N245" s="1435"/>
      <c r="O245" s="1428">
        <f t="shared" si="49"/>
        <v>1</v>
      </c>
      <c r="P245" s="1435"/>
      <c r="Q245" s="1428">
        <f t="shared" si="50"/>
        <v>0</v>
      </c>
      <c r="R245" s="1488">
        <f t="shared" si="51"/>
        <v>0</v>
      </c>
      <c r="S245" s="1427">
        <f t="shared" si="52"/>
        <v>0</v>
      </c>
    </row>
    <row r="246" ht="13" spans="1:19">
      <c r="A246" s="1437"/>
      <c r="B246" s="1432"/>
      <c r="C246" s="1428">
        <f t="shared" si="43"/>
        <v>1</v>
      </c>
      <c r="D246" s="1435"/>
      <c r="E246" s="1428">
        <f t="shared" si="44"/>
        <v>1</v>
      </c>
      <c r="F246" s="1435"/>
      <c r="G246" s="1428">
        <f t="shared" si="45"/>
        <v>1</v>
      </c>
      <c r="H246" s="1435"/>
      <c r="I246" s="1428">
        <f t="shared" si="46"/>
        <v>1</v>
      </c>
      <c r="J246" s="1435"/>
      <c r="K246" s="1428">
        <f t="shared" si="47"/>
        <v>1</v>
      </c>
      <c r="L246" s="1435"/>
      <c r="M246" s="1428">
        <f t="shared" si="48"/>
        <v>1</v>
      </c>
      <c r="N246" s="1435"/>
      <c r="O246" s="1428">
        <f t="shared" si="49"/>
        <v>1</v>
      </c>
      <c r="P246" s="1435"/>
      <c r="Q246" s="1428">
        <f t="shared" si="50"/>
        <v>0</v>
      </c>
      <c r="R246" s="1488">
        <f t="shared" si="51"/>
        <v>0</v>
      </c>
      <c r="S246" s="1427">
        <f t="shared" si="52"/>
        <v>0</v>
      </c>
    </row>
    <row r="247" ht="13" spans="1:19">
      <c r="A247" s="1437"/>
      <c r="B247" s="1432"/>
      <c r="C247" s="1428">
        <f t="shared" si="43"/>
        <v>1</v>
      </c>
      <c r="D247" s="1435"/>
      <c r="E247" s="1428">
        <f t="shared" si="44"/>
        <v>1</v>
      </c>
      <c r="F247" s="1435"/>
      <c r="G247" s="1428">
        <f t="shared" si="45"/>
        <v>1</v>
      </c>
      <c r="H247" s="1435"/>
      <c r="I247" s="1428">
        <f t="shared" si="46"/>
        <v>1</v>
      </c>
      <c r="J247" s="1435"/>
      <c r="K247" s="1428">
        <f t="shared" si="47"/>
        <v>1</v>
      </c>
      <c r="L247" s="1435"/>
      <c r="M247" s="1428">
        <f t="shared" si="48"/>
        <v>1</v>
      </c>
      <c r="N247" s="1435"/>
      <c r="O247" s="1428">
        <f t="shared" si="49"/>
        <v>1</v>
      </c>
      <c r="P247" s="1435"/>
      <c r="Q247" s="1428">
        <f t="shared" si="50"/>
        <v>0</v>
      </c>
      <c r="R247" s="1488">
        <f t="shared" si="51"/>
        <v>0</v>
      </c>
      <c r="S247" s="1427">
        <f t="shared" si="52"/>
        <v>0</v>
      </c>
    </row>
    <row r="248" ht="13" spans="1:19">
      <c r="A248" s="1437"/>
      <c r="B248" s="1432"/>
      <c r="C248" s="1428">
        <f t="shared" si="43"/>
        <v>1</v>
      </c>
      <c r="D248" s="1435"/>
      <c r="E248" s="1428">
        <f t="shared" si="44"/>
        <v>1</v>
      </c>
      <c r="F248" s="1435"/>
      <c r="G248" s="1428">
        <f t="shared" si="45"/>
        <v>1</v>
      </c>
      <c r="H248" s="1435"/>
      <c r="I248" s="1428">
        <f t="shared" si="46"/>
        <v>1</v>
      </c>
      <c r="J248" s="1435"/>
      <c r="K248" s="1428">
        <f t="shared" si="47"/>
        <v>1</v>
      </c>
      <c r="L248" s="1435"/>
      <c r="M248" s="1428">
        <f t="shared" si="48"/>
        <v>1</v>
      </c>
      <c r="N248" s="1435"/>
      <c r="O248" s="1428">
        <f t="shared" si="49"/>
        <v>1</v>
      </c>
      <c r="P248" s="1435"/>
      <c r="Q248" s="1428">
        <f t="shared" si="50"/>
        <v>0</v>
      </c>
      <c r="R248" s="1488">
        <f t="shared" si="51"/>
        <v>0</v>
      </c>
      <c r="S248" s="1427">
        <f t="shared" si="52"/>
        <v>0</v>
      </c>
    </row>
    <row r="249" ht="13" spans="1:19">
      <c r="A249" s="1437"/>
      <c r="B249" s="1432"/>
      <c r="C249" s="1428">
        <f t="shared" si="43"/>
        <v>1</v>
      </c>
      <c r="D249" s="1435"/>
      <c r="E249" s="1428">
        <f t="shared" si="44"/>
        <v>1</v>
      </c>
      <c r="F249" s="1435"/>
      <c r="G249" s="1428">
        <f t="shared" si="45"/>
        <v>1</v>
      </c>
      <c r="H249" s="1435"/>
      <c r="I249" s="1428">
        <f t="shared" si="46"/>
        <v>1</v>
      </c>
      <c r="J249" s="1435"/>
      <c r="K249" s="1428">
        <f t="shared" si="47"/>
        <v>1</v>
      </c>
      <c r="L249" s="1435"/>
      <c r="M249" s="1428">
        <f t="shared" si="48"/>
        <v>1</v>
      </c>
      <c r="N249" s="1435"/>
      <c r="O249" s="1428">
        <f t="shared" si="49"/>
        <v>1</v>
      </c>
      <c r="P249" s="1435"/>
      <c r="Q249" s="1428">
        <f t="shared" si="50"/>
        <v>0</v>
      </c>
      <c r="R249" s="1488">
        <f t="shared" si="51"/>
        <v>0</v>
      </c>
      <c r="S249" s="1427">
        <f t="shared" si="52"/>
        <v>0</v>
      </c>
    </row>
    <row r="250" ht="13" spans="1:19">
      <c r="A250" s="1437"/>
      <c r="B250" s="1432"/>
      <c r="C250" s="1428">
        <f t="shared" si="43"/>
        <v>1</v>
      </c>
      <c r="D250" s="1435"/>
      <c r="E250" s="1428">
        <f t="shared" si="44"/>
        <v>1</v>
      </c>
      <c r="F250" s="1435"/>
      <c r="G250" s="1428">
        <f t="shared" si="45"/>
        <v>1</v>
      </c>
      <c r="H250" s="1435"/>
      <c r="I250" s="1428">
        <f t="shared" si="46"/>
        <v>1</v>
      </c>
      <c r="J250" s="1435"/>
      <c r="K250" s="1428">
        <f t="shared" si="47"/>
        <v>1</v>
      </c>
      <c r="L250" s="1435"/>
      <c r="M250" s="1428">
        <f t="shared" si="48"/>
        <v>1</v>
      </c>
      <c r="N250" s="1435"/>
      <c r="O250" s="1428">
        <f t="shared" si="49"/>
        <v>1</v>
      </c>
      <c r="P250" s="1435"/>
      <c r="Q250" s="1428">
        <f t="shared" si="50"/>
        <v>0</v>
      </c>
      <c r="R250" s="1488">
        <f t="shared" si="51"/>
        <v>0</v>
      </c>
      <c r="S250" s="1427">
        <f t="shared" si="52"/>
        <v>0</v>
      </c>
    </row>
    <row r="251" ht="13" spans="1:19">
      <c r="A251" s="1437"/>
      <c r="B251" s="1432"/>
      <c r="C251" s="1428">
        <f t="shared" si="43"/>
        <v>1</v>
      </c>
      <c r="D251" s="1435"/>
      <c r="E251" s="1428">
        <f t="shared" si="44"/>
        <v>1</v>
      </c>
      <c r="F251" s="1435"/>
      <c r="G251" s="1428">
        <f t="shared" si="45"/>
        <v>1</v>
      </c>
      <c r="H251" s="1435"/>
      <c r="I251" s="1428">
        <f t="shared" si="46"/>
        <v>1</v>
      </c>
      <c r="J251" s="1435"/>
      <c r="K251" s="1428">
        <f t="shared" si="47"/>
        <v>1</v>
      </c>
      <c r="L251" s="1435"/>
      <c r="M251" s="1428">
        <f t="shared" si="48"/>
        <v>1</v>
      </c>
      <c r="N251" s="1435"/>
      <c r="O251" s="1428">
        <f t="shared" si="49"/>
        <v>1</v>
      </c>
      <c r="P251" s="1435"/>
      <c r="Q251" s="1428">
        <f t="shared" si="50"/>
        <v>0</v>
      </c>
      <c r="R251" s="1488">
        <f t="shared" si="51"/>
        <v>0</v>
      </c>
      <c r="S251" s="1427">
        <f t="shared" si="52"/>
        <v>0</v>
      </c>
    </row>
    <row r="252" ht="13" spans="1:19">
      <c r="A252" s="1437"/>
      <c r="B252" s="1432"/>
      <c r="C252" s="1428">
        <f t="shared" si="43"/>
        <v>1</v>
      </c>
      <c r="D252" s="1435"/>
      <c r="E252" s="1428">
        <f t="shared" si="44"/>
        <v>1</v>
      </c>
      <c r="F252" s="1435"/>
      <c r="G252" s="1428">
        <f t="shared" si="45"/>
        <v>1</v>
      </c>
      <c r="H252" s="1435"/>
      <c r="I252" s="1428">
        <f t="shared" si="46"/>
        <v>1</v>
      </c>
      <c r="J252" s="1435"/>
      <c r="K252" s="1428">
        <f t="shared" si="47"/>
        <v>1</v>
      </c>
      <c r="L252" s="1435"/>
      <c r="M252" s="1428">
        <f t="shared" si="48"/>
        <v>1</v>
      </c>
      <c r="N252" s="1435"/>
      <c r="O252" s="1428">
        <f t="shared" si="49"/>
        <v>1</v>
      </c>
      <c r="P252" s="1435"/>
      <c r="Q252" s="1428">
        <f t="shared" si="50"/>
        <v>0</v>
      </c>
      <c r="R252" s="1488">
        <f t="shared" si="51"/>
        <v>0</v>
      </c>
      <c r="S252" s="1427">
        <f t="shared" si="52"/>
        <v>0</v>
      </c>
    </row>
    <row r="253" ht="13" spans="1:19">
      <c r="A253" s="1437"/>
      <c r="B253" s="1432"/>
      <c r="C253" s="1428">
        <f t="shared" si="43"/>
        <v>1</v>
      </c>
      <c r="D253" s="1435"/>
      <c r="E253" s="1428">
        <f t="shared" si="44"/>
        <v>1</v>
      </c>
      <c r="F253" s="1435"/>
      <c r="G253" s="1428">
        <f t="shared" si="45"/>
        <v>1</v>
      </c>
      <c r="H253" s="1435"/>
      <c r="I253" s="1428">
        <f t="shared" si="46"/>
        <v>1</v>
      </c>
      <c r="J253" s="1435"/>
      <c r="K253" s="1428">
        <f t="shared" si="47"/>
        <v>1</v>
      </c>
      <c r="L253" s="1435"/>
      <c r="M253" s="1428">
        <f t="shared" si="48"/>
        <v>1</v>
      </c>
      <c r="N253" s="1435"/>
      <c r="O253" s="1428">
        <f t="shared" si="49"/>
        <v>1</v>
      </c>
      <c r="P253" s="1435"/>
      <c r="Q253" s="1428">
        <f t="shared" si="50"/>
        <v>0</v>
      </c>
      <c r="R253" s="1488">
        <f t="shared" si="51"/>
        <v>0</v>
      </c>
      <c r="S253" s="1427">
        <f t="shared" si="52"/>
        <v>0</v>
      </c>
    </row>
    <row r="254" ht="13" spans="1:19">
      <c r="A254" s="1437"/>
      <c r="B254" s="1432"/>
      <c r="C254" s="1428">
        <f t="shared" si="43"/>
        <v>1</v>
      </c>
      <c r="D254" s="1435"/>
      <c r="E254" s="1428">
        <f t="shared" si="44"/>
        <v>1</v>
      </c>
      <c r="F254" s="1435"/>
      <c r="G254" s="1428">
        <f t="shared" si="45"/>
        <v>1</v>
      </c>
      <c r="H254" s="1435"/>
      <c r="I254" s="1428">
        <f t="shared" si="46"/>
        <v>1</v>
      </c>
      <c r="J254" s="1435"/>
      <c r="K254" s="1428">
        <f t="shared" si="47"/>
        <v>1</v>
      </c>
      <c r="L254" s="1435"/>
      <c r="M254" s="1428">
        <f t="shared" si="48"/>
        <v>1</v>
      </c>
      <c r="N254" s="1435"/>
      <c r="O254" s="1428">
        <f t="shared" si="49"/>
        <v>1</v>
      </c>
      <c r="P254" s="1435"/>
      <c r="Q254" s="1428">
        <f t="shared" si="50"/>
        <v>0</v>
      </c>
      <c r="R254" s="1488">
        <f t="shared" si="51"/>
        <v>0</v>
      </c>
      <c r="S254" s="1427">
        <f t="shared" si="52"/>
        <v>0</v>
      </c>
    </row>
    <row r="255" ht="13" spans="1:19">
      <c r="A255" s="1437"/>
      <c r="B255" s="1432"/>
      <c r="C255" s="1428">
        <f t="shared" si="43"/>
        <v>1</v>
      </c>
      <c r="D255" s="1435"/>
      <c r="E255" s="1428">
        <f t="shared" si="44"/>
        <v>1</v>
      </c>
      <c r="F255" s="1435"/>
      <c r="G255" s="1428">
        <f t="shared" si="45"/>
        <v>1</v>
      </c>
      <c r="H255" s="1435"/>
      <c r="I255" s="1428">
        <f t="shared" si="46"/>
        <v>1</v>
      </c>
      <c r="J255" s="1435"/>
      <c r="K255" s="1428">
        <f t="shared" si="47"/>
        <v>1</v>
      </c>
      <c r="L255" s="1435"/>
      <c r="M255" s="1428">
        <f t="shared" si="48"/>
        <v>1</v>
      </c>
      <c r="N255" s="1435"/>
      <c r="O255" s="1428">
        <f t="shared" si="49"/>
        <v>1</v>
      </c>
      <c r="P255" s="1435"/>
      <c r="Q255" s="1428">
        <f t="shared" si="50"/>
        <v>0</v>
      </c>
      <c r="R255" s="1488">
        <f t="shared" si="51"/>
        <v>0</v>
      </c>
      <c r="S255" s="1427">
        <f t="shared" si="52"/>
        <v>0</v>
      </c>
    </row>
    <row r="256" ht="13" spans="1:19">
      <c r="A256" s="1437"/>
      <c r="B256" s="1432"/>
      <c r="C256" s="1428">
        <f t="shared" si="43"/>
        <v>1</v>
      </c>
      <c r="D256" s="1435"/>
      <c r="E256" s="1428">
        <f t="shared" si="44"/>
        <v>1</v>
      </c>
      <c r="F256" s="1435"/>
      <c r="G256" s="1428">
        <f t="shared" si="45"/>
        <v>1</v>
      </c>
      <c r="H256" s="1435"/>
      <c r="I256" s="1428">
        <f t="shared" si="46"/>
        <v>1</v>
      </c>
      <c r="J256" s="1435"/>
      <c r="K256" s="1428">
        <f t="shared" si="47"/>
        <v>1</v>
      </c>
      <c r="L256" s="1435"/>
      <c r="M256" s="1428">
        <f t="shared" si="48"/>
        <v>1</v>
      </c>
      <c r="N256" s="1435"/>
      <c r="O256" s="1428">
        <f t="shared" si="49"/>
        <v>1</v>
      </c>
      <c r="P256" s="1435"/>
      <c r="Q256" s="1428">
        <f t="shared" si="50"/>
        <v>0</v>
      </c>
      <c r="R256" s="1488">
        <f t="shared" si="51"/>
        <v>0</v>
      </c>
      <c r="S256" s="1427">
        <f t="shared" si="52"/>
        <v>0</v>
      </c>
    </row>
    <row r="257" ht="13" spans="1:19">
      <c r="A257" s="1437"/>
      <c r="B257" s="1432"/>
      <c r="C257" s="1428">
        <f t="shared" si="43"/>
        <v>1</v>
      </c>
      <c r="D257" s="1435"/>
      <c r="E257" s="1428">
        <f t="shared" si="44"/>
        <v>1</v>
      </c>
      <c r="F257" s="1435"/>
      <c r="G257" s="1428">
        <f t="shared" si="45"/>
        <v>1</v>
      </c>
      <c r="H257" s="1435"/>
      <c r="I257" s="1428">
        <f t="shared" si="46"/>
        <v>1</v>
      </c>
      <c r="J257" s="1435"/>
      <c r="K257" s="1428">
        <f t="shared" si="47"/>
        <v>1</v>
      </c>
      <c r="L257" s="1435"/>
      <c r="M257" s="1428">
        <f t="shared" si="48"/>
        <v>1</v>
      </c>
      <c r="N257" s="1435"/>
      <c r="O257" s="1428">
        <f t="shared" si="49"/>
        <v>1</v>
      </c>
      <c r="P257" s="1435"/>
      <c r="Q257" s="1428">
        <f t="shared" si="50"/>
        <v>0</v>
      </c>
      <c r="R257" s="1488">
        <f t="shared" si="51"/>
        <v>0</v>
      </c>
      <c r="S257" s="1427">
        <f t="shared" si="52"/>
        <v>0</v>
      </c>
    </row>
    <row r="258" ht="13" spans="1:19">
      <c r="A258" s="1437"/>
      <c r="B258" s="1432"/>
      <c r="C258" s="1428">
        <f t="shared" si="43"/>
        <v>1</v>
      </c>
      <c r="D258" s="1435"/>
      <c r="E258" s="1428">
        <f t="shared" si="44"/>
        <v>1</v>
      </c>
      <c r="F258" s="1435"/>
      <c r="G258" s="1428">
        <f t="shared" si="45"/>
        <v>1</v>
      </c>
      <c r="H258" s="1435"/>
      <c r="I258" s="1428">
        <f t="shared" si="46"/>
        <v>1</v>
      </c>
      <c r="J258" s="1435"/>
      <c r="K258" s="1428">
        <f t="shared" si="47"/>
        <v>1</v>
      </c>
      <c r="L258" s="1435"/>
      <c r="M258" s="1428">
        <f t="shared" si="48"/>
        <v>1</v>
      </c>
      <c r="N258" s="1435"/>
      <c r="O258" s="1428">
        <f t="shared" si="49"/>
        <v>1</v>
      </c>
      <c r="P258" s="1435"/>
      <c r="Q258" s="1428">
        <f t="shared" si="50"/>
        <v>0</v>
      </c>
      <c r="R258" s="1488">
        <f t="shared" si="51"/>
        <v>0</v>
      </c>
      <c r="S258" s="1427">
        <f t="shared" si="52"/>
        <v>0</v>
      </c>
    </row>
    <row r="259" ht="13" spans="1:19">
      <c r="A259" s="1437"/>
      <c r="B259" s="1432"/>
      <c r="C259" s="1428">
        <f t="shared" si="43"/>
        <v>1</v>
      </c>
      <c r="D259" s="1435"/>
      <c r="E259" s="1428">
        <f t="shared" si="44"/>
        <v>1</v>
      </c>
      <c r="F259" s="1435"/>
      <c r="G259" s="1428">
        <f t="shared" si="45"/>
        <v>1</v>
      </c>
      <c r="H259" s="1435"/>
      <c r="I259" s="1428">
        <f t="shared" si="46"/>
        <v>1</v>
      </c>
      <c r="J259" s="1435"/>
      <c r="K259" s="1428">
        <f t="shared" si="47"/>
        <v>1</v>
      </c>
      <c r="L259" s="1435"/>
      <c r="M259" s="1428">
        <f t="shared" si="48"/>
        <v>1</v>
      </c>
      <c r="N259" s="1435"/>
      <c r="O259" s="1428">
        <f t="shared" si="49"/>
        <v>1</v>
      </c>
      <c r="P259" s="1435"/>
      <c r="Q259" s="1428">
        <f t="shared" si="50"/>
        <v>0</v>
      </c>
      <c r="R259" s="1488">
        <f t="shared" si="51"/>
        <v>0</v>
      </c>
      <c r="S259" s="1427">
        <f t="shared" si="52"/>
        <v>0</v>
      </c>
    </row>
    <row r="260" ht="13" spans="1:19">
      <c r="A260" s="1437"/>
      <c r="B260" s="1432"/>
      <c r="C260" s="1428">
        <f t="shared" si="43"/>
        <v>1</v>
      </c>
      <c r="D260" s="1435"/>
      <c r="E260" s="1428">
        <f t="shared" si="44"/>
        <v>1</v>
      </c>
      <c r="F260" s="1435"/>
      <c r="G260" s="1428">
        <f t="shared" si="45"/>
        <v>1</v>
      </c>
      <c r="H260" s="1435"/>
      <c r="I260" s="1428">
        <f t="shared" si="46"/>
        <v>1</v>
      </c>
      <c r="J260" s="1435"/>
      <c r="K260" s="1428">
        <f t="shared" si="47"/>
        <v>1</v>
      </c>
      <c r="L260" s="1435"/>
      <c r="M260" s="1428">
        <f t="shared" si="48"/>
        <v>1</v>
      </c>
      <c r="N260" s="1435"/>
      <c r="O260" s="1428">
        <f t="shared" si="49"/>
        <v>1</v>
      </c>
      <c r="P260" s="1435"/>
      <c r="Q260" s="1428">
        <f t="shared" si="50"/>
        <v>0</v>
      </c>
      <c r="R260" s="1488">
        <f t="shared" si="51"/>
        <v>0</v>
      </c>
      <c r="S260" s="1427">
        <f t="shared" si="52"/>
        <v>0</v>
      </c>
    </row>
    <row r="261" ht="13" spans="1:19">
      <c r="A261" s="1437"/>
      <c r="B261" s="1432"/>
      <c r="C261" s="1428">
        <f t="shared" si="43"/>
        <v>1</v>
      </c>
      <c r="D261" s="1435"/>
      <c r="E261" s="1428">
        <f t="shared" si="44"/>
        <v>1</v>
      </c>
      <c r="F261" s="1435"/>
      <c r="G261" s="1428">
        <f t="shared" si="45"/>
        <v>1</v>
      </c>
      <c r="H261" s="1435"/>
      <c r="I261" s="1428">
        <f t="shared" si="46"/>
        <v>1</v>
      </c>
      <c r="J261" s="1435"/>
      <c r="K261" s="1428">
        <f t="shared" si="47"/>
        <v>1</v>
      </c>
      <c r="L261" s="1435"/>
      <c r="M261" s="1428">
        <f t="shared" si="48"/>
        <v>1</v>
      </c>
      <c r="N261" s="1435"/>
      <c r="O261" s="1428">
        <f t="shared" si="49"/>
        <v>1</v>
      </c>
      <c r="P261" s="1435"/>
      <c r="Q261" s="1428">
        <f t="shared" si="50"/>
        <v>0</v>
      </c>
      <c r="R261" s="1488">
        <f t="shared" si="51"/>
        <v>0</v>
      </c>
      <c r="S261" s="1427">
        <f t="shared" si="52"/>
        <v>0</v>
      </c>
    </row>
    <row r="262" ht="13" spans="1:19">
      <c r="A262" s="1437"/>
      <c r="B262" s="1432"/>
      <c r="C262" s="1428">
        <f t="shared" si="43"/>
        <v>1</v>
      </c>
      <c r="D262" s="1435"/>
      <c r="E262" s="1428">
        <f t="shared" si="44"/>
        <v>1</v>
      </c>
      <c r="F262" s="1435"/>
      <c r="G262" s="1428">
        <f t="shared" si="45"/>
        <v>1</v>
      </c>
      <c r="H262" s="1435"/>
      <c r="I262" s="1428">
        <f t="shared" si="46"/>
        <v>1</v>
      </c>
      <c r="J262" s="1435"/>
      <c r="K262" s="1428">
        <f t="shared" si="47"/>
        <v>1</v>
      </c>
      <c r="L262" s="1435"/>
      <c r="M262" s="1428">
        <f t="shared" si="48"/>
        <v>1</v>
      </c>
      <c r="N262" s="1435"/>
      <c r="O262" s="1428">
        <f t="shared" si="49"/>
        <v>1</v>
      </c>
      <c r="P262" s="1435"/>
      <c r="Q262" s="1428">
        <f t="shared" si="50"/>
        <v>0</v>
      </c>
      <c r="R262" s="1488">
        <f t="shared" si="51"/>
        <v>0</v>
      </c>
      <c r="S262" s="1427">
        <f t="shared" si="52"/>
        <v>0</v>
      </c>
    </row>
    <row r="263" ht="13" spans="1:19">
      <c r="A263" s="1437"/>
      <c r="B263" s="1432"/>
      <c r="C263" s="1428">
        <f t="shared" si="43"/>
        <v>1</v>
      </c>
      <c r="D263" s="1435"/>
      <c r="E263" s="1428">
        <f t="shared" si="44"/>
        <v>1</v>
      </c>
      <c r="F263" s="1435"/>
      <c r="G263" s="1428">
        <f t="shared" si="45"/>
        <v>1</v>
      </c>
      <c r="H263" s="1435"/>
      <c r="I263" s="1428">
        <f t="shared" si="46"/>
        <v>1</v>
      </c>
      <c r="J263" s="1435"/>
      <c r="K263" s="1428">
        <f t="shared" si="47"/>
        <v>1</v>
      </c>
      <c r="L263" s="1435"/>
      <c r="M263" s="1428">
        <f t="shared" si="48"/>
        <v>1</v>
      </c>
      <c r="N263" s="1435"/>
      <c r="O263" s="1428">
        <f t="shared" si="49"/>
        <v>1</v>
      </c>
      <c r="P263" s="1435"/>
      <c r="Q263" s="1428">
        <f t="shared" si="50"/>
        <v>0</v>
      </c>
      <c r="R263" s="1488">
        <f t="shared" si="51"/>
        <v>0</v>
      </c>
      <c r="S263" s="1427">
        <f t="shared" si="52"/>
        <v>0</v>
      </c>
    </row>
    <row r="264" ht="13" spans="1:19">
      <c r="A264" s="1437"/>
      <c r="B264" s="1432"/>
      <c r="C264" s="1428">
        <f t="shared" si="43"/>
        <v>1</v>
      </c>
      <c r="D264" s="1435"/>
      <c r="E264" s="1428">
        <f t="shared" si="44"/>
        <v>1</v>
      </c>
      <c r="F264" s="1435"/>
      <c r="G264" s="1428">
        <f t="shared" si="45"/>
        <v>1</v>
      </c>
      <c r="H264" s="1435"/>
      <c r="I264" s="1428">
        <f t="shared" si="46"/>
        <v>1</v>
      </c>
      <c r="J264" s="1435"/>
      <c r="K264" s="1428">
        <f t="shared" si="47"/>
        <v>1</v>
      </c>
      <c r="L264" s="1435"/>
      <c r="M264" s="1428">
        <f t="shared" si="48"/>
        <v>1</v>
      </c>
      <c r="N264" s="1435"/>
      <c r="O264" s="1428">
        <f t="shared" si="49"/>
        <v>1</v>
      </c>
      <c r="P264" s="1435"/>
      <c r="Q264" s="1428">
        <f t="shared" si="50"/>
        <v>0</v>
      </c>
      <c r="R264" s="1488">
        <f t="shared" si="51"/>
        <v>0</v>
      </c>
      <c r="S264" s="1427">
        <f t="shared" si="52"/>
        <v>0</v>
      </c>
    </row>
    <row r="265" ht="13" spans="1:19">
      <c r="A265" s="1437"/>
      <c r="B265" s="1432"/>
      <c r="C265" s="1428">
        <f t="shared" si="43"/>
        <v>1</v>
      </c>
      <c r="D265" s="1435"/>
      <c r="E265" s="1428">
        <f t="shared" si="44"/>
        <v>1</v>
      </c>
      <c r="F265" s="1435"/>
      <c r="G265" s="1428">
        <f t="shared" si="45"/>
        <v>1</v>
      </c>
      <c r="H265" s="1435"/>
      <c r="I265" s="1428">
        <f t="shared" si="46"/>
        <v>1</v>
      </c>
      <c r="J265" s="1435"/>
      <c r="K265" s="1428">
        <f t="shared" si="47"/>
        <v>1</v>
      </c>
      <c r="L265" s="1435"/>
      <c r="M265" s="1428">
        <f t="shared" si="48"/>
        <v>1</v>
      </c>
      <c r="N265" s="1435"/>
      <c r="O265" s="1428">
        <f t="shared" si="49"/>
        <v>1</v>
      </c>
      <c r="P265" s="1435"/>
      <c r="Q265" s="1428">
        <f t="shared" si="50"/>
        <v>0</v>
      </c>
      <c r="R265" s="1488">
        <f t="shared" si="51"/>
        <v>0</v>
      </c>
      <c r="S265" s="1427">
        <f t="shared" si="52"/>
        <v>0</v>
      </c>
    </row>
    <row r="266" ht="13" spans="1:19">
      <c r="A266" s="1437"/>
      <c r="B266" s="1432"/>
      <c r="C266" s="1428">
        <f t="shared" si="43"/>
        <v>1</v>
      </c>
      <c r="D266" s="1435"/>
      <c r="E266" s="1428">
        <f t="shared" si="44"/>
        <v>1</v>
      </c>
      <c r="F266" s="1435"/>
      <c r="G266" s="1428">
        <f t="shared" si="45"/>
        <v>1</v>
      </c>
      <c r="H266" s="1435"/>
      <c r="I266" s="1428">
        <f t="shared" si="46"/>
        <v>1</v>
      </c>
      <c r="J266" s="1435"/>
      <c r="K266" s="1428">
        <f t="shared" si="47"/>
        <v>1</v>
      </c>
      <c r="L266" s="1435"/>
      <c r="M266" s="1428">
        <f t="shared" si="48"/>
        <v>1</v>
      </c>
      <c r="N266" s="1435"/>
      <c r="O266" s="1428">
        <f t="shared" si="49"/>
        <v>1</v>
      </c>
      <c r="P266" s="1435"/>
      <c r="Q266" s="1428">
        <f t="shared" si="50"/>
        <v>0</v>
      </c>
      <c r="R266" s="1488">
        <f t="shared" si="51"/>
        <v>0</v>
      </c>
      <c r="S266" s="1427">
        <f t="shared" si="52"/>
        <v>0</v>
      </c>
    </row>
    <row r="267" ht="13" spans="1:19">
      <c r="A267" s="1437"/>
      <c r="B267" s="1432"/>
      <c r="C267" s="1428">
        <f t="shared" si="43"/>
        <v>1</v>
      </c>
      <c r="D267" s="1435"/>
      <c r="E267" s="1428">
        <f t="shared" si="44"/>
        <v>1</v>
      </c>
      <c r="F267" s="1435"/>
      <c r="G267" s="1428">
        <f t="shared" si="45"/>
        <v>1</v>
      </c>
      <c r="H267" s="1435"/>
      <c r="I267" s="1428">
        <f t="shared" si="46"/>
        <v>1</v>
      </c>
      <c r="J267" s="1435"/>
      <c r="K267" s="1428">
        <f t="shared" si="47"/>
        <v>1</v>
      </c>
      <c r="L267" s="1435"/>
      <c r="M267" s="1428">
        <f t="shared" si="48"/>
        <v>1</v>
      </c>
      <c r="N267" s="1435"/>
      <c r="O267" s="1428">
        <f t="shared" si="49"/>
        <v>1</v>
      </c>
      <c r="P267" s="1435"/>
      <c r="Q267" s="1428">
        <f t="shared" si="50"/>
        <v>0</v>
      </c>
      <c r="R267" s="1488">
        <f t="shared" si="51"/>
        <v>0</v>
      </c>
      <c r="S267" s="1427">
        <f t="shared" si="52"/>
        <v>0</v>
      </c>
    </row>
    <row r="268" ht="13" spans="1:19">
      <c r="A268" s="1437"/>
      <c r="B268" s="1432"/>
      <c r="C268" s="1428">
        <f t="shared" si="43"/>
        <v>1</v>
      </c>
      <c r="D268" s="1435"/>
      <c r="E268" s="1428">
        <f t="shared" si="44"/>
        <v>1</v>
      </c>
      <c r="F268" s="1435"/>
      <c r="G268" s="1428">
        <f t="shared" si="45"/>
        <v>1</v>
      </c>
      <c r="H268" s="1435"/>
      <c r="I268" s="1428">
        <f t="shared" si="46"/>
        <v>1</v>
      </c>
      <c r="J268" s="1435"/>
      <c r="K268" s="1428">
        <f t="shared" si="47"/>
        <v>1</v>
      </c>
      <c r="L268" s="1435"/>
      <c r="M268" s="1428">
        <f t="shared" si="48"/>
        <v>1</v>
      </c>
      <c r="N268" s="1435"/>
      <c r="O268" s="1428">
        <f t="shared" si="49"/>
        <v>1</v>
      </c>
      <c r="P268" s="1435"/>
      <c r="Q268" s="1428">
        <f t="shared" si="50"/>
        <v>0</v>
      </c>
      <c r="R268" s="1488">
        <f t="shared" si="51"/>
        <v>0</v>
      </c>
      <c r="S268" s="1427">
        <f t="shared" si="52"/>
        <v>0</v>
      </c>
    </row>
    <row r="269" ht="13" spans="1:19">
      <c r="A269" s="1437"/>
      <c r="B269" s="1432"/>
      <c r="C269" s="1428">
        <f t="shared" si="43"/>
        <v>1</v>
      </c>
      <c r="D269" s="1435"/>
      <c r="E269" s="1428">
        <f t="shared" si="44"/>
        <v>1</v>
      </c>
      <c r="F269" s="1435"/>
      <c r="G269" s="1428">
        <f t="shared" si="45"/>
        <v>1</v>
      </c>
      <c r="H269" s="1435"/>
      <c r="I269" s="1428">
        <f t="shared" si="46"/>
        <v>1</v>
      </c>
      <c r="J269" s="1435"/>
      <c r="K269" s="1428">
        <f t="shared" si="47"/>
        <v>1</v>
      </c>
      <c r="L269" s="1435"/>
      <c r="M269" s="1428">
        <f t="shared" si="48"/>
        <v>1</v>
      </c>
      <c r="N269" s="1435"/>
      <c r="O269" s="1428">
        <f t="shared" si="49"/>
        <v>1</v>
      </c>
      <c r="P269" s="1435"/>
      <c r="Q269" s="1428">
        <f t="shared" si="50"/>
        <v>0</v>
      </c>
      <c r="R269" s="1488">
        <f t="shared" si="51"/>
        <v>0</v>
      </c>
      <c r="S269" s="1427">
        <f t="shared" si="52"/>
        <v>0</v>
      </c>
    </row>
    <row r="270" ht="13" spans="1:19">
      <c r="A270" s="1437"/>
      <c r="B270" s="1432"/>
      <c r="C270" s="1428">
        <f t="shared" si="43"/>
        <v>1</v>
      </c>
      <c r="D270" s="1435"/>
      <c r="E270" s="1428">
        <f t="shared" si="44"/>
        <v>1</v>
      </c>
      <c r="F270" s="1435"/>
      <c r="G270" s="1428">
        <f t="shared" si="45"/>
        <v>1</v>
      </c>
      <c r="H270" s="1435"/>
      <c r="I270" s="1428">
        <f t="shared" si="46"/>
        <v>1</v>
      </c>
      <c r="J270" s="1435"/>
      <c r="K270" s="1428">
        <f t="shared" si="47"/>
        <v>1</v>
      </c>
      <c r="L270" s="1435"/>
      <c r="M270" s="1428">
        <f t="shared" si="48"/>
        <v>1</v>
      </c>
      <c r="N270" s="1435"/>
      <c r="O270" s="1428">
        <f t="shared" si="49"/>
        <v>1</v>
      </c>
      <c r="P270" s="1435"/>
      <c r="Q270" s="1428">
        <f t="shared" si="50"/>
        <v>0</v>
      </c>
      <c r="R270" s="1488">
        <f t="shared" si="51"/>
        <v>0</v>
      </c>
      <c r="S270" s="1427">
        <f t="shared" si="52"/>
        <v>0</v>
      </c>
    </row>
    <row r="271" ht="13" spans="1:19">
      <c r="A271" s="1437"/>
      <c r="B271" s="1432"/>
      <c r="C271" s="1428">
        <f t="shared" si="43"/>
        <v>1</v>
      </c>
      <c r="D271" s="1435"/>
      <c r="E271" s="1428">
        <f t="shared" si="44"/>
        <v>1</v>
      </c>
      <c r="F271" s="1435"/>
      <c r="G271" s="1428">
        <f t="shared" si="45"/>
        <v>1</v>
      </c>
      <c r="H271" s="1435"/>
      <c r="I271" s="1428">
        <f t="shared" si="46"/>
        <v>1</v>
      </c>
      <c r="J271" s="1435"/>
      <c r="K271" s="1428">
        <f t="shared" si="47"/>
        <v>1</v>
      </c>
      <c r="L271" s="1435"/>
      <c r="M271" s="1428">
        <f t="shared" si="48"/>
        <v>1</v>
      </c>
      <c r="N271" s="1435"/>
      <c r="O271" s="1428">
        <f t="shared" si="49"/>
        <v>1</v>
      </c>
      <c r="P271" s="1435"/>
      <c r="Q271" s="1428">
        <f t="shared" si="50"/>
        <v>0</v>
      </c>
      <c r="R271" s="1488">
        <f t="shared" si="51"/>
        <v>0</v>
      </c>
      <c r="S271" s="1427">
        <f t="shared" si="52"/>
        <v>0</v>
      </c>
    </row>
    <row r="272" ht="13" spans="1:19">
      <c r="A272" s="1437"/>
      <c r="B272" s="1432"/>
      <c r="C272" s="1428">
        <f t="shared" si="43"/>
        <v>1</v>
      </c>
      <c r="D272" s="1435"/>
      <c r="E272" s="1428">
        <f t="shared" si="44"/>
        <v>1</v>
      </c>
      <c r="F272" s="1435"/>
      <c r="G272" s="1428">
        <f t="shared" si="45"/>
        <v>1</v>
      </c>
      <c r="H272" s="1435"/>
      <c r="I272" s="1428">
        <f t="shared" si="46"/>
        <v>1</v>
      </c>
      <c r="J272" s="1435"/>
      <c r="K272" s="1428">
        <f t="shared" si="47"/>
        <v>1</v>
      </c>
      <c r="L272" s="1435"/>
      <c r="M272" s="1428">
        <f t="shared" si="48"/>
        <v>1</v>
      </c>
      <c r="N272" s="1435"/>
      <c r="O272" s="1428">
        <f t="shared" si="49"/>
        <v>1</v>
      </c>
      <c r="P272" s="1435"/>
      <c r="Q272" s="1428">
        <f t="shared" si="50"/>
        <v>0</v>
      </c>
      <c r="R272" s="1488">
        <f t="shared" si="51"/>
        <v>0</v>
      </c>
      <c r="S272" s="1427">
        <f t="shared" si="52"/>
        <v>0</v>
      </c>
    </row>
    <row r="273" ht="13" spans="1:19">
      <c r="A273" s="1437"/>
      <c r="B273" s="1432"/>
      <c r="C273" s="1428">
        <f t="shared" si="43"/>
        <v>1</v>
      </c>
      <c r="D273" s="1435"/>
      <c r="E273" s="1428">
        <f t="shared" si="44"/>
        <v>1</v>
      </c>
      <c r="F273" s="1435"/>
      <c r="G273" s="1428">
        <f t="shared" si="45"/>
        <v>1</v>
      </c>
      <c r="H273" s="1435"/>
      <c r="I273" s="1428">
        <f t="shared" si="46"/>
        <v>1</v>
      </c>
      <c r="J273" s="1435"/>
      <c r="K273" s="1428">
        <f t="shared" si="47"/>
        <v>1</v>
      </c>
      <c r="L273" s="1435"/>
      <c r="M273" s="1428">
        <f t="shared" si="48"/>
        <v>1</v>
      </c>
      <c r="N273" s="1435"/>
      <c r="O273" s="1428">
        <f t="shared" si="49"/>
        <v>1</v>
      </c>
      <c r="P273" s="1435"/>
      <c r="Q273" s="1428">
        <f t="shared" si="50"/>
        <v>0</v>
      </c>
      <c r="R273" s="1488">
        <f t="shared" si="51"/>
        <v>0</v>
      </c>
      <c r="S273" s="1427">
        <f t="shared" si="52"/>
        <v>0</v>
      </c>
    </row>
    <row r="274" ht="13" spans="1:19">
      <c r="A274" s="1437"/>
      <c r="B274" s="1432"/>
      <c r="C274" s="1428">
        <f t="shared" si="43"/>
        <v>1</v>
      </c>
      <c r="D274" s="1435"/>
      <c r="E274" s="1428">
        <f t="shared" si="44"/>
        <v>1</v>
      </c>
      <c r="F274" s="1435"/>
      <c r="G274" s="1428">
        <f t="shared" si="45"/>
        <v>1</v>
      </c>
      <c r="H274" s="1435"/>
      <c r="I274" s="1428">
        <f t="shared" si="46"/>
        <v>1</v>
      </c>
      <c r="J274" s="1435"/>
      <c r="K274" s="1428">
        <f t="shared" si="47"/>
        <v>1</v>
      </c>
      <c r="L274" s="1435"/>
      <c r="M274" s="1428">
        <f t="shared" si="48"/>
        <v>1</v>
      </c>
      <c r="N274" s="1435"/>
      <c r="O274" s="1428">
        <f t="shared" si="49"/>
        <v>1</v>
      </c>
      <c r="P274" s="1435"/>
      <c r="Q274" s="1428">
        <f t="shared" si="50"/>
        <v>0</v>
      </c>
      <c r="R274" s="1488">
        <f t="shared" si="51"/>
        <v>0</v>
      </c>
      <c r="S274" s="1427">
        <f t="shared" si="52"/>
        <v>0</v>
      </c>
    </row>
    <row r="275" ht="13" spans="1:19">
      <c r="A275" s="1437"/>
      <c r="B275" s="1432"/>
      <c r="C275" s="1428">
        <f t="shared" si="43"/>
        <v>1</v>
      </c>
      <c r="D275" s="1435"/>
      <c r="E275" s="1428">
        <f t="shared" si="44"/>
        <v>1</v>
      </c>
      <c r="F275" s="1435"/>
      <c r="G275" s="1428">
        <f t="shared" si="45"/>
        <v>1</v>
      </c>
      <c r="H275" s="1435"/>
      <c r="I275" s="1428">
        <f t="shared" si="46"/>
        <v>1</v>
      </c>
      <c r="J275" s="1435"/>
      <c r="K275" s="1428">
        <f t="shared" si="47"/>
        <v>1</v>
      </c>
      <c r="L275" s="1435"/>
      <c r="M275" s="1428">
        <f t="shared" si="48"/>
        <v>1</v>
      </c>
      <c r="N275" s="1435"/>
      <c r="O275" s="1428">
        <f t="shared" si="49"/>
        <v>1</v>
      </c>
      <c r="P275" s="1435"/>
      <c r="Q275" s="1428">
        <f t="shared" si="50"/>
        <v>0</v>
      </c>
      <c r="R275" s="1488">
        <f t="shared" si="51"/>
        <v>0</v>
      </c>
      <c r="S275" s="1427">
        <f t="shared" si="52"/>
        <v>0</v>
      </c>
    </row>
    <row r="276" ht="13" spans="1:19">
      <c r="A276" s="1437"/>
      <c r="B276" s="1432"/>
      <c r="C276" s="1428">
        <f t="shared" si="43"/>
        <v>1</v>
      </c>
      <c r="D276" s="1435"/>
      <c r="E276" s="1428">
        <f t="shared" si="44"/>
        <v>1</v>
      </c>
      <c r="F276" s="1435"/>
      <c r="G276" s="1428">
        <f t="shared" si="45"/>
        <v>1</v>
      </c>
      <c r="H276" s="1435"/>
      <c r="I276" s="1428">
        <f t="shared" si="46"/>
        <v>1</v>
      </c>
      <c r="J276" s="1435"/>
      <c r="K276" s="1428">
        <f t="shared" si="47"/>
        <v>1</v>
      </c>
      <c r="L276" s="1435"/>
      <c r="M276" s="1428">
        <f t="shared" si="48"/>
        <v>1</v>
      </c>
      <c r="N276" s="1435"/>
      <c r="O276" s="1428">
        <f t="shared" si="49"/>
        <v>1</v>
      </c>
      <c r="P276" s="1435"/>
      <c r="Q276" s="1428">
        <f t="shared" si="50"/>
        <v>0</v>
      </c>
      <c r="R276" s="1488">
        <f t="shared" si="51"/>
        <v>0</v>
      </c>
      <c r="S276" s="1427">
        <f t="shared" si="52"/>
        <v>0</v>
      </c>
    </row>
    <row r="277" ht="13" spans="1:19">
      <c r="A277" s="1437"/>
      <c r="B277" s="1432"/>
      <c r="C277" s="1428">
        <f t="shared" si="43"/>
        <v>1</v>
      </c>
      <c r="D277" s="1435"/>
      <c r="E277" s="1428">
        <f t="shared" si="44"/>
        <v>1</v>
      </c>
      <c r="F277" s="1435"/>
      <c r="G277" s="1428">
        <f t="shared" si="45"/>
        <v>1</v>
      </c>
      <c r="H277" s="1435"/>
      <c r="I277" s="1428">
        <f t="shared" si="46"/>
        <v>1</v>
      </c>
      <c r="J277" s="1435"/>
      <c r="K277" s="1428">
        <f t="shared" si="47"/>
        <v>1</v>
      </c>
      <c r="L277" s="1435"/>
      <c r="M277" s="1428">
        <f t="shared" si="48"/>
        <v>1</v>
      </c>
      <c r="N277" s="1435"/>
      <c r="O277" s="1428">
        <f t="shared" si="49"/>
        <v>1</v>
      </c>
      <c r="P277" s="1435"/>
      <c r="Q277" s="1428">
        <f t="shared" si="50"/>
        <v>0</v>
      </c>
      <c r="R277" s="1488">
        <f t="shared" si="51"/>
        <v>0</v>
      </c>
      <c r="S277" s="1427">
        <f t="shared" si="52"/>
        <v>0</v>
      </c>
    </row>
    <row r="278" ht="13" spans="1:19">
      <c r="A278" s="1437"/>
      <c r="B278" s="1432"/>
      <c r="C278" s="1428">
        <f t="shared" si="43"/>
        <v>1</v>
      </c>
      <c r="D278" s="1435"/>
      <c r="E278" s="1428">
        <f t="shared" si="44"/>
        <v>1</v>
      </c>
      <c r="F278" s="1435"/>
      <c r="G278" s="1428">
        <f t="shared" si="45"/>
        <v>1</v>
      </c>
      <c r="H278" s="1435"/>
      <c r="I278" s="1428">
        <f t="shared" si="46"/>
        <v>1</v>
      </c>
      <c r="J278" s="1435"/>
      <c r="K278" s="1428">
        <f t="shared" si="47"/>
        <v>1</v>
      </c>
      <c r="L278" s="1435"/>
      <c r="M278" s="1428">
        <f t="shared" si="48"/>
        <v>1</v>
      </c>
      <c r="N278" s="1435"/>
      <c r="O278" s="1428">
        <f t="shared" si="49"/>
        <v>1</v>
      </c>
      <c r="P278" s="1435"/>
      <c r="Q278" s="1428">
        <f t="shared" si="50"/>
        <v>0</v>
      </c>
      <c r="R278" s="1488">
        <f t="shared" si="51"/>
        <v>0</v>
      </c>
      <c r="S278" s="1427">
        <f t="shared" si="52"/>
        <v>0</v>
      </c>
    </row>
    <row r="279" ht="13" spans="1:19">
      <c r="A279" s="1437"/>
      <c r="B279" s="1432"/>
      <c r="C279" s="1428">
        <f t="shared" si="43"/>
        <v>1</v>
      </c>
      <c r="D279" s="1435"/>
      <c r="E279" s="1428">
        <f t="shared" si="44"/>
        <v>1</v>
      </c>
      <c r="F279" s="1435"/>
      <c r="G279" s="1428">
        <f t="shared" si="45"/>
        <v>1</v>
      </c>
      <c r="H279" s="1435"/>
      <c r="I279" s="1428">
        <f t="shared" si="46"/>
        <v>1</v>
      </c>
      <c r="J279" s="1435"/>
      <c r="K279" s="1428">
        <f t="shared" si="47"/>
        <v>1</v>
      </c>
      <c r="L279" s="1435"/>
      <c r="M279" s="1428">
        <f t="shared" si="48"/>
        <v>1</v>
      </c>
      <c r="N279" s="1435"/>
      <c r="O279" s="1428">
        <f t="shared" si="49"/>
        <v>1</v>
      </c>
      <c r="P279" s="1435"/>
      <c r="Q279" s="1428">
        <f t="shared" si="50"/>
        <v>0</v>
      </c>
      <c r="R279" s="1488">
        <f t="shared" si="51"/>
        <v>0</v>
      </c>
      <c r="S279" s="1427">
        <f t="shared" si="52"/>
        <v>0</v>
      </c>
    </row>
    <row r="280" ht="13" spans="1:19">
      <c r="A280" s="1437"/>
      <c r="B280" s="1432"/>
      <c r="C280" s="1428">
        <f t="shared" si="43"/>
        <v>1</v>
      </c>
      <c r="D280" s="1435"/>
      <c r="E280" s="1428">
        <f t="shared" si="44"/>
        <v>1</v>
      </c>
      <c r="F280" s="1435"/>
      <c r="G280" s="1428">
        <f t="shared" si="45"/>
        <v>1</v>
      </c>
      <c r="H280" s="1435"/>
      <c r="I280" s="1428">
        <f t="shared" si="46"/>
        <v>1</v>
      </c>
      <c r="J280" s="1435"/>
      <c r="K280" s="1428">
        <f t="shared" si="47"/>
        <v>1</v>
      </c>
      <c r="L280" s="1435"/>
      <c r="M280" s="1428">
        <f t="shared" si="48"/>
        <v>1</v>
      </c>
      <c r="N280" s="1435"/>
      <c r="O280" s="1428">
        <f t="shared" si="49"/>
        <v>1</v>
      </c>
      <c r="P280" s="1435"/>
      <c r="Q280" s="1428">
        <f t="shared" si="50"/>
        <v>0</v>
      </c>
      <c r="R280" s="1488">
        <f t="shared" si="51"/>
        <v>0</v>
      </c>
      <c r="S280" s="1427">
        <f t="shared" si="52"/>
        <v>0</v>
      </c>
    </row>
    <row r="281" ht="13" spans="1:19">
      <c r="A281" s="1437"/>
      <c r="B281" s="1432"/>
      <c r="C281" s="1428">
        <f t="shared" si="43"/>
        <v>1</v>
      </c>
      <c r="D281" s="1435"/>
      <c r="E281" s="1428">
        <f t="shared" si="44"/>
        <v>1</v>
      </c>
      <c r="F281" s="1435"/>
      <c r="G281" s="1428">
        <f t="shared" si="45"/>
        <v>1</v>
      </c>
      <c r="H281" s="1435"/>
      <c r="I281" s="1428">
        <f t="shared" si="46"/>
        <v>1</v>
      </c>
      <c r="J281" s="1435"/>
      <c r="K281" s="1428">
        <f t="shared" si="47"/>
        <v>1</v>
      </c>
      <c r="L281" s="1435"/>
      <c r="M281" s="1428">
        <f t="shared" si="48"/>
        <v>1</v>
      </c>
      <c r="N281" s="1435"/>
      <c r="O281" s="1428">
        <f t="shared" si="49"/>
        <v>1</v>
      </c>
      <c r="P281" s="1435"/>
      <c r="Q281" s="1428">
        <f t="shared" si="50"/>
        <v>0</v>
      </c>
      <c r="R281" s="1488">
        <f t="shared" si="51"/>
        <v>0</v>
      </c>
      <c r="S281" s="1427">
        <f t="shared" si="52"/>
        <v>0</v>
      </c>
    </row>
    <row r="282" ht="13" spans="1:19">
      <c r="A282" s="1437"/>
      <c r="B282" s="1432"/>
      <c r="C282" s="1428">
        <f t="shared" ref="C282:C345" si="53">IF(B282="",1,(LOOKUP(B282,$3:$3,$4:$4)-LOOKUP($B$24,$3:$3,$4:$4)+100)/100)</f>
        <v>1</v>
      </c>
      <c r="D282" s="1435"/>
      <c r="E282" s="1428">
        <f t="shared" ref="E282:E345" si="54">(SUMIF($5:$5,D282,$6:$6)-SUMIF($5:$5,$D$24,$6:$6)+100)/100</f>
        <v>1</v>
      </c>
      <c r="F282" s="1435"/>
      <c r="G282" s="1428">
        <f t="shared" ref="G282:G345" si="55">(SUMIF($7:$7,F282,$8:$8)-SUMIF($7:$7,$F$24,$8:$8)+100)/100</f>
        <v>1</v>
      </c>
      <c r="H282" s="1435"/>
      <c r="I282" s="1428">
        <f t="shared" ref="I282:I345" si="56">(SUMIF($9:$9,H282,$10:$10)-SUMIF($9:$9,$H$24,$10:$10)+100)/100</f>
        <v>1</v>
      </c>
      <c r="J282" s="1435"/>
      <c r="K282" s="1428">
        <f t="shared" ref="K282:K345" si="57">(SUMIF($11:$11,J282,$12:$12)-SUMIF($11:$11,$J$24,$12:$12)+100)/100</f>
        <v>1</v>
      </c>
      <c r="L282" s="1435"/>
      <c r="M282" s="1428">
        <f t="shared" ref="M282:M345" si="58">(SUMIF($13:$13,L282,$14:$14)-SUMIF($13:$13,$L$24,$14:$14)+100)/100</f>
        <v>1</v>
      </c>
      <c r="N282" s="1435"/>
      <c r="O282" s="1428">
        <f t="shared" ref="O282:O345" si="59">(SUMIF($15:$15,N282,$16:$16)-SUMIF($15:$15,$N$24,$16:$16)+100)/100</f>
        <v>1</v>
      </c>
      <c r="P282" s="1435"/>
      <c r="Q282" s="1428">
        <f t="shared" ref="Q282:Q345" si="60">(SUMIF($17:$17,P282,$18:$18)-SUMIF($17:$17,$P$24,$18:$18)+100)/100</f>
        <v>0</v>
      </c>
      <c r="R282" s="1488">
        <f t="shared" ref="R282:R345" si="61">IF(B282="",0,ROUND($R$24*C282*E282*G282*I282*K282*M282*O282*Q282,0))</f>
        <v>0</v>
      </c>
      <c r="S282" s="1427">
        <f t="shared" si="52"/>
        <v>0</v>
      </c>
    </row>
    <row r="283" ht="13" spans="1:19">
      <c r="A283" s="1437"/>
      <c r="B283" s="1432"/>
      <c r="C283" s="1428">
        <f t="shared" si="53"/>
        <v>1</v>
      </c>
      <c r="D283" s="1435"/>
      <c r="E283" s="1428">
        <f t="shared" si="54"/>
        <v>1</v>
      </c>
      <c r="F283" s="1435"/>
      <c r="G283" s="1428">
        <f t="shared" si="55"/>
        <v>1</v>
      </c>
      <c r="H283" s="1435"/>
      <c r="I283" s="1428">
        <f t="shared" si="56"/>
        <v>1</v>
      </c>
      <c r="J283" s="1435"/>
      <c r="K283" s="1428">
        <f t="shared" si="57"/>
        <v>1</v>
      </c>
      <c r="L283" s="1435"/>
      <c r="M283" s="1428">
        <f t="shared" si="58"/>
        <v>1</v>
      </c>
      <c r="N283" s="1435"/>
      <c r="O283" s="1428">
        <f t="shared" si="59"/>
        <v>1</v>
      </c>
      <c r="P283" s="1435"/>
      <c r="Q283" s="1428">
        <f t="shared" si="60"/>
        <v>0</v>
      </c>
      <c r="R283" s="1488">
        <f t="shared" si="61"/>
        <v>0</v>
      </c>
      <c r="S283" s="1427">
        <f t="shared" si="52"/>
        <v>0</v>
      </c>
    </row>
    <row r="284" ht="13" spans="1:19">
      <c r="A284" s="1437"/>
      <c r="B284" s="1432"/>
      <c r="C284" s="1428">
        <f t="shared" si="53"/>
        <v>1</v>
      </c>
      <c r="D284" s="1435"/>
      <c r="E284" s="1428">
        <f t="shared" si="54"/>
        <v>1</v>
      </c>
      <c r="F284" s="1435"/>
      <c r="G284" s="1428">
        <f t="shared" si="55"/>
        <v>1</v>
      </c>
      <c r="H284" s="1435"/>
      <c r="I284" s="1428">
        <f t="shared" si="56"/>
        <v>1</v>
      </c>
      <c r="J284" s="1435"/>
      <c r="K284" s="1428">
        <f t="shared" si="57"/>
        <v>1</v>
      </c>
      <c r="L284" s="1435"/>
      <c r="M284" s="1428">
        <f t="shared" si="58"/>
        <v>1</v>
      </c>
      <c r="N284" s="1435"/>
      <c r="O284" s="1428">
        <f t="shared" si="59"/>
        <v>1</v>
      </c>
      <c r="P284" s="1435"/>
      <c r="Q284" s="1428">
        <f t="shared" si="60"/>
        <v>0</v>
      </c>
      <c r="R284" s="1488">
        <f t="shared" si="61"/>
        <v>0</v>
      </c>
      <c r="S284" s="1427">
        <f t="shared" si="52"/>
        <v>0</v>
      </c>
    </row>
    <row r="285" ht="13" spans="1:19">
      <c r="A285" s="1437"/>
      <c r="B285" s="1432"/>
      <c r="C285" s="1428">
        <f t="shared" si="53"/>
        <v>1</v>
      </c>
      <c r="D285" s="1435"/>
      <c r="E285" s="1428">
        <f t="shared" si="54"/>
        <v>1</v>
      </c>
      <c r="F285" s="1435"/>
      <c r="G285" s="1428">
        <f t="shared" si="55"/>
        <v>1</v>
      </c>
      <c r="H285" s="1435"/>
      <c r="I285" s="1428">
        <f t="shared" si="56"/>
        <v>1</v>
      </c>
      <c r="J285" s="1435"/>
      <c r="K285" s="1428">
        <f t="shared" si="57"/>
        <v>1</v>
      </c>
      <c r="L285" s="1435"/>
      <c r="M285" s="1428">
        <f t="shared" si="58"/>
        <v>1</v>
      </c>
      <c r="N285" s="1435"/>
      <c r="O285" s="1428">
        <f t="shared" si="59"/>
        <v>1</v>
      </c>
      <c r="P285" s="1435"/>
      <c r="Q285" s="1428">
        <f t="shared" si="60"/>
        <v>0</v>
      </c>
      <c r="R285" s="1488">
        <f t="shared" si="61"/>
        <v>0</v>
      </c>
      <c r="S285" s="1427">
        <f t="shared" si="52"/>
        <v>0</v>
      </c>
    </row>
    <row r="286" ht="13" spans="1:19">
      <c r="A286" s="1437"/>
      <c r="B286" s="1432"/>
      <c r="C286" s="1428">
        <f t="shared" si="53"/>
        <v>1</v>
      </c>
      <c r="D286" s="1435"/>
      <c r="E286" s="1428">
        <f t="shared" si="54"/>
        <v>1</v>
      </c>
      <c r="F286" s="1435"/>
      <c r="G286" s="1428">
        <f t="shared" si="55"/>
        <v>1</v>
      </c>
      <c r="H286" s="1435"/>
      <c r="I286" s="1428">
        <f t="shared" si="56"/>
        <v>1</v>
      </c>
      <c r="J286" s="1435"/>
      <c r="K286" s="1428">
        <f t="shared" si="57"/>
        <v>1</v>
      </c>
      <c r="L286" s="1435"/>
      <c r="M286" s="1428">
        <f t="shared" si="58"/>
        <v>1</v>
      </c>
      <c r="N286" s="1435"/>
      <c r="O286" s="1428">
        <f t="shared" si="59"/>
        <v>1</v>
      </c>
      <c r="P286" s="1435"/>
      <c r="Q286" s="1428">
        <f t="shared" si="60"/>
        <v>0</v>
      </c>
      <c r="R286" s="1488">
        <f t="shared" si="61"/>
        <v>0</v>
      </c>
      <c r="S286" s="1427">
        <f t="shared" si="52"/>
        <v>0</v>
      </c>
    </row>
    <row r="287" ht="13" spans="1:19">
      <c r="A287" s="1437"/>
      <c r="B287" s="1432"/>
      <c r="C287" s="1428">
        <f t="shared" si="53"/>
        <v>1</v>
      </c>
      <c r="D287" s="1435"/>
      <c r="E287" s="1428">
        <f t="shared" si="54"/>
        <v>1</v>
      </c>
      <c r="F287" s="1435"/>
      <c r="G287" s="1428">
        <f t="shared" si="55"/>
        <v>1</v>
      </c>
      <c r="H287" s="1435"/>
      <c r="I287" s="1428">
        <f t="shared" si="56"/>
        <v>1</v>
      </c>
      <c r="J287" s="1435"/>
      <c r="K287" s="1428">
        <f t="shared" si="57"/>
        <v>1</v>
      </c>
      <c r="L287" s="1435"/>
      <c r="M287" s="1428">
        <f t="shared" si="58"/>
        <v>1</v>
      </c>
      <c r="N287" s="1435"/>
      <c r="O287" s="1428">
        <f t="shared" si="59"/>
        <v>1</v>
      </c>
      <c r="P287" s="1435"/>
      <c r="Q287" s="1428">
        <f t="shared" si="60"/>
        <v>0</v>
      </c>
      <c r="R287" s="1488">
        <f t="shared" si="61"/>
        <v>0</v>
      </c>
      <c r="S287" s="1427">
        <f t="shared" ref="S287:S320" si="62">ROUND(R287*B287/10000,0)</f>
        <v>0</v>
      </c>
    </row>
    <row r="288" ht="13" spans="1:19">
      <c r="A288" s="1437"/>
      <c r="B288" s="1432"/>
      <c r="C288" s="1428">
        <f t="shared" si="53"/>
        <v>1</v>
      </c>
      <c r="D288" s="1435"/>
      <c r="E288" s="1428">
        <f t="shared" si="54"/>
        <v>1</v>
      </c>
      <c r="F288" s="1435"/>
      <c r="G288" s="1428">
        <f t="shared" si="55"/>
        <v>1</v>
      </c>
      <c r="H288" s="1435"/>
      <c r="I288" s="1428">
        <f t="shared" si="56"/>
        <v>1</v>
      </c>
      <c r="J288" s="1435"/>
      <c r="K288" s="1428">
        <f t="shared" si="57"/>
        <v>1</v>
      </c>
      <c r="L288" s="1435"/>
      <c r="M288" s="1428">
        <f t="shared" si="58"/>
        <v>1</v>
      </c>
      <c r="N288" s="1435"/>
      <c r="O288" s="1428">
        <f t="shared" si="59"/>
        <v>1</v>
      </c>
      <c r="P288" s="1435"/>
      <c r="Q288" s="1428">
        <f t="shared" si="60"/>
        <v>0</v>
      </c>
      <c r="R288" s="1488">
        <f t="shared" si="61"/>
        <v>0</v>
      </c>
      <c r="S288" s="1427">
        <f t="shared" si="62"/>
        <v>0</v>
      </c>
    </row>
    <row r="289" ht="13" spans="1:19">
      <c r="A289" s="1437"/>
      <c r="B289" s="1432"/>
      <c r="C289" s="1428">
        <f t="shared" si="53"/>
        <v>1</v>
      </c>
      <c r="D289" s="1435"/>
      <c r="E289" s="1428">
        <f t="shared" si="54"/>
        <v>1</v>
      </c>
      <c r="F289" s="1435"/>
      <c r="G289" s="1428">
        <f t="shared" si="55"/>
        <v>1</v>
      </c>
      <c r="H289" s="1435"/>
      <c r="I289" s="1428">
        <f t="shared" si="56"/>
        <v>1</v>
      </c>
      <c r="J289" s="1435"/>
      <c r="K289" s="1428">
        <f t="shared" si="57"/>
        <v>1</v>
      </c>
      <c r="L289" s="1435"/>
      <c r="M289" s="1428">
        <f t="shared" si="58"/>
        <v>1</v>
      </c>
      <c r="N289" s="1435"/>
      <c r="O289" s="1428">
        <f t="shared" si="59"/>
        <v>1</v>
      </c>
      <c r="P289" s="1435"/>
      <c r="Q289" s="1428">
        <f t="shared" si="60"/>
        <v>0</v>
      </c>
      <c r="R289" s="1488">
        <f t="shared" si="61"/>
        <v>0</v>
      </c>
      <c r="S289" s="1427">
        <f t="shared" si="62"/>
        <v>0</v>
      </c>
    </row>
    <row r="290" ht="13" spans="1:19">
      <c r="A290" s="1437"/>
      <c r="B290" s="1432"/>
      <c r="C290" s="1428">
        <f t="shared" si="53"/>
        <v>1</v>
      </c>
      <c r="D290" s="1435"/>
      <c r="E290" s="1428">
        <f t="shared" si="54"/>
        <v>1</v>
      </c>
      <c r="F290" s="1435"/>
      <c r="G290" s="1428">
        <f t="shared" si="55"/>
        <v>1</v>
      </c>
      <c r="H290" s="1435"/>
      <c r="I290" s="1428">
        <f t="shared" si="56"/>
        <v>1</v>
      </c>
      <c r="J290" s="1435"/>
      <c r="K290" s="1428">
        <f t="shared" si="57"/>
        <v>1</v>
      </c>
      <c r="L290" s="1435"/>
      <c r="M290" s="1428">
        <f t="shared" si="58"/>
        <v>1</v>
      </c>
      <c r="N290" s="1435"/>
      <c r="O290" s="1428">
        <f t="shared" si="59"/>
        <v>1</v>
      </c>
      <c r="P290" s="1435"/>
      <c r="Q290" s="1428">
        <f t="shared" si="60"/>
        <v>0</v>
      </c>
      <c r="R290" s="1488">
        <f t="shared" si="61"/>
        <v>0</v>
      </c>
      <c r="S290" s="1427">
        <f t="shared" si="62"/>
        <v>0</v>
      </c>
    </row>
    <row r="291" ht="13" spans="1:19">
      <c r="A291" s="1437"/>
      <c r="B291" s="1432"/>
      <c r="C291" s="1428">
        <f t="shared" si="53"/>
        <v>1</v>
      </c>
      <c r="D291" s="1435"/>
      <c r="E291" s="1428">
        <f t="shared" si="54"/>
        <v>1</v>
      </c>
      <c r="F291" s="1435"/>
      <c r="G291" s="1428">
        <f t="shared" si="55"/>
        <v>1</v>
      </c>
      <c r="H291" s="1435"/>
      <c r="I291" s="1428">
        <f t="shared" si="56"/>
        <v>1</v>
      </c>
      <c r="J291" s="1435"/>
      <c r="K291" s="1428">
        <f t="shared" si="57"/>
        <v>1</v>
      </c>
      <c r="L291" s="1435"/>
      <c r="M291" s="1428">
        <f t="shared" si="58"/>
        <v>1</v>
      </c>
      <c r="N291" s="1435"/>
      <c r="O291" s="1428">
        <f t="shared" si="59"/>
        <v>1</v>
      </c>
      <c r="P291" s="1435"/>
      <c r="Q291" s="1428">
        <f t="shared" si="60"/>
        <v>0</v>
      </c>
      <c r="R291" s="1488">
        <f t="shared" si="61"/>
        <v>0</v>
      </c>
      <c r="S291" s="1427">
        <f t="shared" si="62"/>
        <v>0</v>
      </c>
    </row>
    <row r="292" ht="13" spans="1:19">
      <c r="A292" s="1437"/>
      <c r="B292" s="1432"/>
      <c r="C292" s="1428">
        <f t="shared" si="53"/>
        <v>1</v>
      </c>
      <c r="D292" s="1435"/>
      <c r="E292" s="1428">
        <f t="shared" si="54"/>
        <v>1</v>
      </c>
      <c r="F292" s="1435"/>
      <c r="G292" s="1428">
        <f t="shared" si="55"/>
        <v>1</v>
      </c>
      <c r="H292" s="1435"/>
      <c r="I292" s="1428">
        <f t="shared" si="56"/>
        <v>1</v>
      </c>
      <c r="J292" s="1435"/>
      <c r="K292" s="1428">
        <f t="shared" si="57"/>
        <v>1</v>
      </c>
      <c r="L292" s="1435"/>
      <c r="M292" s="1428">
        <f t="shared" si="58"/>
        <v>1</v>
      </c>
      <c r="N292" s="1435"/>
      <c r="O292" s="1428">
        <f t="shared" si="59"/>
        <v>1</v>
      </c>
      <c r="P292" s="1435"/>
      <c r="Q292" s="1428">
        <f t="shared" si="60"/>
        <v>0</v>
      </c>
      <c r="R292" s="1488">
        <f t="shared" si="61"/>
        <v>0</v>
      </c>
      <c r="S292" s="1427">
        <f t="shared" si="62"/>
        <v>0</v>
      </c>
    </row>
    <row r="293" ht="13" spans="1:19">
      <c r="A293" s="1437"/>
      <c r="B293" s="1432"/>
      <c r="C293" s="1428">
        <f t="shared" si="53"/>
        <v>1</v>
      </c>
      <c r="D293" s="1435"/>
      <c r="E293" s="1428">
        <f t="shared" si="54"/>
        <v>1</v>
      </c>
      <c r="F293" s="1435"/>
      <c r="G293" s="1428">
        <f t="shared" si="55"/>
        <v>1</v>
      </c>
      <c r="H293" s="1435"/>
      <c r="I293" s="1428">
        <f t="shared" si="56"/>
        <v>1</v>
      </c>
      <c r="J293" s="1435"/>
      <c r="K293" s="1428">
        <f t="shared" si="57"/>
        <v>1</v>
      </c>
      <c r="L293" s="1435"/>
      <c r="M293" s="1428">
        <f t="shared" si="58"/>
        <v>1</v>
      </c>
      <c r="N293" s="1435"/>
      <c r="O293" s="1428">
        <f t="shared" si="59"/>
        <v>1</v>
      </c>
      <c r="P293" s="1435"/>
      <c r="Q293" s="1428">
        <f t="shared" si="60"/>
        <v>0</v>
      </c>
      <c r="R293" s="1488">
        <f t="shared" si="61"/>
        <v>0</v>
      </c>
      <c r="S293" s="1427">
        <f t="shared" si="62"/>
        <v>0</v>
      </c>
    </row>
    <row r="294" ht="13" spans="1:19">
      <c r="A294" s="1437"/>
      <c r="B294" s="1432"/>
      <c r="C294" s="1428">
        <f t="shared" si="53"/>
        <v>1</v>
      </c>
      <c r="D294" s="1435"/>
      <c r="E294" s="1428">
        <f t="shared" si="54"/>
        <v>1</v>
      </c>
      <c r="F294" s="1435"/>
      <c r="G294" s="1428">
        <f t="shared" si="55"/>
        <v>1</v>
      </c>
      <c r="H294" s="1435"/>
      <c r="I294" s="1428">
        <f t="shared" si="56"/>
        <v>1</v>
      </c>
      <c r="J294" s="1435"/>
      <c r="K294" s="1428">
        <f t="shared" si="57"/>
        <v>1</v>
      </c>
      <c r="L294" s="1435"/>
      <c r="M294" s="1428">
        <f t="shared" si="58"/>
        <v>1</v>
      </c>
      <c r="N294" s="1435"/>
      <c r="O294" s="1428">
        <f t="shared" si="59"/>
        <v>1</v>
      </c>
      <c r="P294" s="1435"/>
      <c r="Q294" s="1428">
        <f t="shared" si="60"/>
        <v>0</v>
      </c>
      <c r="R294" s="1488">
        <f t="shared" si="61"/>
        <v>0</v>
      </c>
      <c r="S294" s="1427">
        <f t="shared" si="62"/>
        <v>0</v>
      </c>
    </row>
    <row r="295" ht="13" spans="1:19">
      <c r="A295" s="1437"/>
      <c r="B295" s="1432"/>
      <c r="C295" s="1428">
        <f t="shared" si="53"/>
        <v>1</v>
      </c>
      <c r="D295" s="1435"/>
      <c r="E295" s="1428">
        <f t="shared" si="54"/>
        <v>1</v>
      </c>
      <c r="F295" s="1435"/>
      <c r="G295" s="1428">
        <f t="shared" si="55"/>
        <v>1</v>
      </c>
      <c r="H295" s="1435"/>
      <c r="I295" s="1428">
        <f t="shared" si="56"/>
        <v>1</v>
      </c>
      <c r="J295" s="1435"/>
      <c r="K295" s="1428">
        <f t="shared" si="57"/>
        <v>1</v>
      </c>
      <c r="L295" s="1435"/>
      <c r="M295" s="1428">
        <f t="shared" si="58"/>
        <v>1</v>
      </c>
      <c r="N295" s="1435"/>
      <c r="O295" s="1428">
        <f t="shared" si="59"/>
        <v>1</v>
      </c>
      <c r="P295" s="1435"/>
      <c r="Q295" s="1428">
        <f t="shared" si="60"/>
        <v>0</v>
      </c>
      <c r="R295" s="1488">
        <f t="shared" si="61"/>
        <v>0</v>
      </c>
      <c r="S295" s="1427">
        <f t="shared" si="62"/>
        <v>0</v>
      </c>
    </row>
    <row r="296" ht="13" spans="1:19">
      <c r="A296" s="1437"/>
      <c r="B296" s="1432"/>
      <c r="C296" s="1428">
        <f t="shared" si="53"/>
        <v>1</v>
      </c>
      <c r="D296" s="1435"/>
      <c r="E296" s="1428">
        <f t="shared" si="54"/>
        <v>1</v>
      </c>
      <c r="F296" s="1435"/>
      <c r="G296" s="1428">
        <f t="shared" si="55"/>
        <v>1</v>
      </c>
      <c r="H296" s="1435"/>
      <c r="I296" s="1428">
        <f t="shared" si="56"/>
        <v>1</v>
      </c>
      <c r="J296" s="1435"/>
      <c r="K296" s="1428">
        <f t="shared" si="57"/>
        <v>1</v>
      </c>
      <c r="L296" s="1435"/>
      <c r="M296" s="1428">
        <f t="shared" si="58"/>
        <v>1</v>
      </c>
      <c r="N296" s="1435"/>
      <c r="O296" s="1428">
        <f t="shared" si="59"/>
        <v>1</v>
      </c>
      <c r="P296" s="1435"/>
      <c r="Q296" s="1428">
        <f t="shared" si="60"/>
        <v>0</v>
      </c>
      <c r="R296" s="1488">
        <f t="shared" si="61"/>
        <v>0</v>
      </c>
      <c r="S296" s="1427">
        <f t="shared" si="62"/>
        <v>0</v>
      </c>
    </row>
    <row r="297" ht="13" spans="1:19">
      <c r="A297" s="1437"/>
      <c r="B297" s="1432"/>
      <c r="C297" s="1428">
        <f t="shared" si="53"/>
        <v>1</v>
      </c>
      <c r="D297" s="1435"/>
      <c r="E297" s="1428">
        <f t="shared" si="54"/>
        <v>1</v>
      </c>
      <c r="F297" s="1435"/>
      <c r="G297" s="1428">
        <f t="shared" si="55"/>
        <v>1</v>
      </c>
      <c r="H297" s="1435"/>
      <c r="I297" s="1428">
        <f t="shared" si="56"/>
        <v>1</v>
      </c>
      <c r="J297" s="1435"/>
      <c r="K297" s="1428">
        <f t="shared" si="57"/>
        <v>1</v>
      </c>
      <c r="L297" s="1435"/>
      <c r="M297" s="1428">
        <f t="shared" si="58"/>
        <v>1</v>
      </c>
      <c r="N297" s="1435"/>
      <c r="O297" s="1428">
        <f t="shared" si="59"/>
        <v>1</v>
      </c>
      <c r="P297" s="1435"/>
      <c r="Q297" s="1428">
        <f t="shared" si="60"/>
        <v>0</v>
      </c>
      <c r="R297" s="1488">
        <f t="shared" si="61"/>
        <v>0</v>
      </c>
      <c r="S297" s="1427">
        <f t="shared" si="62"/>
        <v>0</v>
      </c>
    </row>
    <row r="298" ht="13" spans="1:19">
      <c r="A298" s="1437"/>
      <c r="B298" s="1432"/>
      <c r="C298" s="1428">
        <f t="shared" si="53"/>
        <v>1</v>
      </c>
      <c r="D298" s="1435"/>
      <c r="E298" s="1428">
        <f t="shared" si="54"/>
        <v>1</v>
      </c>
      <c r="F298" s="1435"/>
      <c r="G298" s="1428">
        <f t="shared" si="55"/>
        <v>1</v>
      </c>
      <c r="H298" s="1435"/>
      <c r="I298" s="1428">
        <f t="shared" si="56"/>
        <v>1</v>
      </c>
      <c r="J298" s="1435"/>
      <c r="K298" s="1428">
        <f t="shared" si="57"/>
        <v>1</v>
      </c>
      <c r="L298" s="1435"/>
      <c r="M298" s="1428">
        <f t="shared" si="58"/>
        <v>1</v>
      </c>
      <c r="N298" s="1435"/>
      <c r="O298" s="1428">
        <f t="shared" si="59"/>
        <v>1</v>
      </c>
      <c r="P298" s="1435"/>
      <c r="Q298" s="1428">
        <f t="shared" si="60"/>
        <v>0</v>
      </c>
      <c r="R298" s="1488">
        <f t="shared" si="61"/>
        <v>0</v>
      </c>
      <c r="S298" s="1427">
        <f t="shared" si="62"/>
        <v>0</v>
      </c>
    </row>
    <row r="299" ht="13" spans="1:19">
      <c r="A299" s="1437"/>
      <c r="B299" s="1432"/>
      <c r="C299" s="1428">
        <f t="shared" si="53"/>
        <v>1</v>
      </c>
      <c r="D299" s="1435"/>
      <c r="E299" s="1428">
        <f t="shared" si="54"/>
        <v>1</v>
      </c>
      <c r="F299" s="1435"/>
      <c r="G299" s="1428">
        <f t="shared" si="55"/>
        <v>1</v>
      </c>
      <c r="H299" s="1435"/>
      <c r="I299" s="1428">
        <f t="shared" si="56"/>
        <v>1</v>
      </c>
      <c r="J299" s="1435"/>
      <c r="K299" s="1428">
        <f t="shared" si="57"/>
        <v>1</v>
      </c>
      <c r="L299" s="1435"/>
      <c r="M299" s="1428">
        <f t="shared" si="58"/>
        <v>1</v>
      </c>
      <c r="N299" s="1435"/>
      <c r="O299" s="1428">
        <f t="shared" si="59"/>
        <v>1</v>
      </c>
      <c r="P299" s="1435"/>
      <c r="Q299" s="1428">
        <f t="shared" si="60"/>
        <v>0</v>
      </c>
      <c r="R299" s="1488">
        <f t="shared" si="61"/>
        <v>0</v>
      </c>
      <c r="S299" s="1427">
        <f t="shared" si="62"/>
        <v>0</v>
      </c>
    </row>
    <row r="300" ht="13" spans="1:19">
      <c r="A300" s="1437"/>
      <c r="B300" s="1432"/>
      <c r="C300" s="1428">
        <f t="shared" si="53"/>
        <v>1</v>
      </c>
      <c r="D300" s="1435"/>
      <c r="E300" s="1428">
        <f t="shared" si="54"/>
        <v>1</v>
      </c>
      <c r="F300" s="1435"/>
      <c r="G300" s="1428">
        <f t="shared" si="55"/>
        <v>1</v>
      </c>
      <c r="H300" s="1435"/>
      <c r="I300" s="1428">
        <f t="shared" si="56"/>
        <v>1</v>
      </c>
      <c r="J300" s="1435"/>
      <c r="K300" s="1428">
        <f t="shared" si="57"/>
        <v>1</v>
      </c>
      <c r="L300" s="1435"/>
      <c r="M300" s="1428">
        <f t="shared" si="58"/>
        <v>1</v>
      </c>
      <c r="N300" s="1435"/>
      <c r="O300" s="1428">
        <f t="shared" si="59"/>
        <v>1</v>
      </c>
      <c r="P300" s="1435"/>
      <c r="Q300" s="1428">
        <f t="shared" si="60"/>
        <v>0</v>
      </c>
      <c r="R300" s="1488">
        <f t="shared" si="61"/>
        <v>0</v>
      </c>
      <c r="S300" s="1427">
        <f t="shared" si="62"/>
        <v>0</v>
      </c>
    </row>
    <row r="301" ht="13" spans="1:19">
      <c r="A301" s="1437"/>
      <c r="B301" s="1432"/>
      <c r="C301" s="1428">
        <f t="shared" si="53"/>
        <v>1</v>
      </c>
      <c r="D301" s="1435"/>
      <c r="E301" s="1428">
        <f t="shared" si="54"/>
        <v>1</v>
      </c>
      <c r="F301" s="1435"/>
      <c r="G301" s="1428">
        <f t="shared" si="55"/>
        <v>1</v>
      </c>
      <c r="H301" s="1435"/>
      <c r="I301" s="1428">
        <f t="shared" si="56"/>
        <v>1</v>
      </c>
      <c r="J301" s="1435"/>
      <c r="K301" s="1428">
        <f t="shared" si="57"/>
        <v>1</v>
      </c>
      <c r="L301" s="1435"/>
      <c r="M301" s="1428">
        <f t="shared" si="58"/>
        <v>1</v>
      </c>
      <c r="N301" s="1435"/>
      <c r="O301" s="1428">
        <f t="shared" si="59"/>
        <v>1</v>
      </c>
      <c r="P301" s="1435"/>
      <c r="Q301" s="1428">
        <f t="shared" si="60"/>
        <v>0</v>
      </c>
      <c r="R301" s="1488">
        <f t="shared" si="61"/>
        <v>0</v>
      </c>
      <c r="S301" s="1427">
        <f t="shared" si="62"/>
        <v>0</v>
      </c>
    </row>
    <row r="302" ht="13" spans="1:19">
      <c r="A302" s="1437"/>
      <c r="B302" s="1432"/>
      <c r="C302" s="1428">
        <f t="shared" si="53"/>
        <v>1</v>
      </c>
      <c r="D302" s="1435"/>
      <c r="E302" s="1428">
        <f t="shared" si="54"/>
        <v>1</v>
      </c>
      <c r="F302" s="1435"/>
      <c r="G302" s="1428">
        <f t="shared" si="55"/>
        <v>1</v>
      </c>
      <c r="H302" s="1435"/>
      <c r="I302" s="1428">
        <f t="shared" si="56"/>
        <v>1</v>
      </c>
      <c r="J302" s="1435"/>
      <c r="K302" s="1428">
        <f t="shared" si="57"/>
        <v>1</v>
      </c>
      <c r="L302" s="1435"/>
      <c r="M302" s="1428">
        <f t="shared" si="58"/>
        <v>1</v>
      </c>
      <c r="N302" s="1435"/>
      <c r="O302" s="1428">
        <f t="shared" si="59"/>
        <v>1</v>
      </c>
      <c r="P302" s="1435"/>
      <c r="Q302" s="1428">
        <f t="shared" si="60"/>
        <v>0</v>
      </c>
      <c r="R302" s="1488">
        <f t="shared" si="61"/>
        <v>0</v>
      </c>
      <c r="S302" s="1427">
        <f t="shared" si="62"/>
        <v>0</v>
      </c>
    </row>
    <row r="303" ht="13" spans="1:19">
      <c r="A303" s="1437"/>
      <c r="B303" s="1432"/>
      <c r="C303" s="1428">
        <f t="shared" si="53"/>
        <v>1</v>
      </c>
      <c r="D303" s="1435"/>
      <c r="E303" s="1428">
        <f t="shared" si="54"/>
        <v>1</v>
      </c>
      <c r="F303" s="1435"/>
      <c r="G303" s="1428">
        <f t="shared" si="55"/>
        <v>1</v>
      </c>
      <c r="H303" s="1435"/>
      <c r="I303" s="1428">
        <f t="shared" si="56"/>
        <v>1</v>
      </c>
      <c r="J303" s="1435"/>
      <c r="K303" s="1428">
        <f t="shared" si="57"/>
        <v>1</v>
      </c>
      <c r="L303" s="1435"/>
      <c r="M303" s="1428">
        <f t="shared" si="58"/>
        <v>1</v>
      </c>
      <c r="N303" s="1435"/>
      <c r="O303" s="1428">
        <f t="shared" si="59"/>
        <v>1</v>
      </c>
      <c r="P303" s="1435"/>
      <c r="Q303" s="1428">
        <f t="shared" si="60"/>
        <v>0</v>
      </c>
      <c r="R303" s="1488">
        <f t="shared" si="61"/>
        <v>0</v>
      </c>
      <c r="S303" s="1427">
        <f t="shared" si="62"/>
        <v>0</v>
      </c>
    </row>
    <row r="304" ht="13" spans="1:19">
      <c r="A304" s="1437"/>
      <c r="B304" s="1432"/>
      <c r="C304" s="1428">
        <f t="shared" si="53"/>
        <v>1</v>
      </c>
      <c r="D304" s="1435"/>
      <c r="E304" s="1428">
        <f t="shared" si="54"/>
        <v>1</v>
      </c>
      <c r="F304" s="1435"/>
      <c r="G304" s="1428">
        <f t="shared" si="55"/>
        <v>1</v>
      </c>
      <c r="H304" s="1435"/>
      <c r="I304" s="1428">
        <f t="shared" si="56"/>
        <v>1</v>
      </c>
      <c r="J304" s="1435"/>
      <c r="K304" s="1428">
        <f t="shared" si="57"/>
        <v>1</v>
      </c>
      <c r="L304" s="1435"/>
      <c r="M304" s="1428">
        <f t="shared" si="58"/>
        <v>1</v>
      </c>
      <c r="N304" s="1435"/>
      <c r="O304" s="1428">
        <f t="shared" si="59"/>
        <v>1</v>
      </c>
      <c r="P304" s="1435"/>
      <c r="Q304" s="1428">
        <f t="shared" si="60"/>
        <v>0</v>
      </c>
      <c r="R304" s="1488">
        <f t="shared" si="61"/>
        <v>0</v>
      </c>
      <c r="S304" s="1427">
        <f t="shared" si="62"/>
        <v>0</v>
      </c>
    </row>
    <row r="305" ht="13" spans="1:19">
      <c r="A305" s="1437"/>
      <c r="B305" s="1432"/>
      <c r="C305" s="1428">
        <f t="shared" si="53"/>
        <v>1</v>
      </c>
      <c r="D305" s="1435"/>
      <c r="E305" s="1428">
        <f t="shared" si="54"/>
        <v>1</v>
      </c>
      <c r="F305" s="1435"/>
      <c r="G305" s="1428">
        <f t="shared" si="55"/>
        <v>1</v>
      </c>
      <c r="H305" s="1435"/>
      <c r="I305" s="1428">
        <f t="shared" si="56"/>
        <v>1</v>
      </c>
      <c r="J305" s="1435"/>
      <c r="K305" s="1428">
        <f t="shared" si="57"/>
        <v>1</v>
      </c>
      <c r="L305" s="1435"/>
      <c r="M305" s="1428">
        <f t="shared" si="58"/>
        <v>1</v>
      </c>
      <c r="N305" s="1435"/>
      <c r="O305" s="1428">
        <f t="shared" si="59"/>
        <v>1</v>
      </c>
      <c r="P305" s="1435"/>
      <c r="Q305" s="1428">
        <f t="shared" si="60"/>
        <v>0</v>
      </c>
      <c r="R305" s="1488">
        <f t="shared" si="61"/>
        <v>0</v>
      </c>
      <c r="S305" s="1427">
        <f t="shared" si="62"/>
        <v>0</v>
      </c>
    </row>
    <row r="306" ht="13" spans="1:19">
      <c r="A306" s="1437"/>
      <c r="B306" s="1432"/>
      <c r="C306" s="1428">
        <f t="shared" si="53"/>
        <v>1</v>
      </c>
      <c r="D306" s="1435"/>
      <c r="E306" s="1428">
        <f t="shared" si="54"/>
        <v>1</v>
      </c>
      <c r="F306" s="1435"/>
      <c r="G306" s="1428">
        <f t="shared" si="55"/>
        <v>1</v>
      </c>
      <c r="H306" s="1435"/>
      <c r="I306" s="1428">
        <f t="shared" si="56"/>
        <v>1</v>
      </c>
      <c r="J306" s="1435"/>
      <c r="K306" s="1428">
        <f t="shared" si="57"/>
        <v>1</v>
      </c>
      <c r="L306" s="1435"/>
      <c r="M306" s="1428">
        <f t="shared" si="58"/>
        <v>1</v>
      </c>
      <c r="N306" s="1435"/>
      <c r="O306" s="1428">
        <f t="shared" si="59"/>
        <v>1</v>
      </c>
      <c r="P306" s="1435"/>
      <c r="Q306" s="1428">
        <f t="shared" si="60"/>
        <v>0</v>
      </c>
      <c r="R306" s="1488">
        <f t="shared" si="61"/>
        <v>0</v>
      </c>
      <c r="S306" s="1427">
        <f t="shared" si="62"/>
        <v>0</v>
      </c>
    </row>
    <row r="307" ht="13" spans="1:19">
      <c r="A307" s="1437"/>
      <c r="B307" s="1432"/>
      <c r="C307" s="1428">
        <f t="shared" si="53"/>
        <v>1</v>
      </c>
      <c r="D307" s="1435"/>
      <c r="E307" s="1428">
        <f t="shared" si="54"/>
        <v>1</v>
      </c>
      <c r="F307" s="1435"/>
      <c r="G307" s="1428">
        <f t="shared" si="55"/>
        <v>1</v>
      </c>
      <c r="H307" s="1435"/>
      <c r="I307" s="1428">
        <f t="shared" si="56"/>
        <v>1</v>
      </c>
      <c r="J307" s="1435"/>
      <c r="K307" s="1428">
        <f t="shared" si="57"/>
        <v>1</v>
      </c>
      <c r="L307" s="1435"/>
      <c r="M307" s="1428">
        <f t="shared" si="58"/>
        <v>1</v>
      </c>
      <c r="N307" s="1435"/>
      <c r="O307" s="1428">
        <f t="shared" si="59"/>
        <v>1</v>
      </c>
      <c r="P307" s="1435"/>
      <c r="Q307" s="1428">
        <f t="shared" si="60"/>
        <v>0</v>
      </c>
      <c r="R307" s="1488">
        <f t="shared" si="61"/>
        <v>0</v>
      </c>
      <c r="S307" s="1427">
        <f t="shared" si="62"/>
        <v>0</v>
      </c>
    </row>
    <row r="308" ht="13" spans="1:19">
      <c r="A308" s="1437"/>
      <c r="B308" s="1432"/>
      <c r="C308" s="1428">
        <f t="shared" si="53"/>
        <v>1</v>
      </c>
      <c r="D308" s="1435"/>
      <c r="E308" s="1428">
        <f t="shared" si="54"/>
        <v>1</v>
      </c>
      <c r="F308" s="1435"/>
      <c r="G308" s="1428">
        <f t="shared" si="55"/>
        <v>1</v>
      </c>
      <c r="H308" s="1435"/>
      <c r="I308" s="1428">
        <f t="shared" si="56"/>
        <v>1</v>
      </c>
      <c r="J308" s="1435"/>
      <c r="K308" s="1428">
        <f t="shared" si="57"/>
        <v>1</v>
      </c>
      <c r="L308" s="1435"/>
      <c r="M308" s="1428">
        <f t="shared" si="58"/>
        <v>1</v>
      </c>
      <c r="N308" s="1435"/>
      <c r="O308" s="1428">
        <f t="shared" si="59"/>
        <v>1</v>
      </c>
      <c r="P308" s="1435"/>
      <c r="Q308" s="1428">
        <f t="shared" si="60"/>
        <v>0</v>
      </c>
      <c r="R308" s="1488">
        <f t="shared" si="61"/>
        <v>0</v>
      </c>
      <c r="S308" s="1427">
        <f t="shared" si="62"/>
        <v>0</v>
      </c>
    </row>
    <row r="309" ht="13" spans="1:19">
      <c r="A309" s="1437"/>
      <c r="B309" s="1432"/>
      <c r="C309" s="1428">
        <f t="shared" si="53"/>
        <v>1</v>
      </c>
      <c r="D309" s="1435"/>
      <c r="E309" s="1428">
        <f t="shared" si="54"/>
        <v>1</v>
      </c>
      <c r="F309" s="1435"/>
      <c r="G309" s="1428">
        <f t="shared" si="55"/>
        <v>1</v>
      </c>
      <c r="H309" s="1435"/>
      <c r="I309" s="1428">
        <f t="shared" si="56"/>
        <v>1</v>
      </c>
      <c r="J309" s="1435"/>
      <c r="K309" s="1428">
        <f t="shared" si="57"/>
        <v>1</v>
      </c>
      <c r="L309" s="1435"/>
      <c r="M309" s="1428">
        <f t="shared" si="58"/>
        <v>1</v>
      </c>
      <c r="N309" s="1435"/>
      <c r="O309" s="1428">
        <f t="shared" si="59"/>
        <v>1</v>
      </c>
      <c r="P309" s="1435"/>
      <c r="Q309" s="1428">
        <f t="shared" si="60"/>
        <v>0</v>
      </c>
      <c r="R309" s="1488">
        <f t="shared" si="61"/>
        <v>0</v>
      </c>
      <c r="S309" s="1427">
        <f t="shared" si="62"/>
        <v>0</v>
      </c>
    </row>
    <row r="310" ht="13" spans="1:19">
      <c r="A310" s="1437"/>
      <c r="B310" s="1432"/>
      <c r="C310" s="1428">
        <f t="shared" si="53"/>
        <v>1</v>
      </c>
      <c r="D310" s="1435"/>
      <c r="E310" s="1428">
        <f t="shared" si="54"/>
        <v>1</v>
      </c>
      <c r="F310" s="1435"/>
      <c r="G310" s="1428">
        <f t="shared" si="55"/>
        <v>1</v>
      </c>
      <c r="H310" s="1435"/>
      <c r="I310" s="1428">
        <f t="shared" si="56"/>
        <v>1</v>
      </c>
      <c r="J310" s="1435"/>
      <c r="K310" s="1428">
        <f t="shared" si="57"/>
        <v>1</v>
      </c>
      <c r="L310" s="1435"/>
      <c r="M310" s="1428">
        <f t="shared" si="58"/>
        <v>1</v>
      </c>
      <c r="N310" s="1435"/>
      <c r="O310" s="1428">
        <f t="shared" si="59"/>
        <v>1</v>
      </c>
      <c r="P310" s="1435"/>
      <c r="Q310" s="1428">
        <f t="shared" si="60"/>
        <v>0</v>
      </c>
      <c r="R310" s="1488">
        <f t="shared" si="61"/>
        <v>0</v>
      </c>
      <c r="S310" s="1427">
        <f t="shared" si="62"/>
        <v>0</v>
      </c>
    </row>
    <row r="311" ht="13" spans="1:19">
      <c r="A311" s="1437"/>
      <c r="B311" s="1432"/>
      <c r="C311" s="1428">
        <f t="shared" si="53"/>
        <v>1</v>
      </c>
      <c r="D311" s="1435"/>
      <c r="E311" s="1428">
        <f t="shared" si="54"/>
        <v>1</v>
      </c>
      <c r="F311" s="1435"/>
      <c r="G311" s="1428">
        <f t="shared" si="55"/>
        <v>1</v>
      </c>
      <c r="H311" s="1435"/>
      <c r="I311" s="1428">
        <f t="shared" si="56"/>
        <v>1</v>
      </c>
      <c r="J311" s="1435"/>
      <c r="K311" s="1428">
        <f t="shared" si="57"/>
        <v>1</v>
      </c>
      <c r="L311" s="1435"/>
      <c r="M311" s="1428">
        <f t="shared" si="58"/>
        <v>1</v>
      </c>
      <c r="N311" s="1435"/>
      <c r="O311" s="1428">
        <f t="shared" si="59"/>
        <v>1</v>
      </c>
      <c r="P311" s="1435"/>
      <c r="Q311" s="1428">
        <f t="shared" si="60"/>
        <v>0</v>
      </c>
      <c r="R311" s="1488">
        <f t="shared" si="61"/>
        <v>0</v>
      </c>
      <c r="S311" s="1427">
        <f t="shared" si="62"/>
        <v>0</v>
      </c>
    </row>
    <row r="312" ht="13" spans="1:19">
      <c r="A312" s="1437"/>
      <c r="B312" s="1432"/>
      <c r="C312" s="1428">
        <f t="shared" si="53"/>
        <v>1</v>
      </c>
      <c r="D312" s="1435"/>
      <c r="E312" s="1428">
        <f t="shared" si="54"/>
        <v>1</v>
      </c>
      <c r="F312" s="1435"/>
      <c r="G312" s="1428">
        <f t="shared" si="55"/>
        <v>1</v>
      </c>
      <c r="H312" s="1435"/>
      <c r="I312" s="1428">
        <f t="shared" si="56"/>
        <v>1</v>
      </c>
      <c r="J312" s="1435"/>
      <c r="K312" s="1428">
        <f t="shared" si="57"/>
        <v>1</v>
      </c>
      <c r="L312" s="1435"/>
      <c r="M312" s="1428">
        <f t="shared" si="58"/>
        <v>1</v>
      </c>
      <c r="N312" s="1435"/>
      <c r="O312" s="1428">
        <f t="shared" si="59"/>
        <v>1</v>
      </c>
      <c r="P312" s="1435"/>
      <c r="Q312" s="1428">
        <f t="shared" si="60"/>
        <v>0</v>
      </c>
      <c r="R312" s="1488">
        <f t="shared" si="61"/>
        <v>0</v>
      </c>
      <c r="S312" s="1427">
        <f t="shared" si="62"/>
        <v>0</v>
      </c>
    </row>
    <row r="313" ht="13" spans="1:19">
      <c r="A313" s="1437"/>
      <c r="B313" s="1432"/>
      <c r="C313" s="1428">
        <f t="shared" si="53"/>
        <v>1</v>
      </c>
      <c r="D313" s="1435"/>
      <c r="E313" s="1428">
        <f t="shared" si="54"/>
        <v>1</v>
      </c>
      <c r="F313" s="1435"/>
      <c r="G313" s="1428">
        <f t="shared" si="55"/>
        <v>1</v>
      </c>
      <c r="H313" s="1435"/>
      <c r="I313" s="1428">
        <f t="shared" si="56"/>
        <v>1</v>
      </c>
      <c r="J313" s="1435"/>
      <c r="K313" s="1428">
        <f t="shared" si="57"/>
        <v>1</v>
      </c>
      <c r="L313" s="1435"/>
      <c r="M313" s="1428">
        <f t="shared" si="58"/>
        <v>1</v>
      </c>
      <c r="N313" s="1435"/>
      <c r="O313" s="1428">
        <f t="shared" si="59"/>
        <v>1</v>
      </c>
      <c r="P313" s="1435"/>
      <c r="Q313" s="1428">
        <f t="shared" si="60"/>
        <v>0</v>
      </c>
      <c r="R313" s="1488">
        <f t="shared" si="61"/>
        <v>0</v>
      </c>
      <c r="S313" s="1427">
        <f t="shared" si="62"/>
        <v>0</v>
      </c>
    </row>
    <row r="314" ht="13" spans="1:19">
      <c r="A314" s="1437"/>
      <c r="B314" s="1432"/>
      <c r="C314" s="1428">
        <f t="shared" si="53"/>
        <v>1</v>
      </c>
      <c r="D314" s="1435"/>
      <c r="E314" s="1428">
        <f t="shared" si="54"/>
        <v>1</v>
      </c>
      <c r="F314" s="1435"/>
      <c r="G314" s="1428">
        <f t="shared" si="55"/>
        <v>1</v>
      </c>
      <c r="H314" s="1435"/>
      <c r="I314" s="1428">
        <f t="shared" si="56"/>
        <v>1</v>
      </c>
      <c r="J314" s="1435"/>
      <c r="K314" s="1428">
        <f t="shared" si="57"/>
        <v>1</v>
      </c>
      <c r="L314" s="1435"/>
      <c r="M314" s="1428">
        <f t="shared" si="58"/>
        <v>1</v>
      </c>
      <c r="N314" s="1435"/>
      <c r="O314" s="1428">
        <f t="shared" si="59"/>
        <v>1</v>
      </c>
      <c r="P314" s="1435"/>
      <c r="Q314" s="1428">
        <f t="shared" si="60"/>
        <v>0</v>
      </c>
      <c r="R314" s="1488">
        <f t="shared" si="61"/>
        <v>0</v>
      </c>
      <c r="S314" s="1427">
        <f t="shared" si="62"/>
        <v>0</v>
      </c>
    </row>
    <row r="315" ht="13" spans="1:19">
      <c r="A315" s="1437"/>
      <c r="B315" s="1432"/>
      <c r="C315" s="1428">
        <f t="shared" si="53"/>
        <v>1</v>
      </c>
      <c r="D315" s="1435"/>
      <c r="E315" s="1428">
        <f t="shared" si="54"/>
        <v>1</v>
      </c>
      <c r="F315" s="1435"/>
      <c r="G315" s="1428">
        <f t="shared" si="55"/>
        <v>1</v>
      </c>
      <c r="H315" s="1435"/>
      <c r="I315" s="1428">
        <f t="shared" si="56"/>
        <v>1</v>
      </c>
      <c r="J315" s="1435"/>
      <c r="K315" s="1428">
        <f t="shared" si="57"/>
        <v>1</v>
      </c>
      <c r="L315" s="1435"/>
      <c r="M315" s="1428">
        <f t="shared" si="58"/>
        <v>1</v>
      </c>
      <c r="N315" s="1435"/>
      <c r="O315" s="1428">
        <f t="shared" si="59"/>
        <v>1</v>
      </c>
      <c r="P315" s="1435"/>
      <c r="Q315" s="1428">
        <f t="shared" si="60"/>
        <v>0</v>
      </c>
      <c r="R315" s="1488">
        <f t="shared" si="61"/>
        <v>0</v>
      </c>
      <c r="S315" s="1427">
        <f t="shared" si="62"/>
        <v>0</v>
      </c>
    </row>
    <row r="316" ht="13" spans="1:19">
      <c r="A316" s="1437"/>
      <c r="B316" s="1432"/>
      <c r="C316" s="1428">
        <f t="shared" si="53"/>
        <v>1</v>
      </c>
      <c r="D316" s="1435"/>
      <c r="E316" s="1428">
        <f t="shared" si="54"/>
        <v>1</v>
      </c>
      <c r="F316" s="1435"/>
      <c r="G316" s="1428">
        <f t="shared" si="55"/>
        <v>1</v>
      </c>
      <c r="H316" s="1435"/>
      <c r="I316" s="1428">
        <f t="shared" si="56"/>
        <v>1</v>
      </c>
      <c r="J316" s="1435"/>
      <c r="K316" s="1428">
        <f t="shared" si="57"/>
        <v>1</v>
      </c>
      <c r="L316" s="1435"/>
      <c r="M316" s="1428">
        <f t="shared" si="58"/>
        <v>1</v>
      </c>
      <c r="N316" s="1435"/>
      <c r="O316" s="1428">
        <f t="shared" si="59"/>
        <v>1</v>
      </c>
      <c r="P316" s="1435"/>
      <c r="Q316" s="1428">
        <f t="shared" si="60"/>
        <v>0</v>
      </c>
      <c r="R316" s="1488">
        <f t="shared" si="61"/>
        <v>0</v>
      </c>
      <c r="S316" s="1427">
        <f t="shared" si="62"/>
        <v>0</v>
      </c>
    </row>
    <row r="317" ht="13" spans="1:19">
      <c r="A317" s="1437"/>
      <c r="B317" s="1432"/>
      <c r="C317" s="1428">
        <f t="shared" si="53"/>
        <v>1</v>
      </c>
      <c r="D317" s="1435"/>
      <c r="E317" s="1428">
        <f t="shared" si="54"/>
        <v>1</v>
      </c>
      <c r="F317" s="1435"/>
      <c r="G317" s="1428">
        <f t="shared" si="55"/>
        <v>1</v>
      </c>
      <c r="H317" s="1435"/>
      <c r="I317" s="1428">
        <f t="shared" si="56"/>
        <v>1</v>
      </c>
      <c r="J317" s="1435"/>
      <c r="K317" s="1428">
        <f t="shared" si="57"/>
        <v>1</v>
      </c>
      <c r="L317" s="1435"/>
      <c r="M317" s="1428">
        <f t="shared" si="58"/>
        <v>1</v>
      </c>
      <c r="N317" s="1435"/>
      <c r="O317" s="1428">
        <f t="shared" si="59"/>
        <v>1</v>
      </c>
      <c r="P317" s="1435"/>
      <c r="Q317" s="1428">
        <f t="shared" si="60"/>
        <v>0</v>
      </c>
      <c r="R317" s="1488">
        <f t="shared" si="61"/>
        <v>0</v>
      </c>
      <c r="S317" s="1427">
        <f t="shared" si="62"/>
        <v>0</v>
      </c>
    </row>
    <row r="318" ht="13" spans="1:19">
      <c r="A318" s="1437"/>
      <c r="B318" s="1432"/>
      <c r="C318" s="1428">
        <f t="shared" si="53"/>
        <v>1</v>
      </c>
      <c r="D318" s="1435"/>
      <c r="E318" s="1428">
        <f t="shared" si="54"/>
        <v>1</v>
      </c>
      <c r="F318" s="1435"/>
      <c r="G318" s="1428">
        <f t="shared" si="55"/>
        <v>1</v>
      </c>
      <c r="H318" s="1435"/>
      <c r="I318" s="1428">
        <f t="shared" si="56"/>
        <v>1</v>
      </c>
      <c r="J318" s="1435"/>
      <c r="K318" s="1428">
        <f t="shared" si="57"/>
        <v>1</v>
      </c>
      <c r="L318" s="1435"/>
      <c r="M318" s="1428">
        <f t="shared" si="58"/>
        <v>1</v>
      </c>
      <c r="N318" s="1435"/>
      <c r="O318" s="1428">
        <f t="shared" si="59"/>
        <v>1</v>
      </c>
      <c r="P318" s="1435"/>
      <c r="Q318" s="1428">
        <f t="shared" si="60"/>
        <v>0</v>
      </c>
      <c r="R318" s="1488">
        <f t="shared" si="61"/>
        <v>0</v>
      </c>
      <c r="S318" s="1427">
        <f t="shared" si="62"/>
        <v>0</v>
      </c>
    </row>
    <row r="319" ht="13" spans="1:19">
      <c r="A319" s="1437"/>
      <c r="B319" s="1432"/>
      <c r="C319" s="1428">
        <f t="shared" si="53"/>
        <v>1</v>
      </c>
      <c r="D319" s="1435"/>
      <c r="E319" s="1428">
        <f t="shared" si="54"/>
        <v>1</v>
      </c>
      <c r="F319" s="1435"/>
      <c r="G319" s="1428">
        <f t="shared" si="55"/>
        <v>1</v>
      </c>
      <c r="H319" s="1435"/>
      <c r="I319" s="1428">
        <f t="shared" si="56"/>
        <v>1</v>
      </c>
      <c r="J319" s="1435"/>
      <c r="K319" s="1428">
        <f t="shared" si="57"/>
        <v>1</v>
      </c>
      <c r="L319" s="1435"/>
      <c r="M319" s="1428">
        <f t="shared" si="58"/>
        <v>1</v>
      </c>
      <c r="N319" s="1435"/>
      <c r="O319" s="1428">
        <f t="shared" si="59"/>
        <v>1</v>
      </c>
      <c r="P319" s="1435"/>
      <c r="Q319" s="1428">
        <f t="shared" si="60"/>
        <v>0</v>
      </c>
      <c r="R319" s="1488">
        <f t="shared" si="61"/>
        <v>0</v>
      </c>
      <c r="S319" s="1427">
        <f t="shared" si="62"/>
        <v>0</v>
      </c>
    </row>
    <row r="320" ht="13" spans="1:19">
      <c r="A320" s="1437"/>
      <c r="B320" s="1432"/>
      <c r="C320" s="1428">
        <f t="shared" si="53"/>
        <v>1</v>
      </c>
      <c r="D320" s="1435"/>
      <c r="E320" s="1428">
        <f t="shared" si="54"/>
        <v>1</v>
      </c>
      <c r="F320" s="1435"/>
      <c r="G320" s="1428">
        <f t="shared" si="55"/>
        <v>1</v>
      </c>
      <c r="H320" s="1435"/>
      <c r="I320" s="1428">
        <f t="shared" si="56"/>
        <v>1</v>
      </c>
      <c r="J320" s="1435"/>
      <c r="K320" s="1428">
        <f t="shared" si="57"/>
        <v>1</v>
      </c>
      <c r="L320" s="1435"/>
      <c r="M320" s="1428">
        <f t="shared" si="58"/>
        <v>1</v>
      </c>
      <c r="N320" s="1435"/>
      <c r="O320" s="1428">
        <f t="shared" si="59"/>
        <v>1</v>
      </c>
      <c r="P320" s="1435"/>
      <c r="Q320" s="1428">
        <f t="shared" si="60"/>
        <v>0</v>
      </c>
      <c r="R320" s="1488">
        <f t="shared" si="61"/>
        <v>0</v>
      </c>
      <c r="S320" s="1427">
        <f t="shared" si="62"/>
        <v>0</v>
      </c>
    </row>
    <row r="321" ht="13" spans="1:19">
      <c r="A321" s="1437"/>
      <c r="B321" s="1432"/>
      <c r="C321" s="1428">
        <f t="shared" si="53"/>
        <v>1</v>
      </c>
      <c r="D321" s="1435"/>
      <c r="E321" s="1428">
        <f t="shared" si="54"/>
        <v>1</v>
      </c>
      <c r="F321" s="1435"/>
      <c r="G321" s="1428">
        <f t="shared" si="55"/>
        <v>1</v>
      </c>
      <c r="H321" s="1435"/>
      <c r="I321" s="1428">
        <f t="shared" si="56"/>
        <v>1</v>
      </c>
      <c r="J321" s="1435"/>
      <c r="K321" s="1428">
        <f t="shared" si="57"/>
        <v>1</v>
      </c>
      <c r="L321" s="1435"/>
      <c r="M321" s="1428">
        <f t="shared" si="58"/>
        <v>1</v>
      </c>
      <c r="N321" s="1435"/>
      <c r="O321" s="1428">
        <f t="shared" si="59"/>
        <v>1</v>
      </c>
      <c r="P321" s="1435"/>
      <c r="Q321" s="1428">
        <f t="shared" si="60"/>
        <v>0</v>
      </c>
      <c r="R321" s="1488">
        <f t="shared" si="61"/>
        <v>0</v>
      </c>
      <c r="S321" s="1427">
        <f t="shared" ref="S321:S384" si="63">ROUND(R321*B321/10000,0)</f>
        <v>0</v>
      </c>
    </row>
    <row r="322" ht="13" spans="1:19">
      <c r="A322" s="1437"/>
      <c r="B322" s="1432"/>
      <c r="C322" s="1428">
        <f t="shared" si="53"/>
        <v>1</v>
      </c>
      <c r="D322" s="1435"/>
      <c r="E322" s="1428">
        <f t="shared" si="54"/>
        <v>1</v>
      </c>
      <c r="F322" s="1435"/>
      <c r="G322" s="1428">
        <f t="shared" si="55"/>
        <v>1</v>
      </c>
      <c r="H322" s="1435"/>
      <c r="I322" s="1428">
        <f t="shared" si="56"/>
        <v>1</v>
      </c>
      <c r="J322" s="1435"/>
      <c r="K322" s="1428">
        <f t="shared" si="57"/>
        <v>1</v>
      </c>
      <c r="L322" s="1435"/>
      <c r="M322" s="1428">
        <f t="shared" si="58"/>
        <v>1</v>
      </c>
      <c r="N322" s="1435"/>
      <c r="O322" s="1428">
        <f t="shared" si="59"/>
        <v>1</v>
      </c>
      <c r="P322" s="1435"/>
      <c r="Q322" s="1428">
        <f t="shared" si="60"/>
        <v>0</v>
      </c>
      <c r="R322" s="1488">
        <f t="shared" si="61"/>
        <v>0</v>
      </c>
      <c r="S322" s="1427">
        <f t="shared" si="63"/>
        <v>0</v>
      </c>
    </row>
    <row r="323" ht="13" spans="1:19">
      <c r="A323" s="1437"/>
      <c r="B323" s="1432"/>
      <c r="C323" s="1428">
        <f t="shared" si="53"/>
        <v>1</v>
      </c>
      <c r="D323" s="1435"/>
      <c r="E323" s="1428">
        <f t="shared" si="54"/>
        <v>1</v>
      </c>
      <c r="F323" s="1435"/>
      <c r="G323" s="1428">
        <f t="shared" si="55"/>
        <v>1</v>
      </c>
      <c r="H323" s="1435"/>
      <c r="I323" s="1428">
        <f t="shared" si="56"/>
        <v>1</v>
      </c>
      <c r="J323" s="1435"/>
      <c r="K323" s="1428">
        <f t="shared" si="57"/>
        <v>1</v>
      </c>
      <c r="L323" s="1435"/>
      <c r="M323" s="1428">
        <f t="shared" si="58"/>
        <v>1</v>
      </c>
      <c r="N323" s="1435"/>
      <c r="O323" s="1428">
        <f t="shared" si="59"/>
        <v>1</v>
      </c>
      <c r="P323" s="1435"/>
      <c r="Q323" s="1428">
        <f t="shared" si="60"/>
        <v>0</v>
      </c>
      <c r="R323" s="1488">
        <f t="shared" si="61"/>
        <v>0</v>
      </c>
      <c r="S323" s="1427">
        <f t="shared" si="63"/>
        <v>0</v>
      </c>
    </row>
    <row r="324" ht="13" spans="1:19">
      <c r="A324" s="1437"/>
      <c r="B324" s="1432"/>
      <c r="C324" s="1428">
        <f t="shared" si="53"/>
        <v>1</v>
      </c>
      <c r="D324" s="1435"/>
      <c r="E324" s="1428">
        <f t="shared" si="54"/>
        <v>1</v>
      </c>
      <c r="F324" s="1435"/>
      <c r="G324" s="1428">
        <f t="shared" si="55"/>
        <v>1</v>
      </c>
      <c r="H324" s="1435"/>
      <c r="I324" s="1428">
        <f t="shared" si="56"/>
        <v>1</v>
      </c>
      <c r="J324" s="1435"/>
      <c r="K324" s="1428">
        <f t="shared" si="57"/>
        <v>1</v>
      </c>
      <c r="L324" s="1435"/>
      <c r="M324" s="1428">
        <f t="shared" si="58"/>
        <v>1</v>
      </c>
      <c r="N324" s="1435"/>
      <c r="O324" s="1428">
        <f t="shared" si="59"/>
        <v>1</v>
      </c>
      <c r="P324" s="1435"/>
      <c r="Q324" s="1428">
        <f t="shared" si="60"/>
        <v>0</v>
      </c>
      <c r="R324" s="1488">
        <f t="shared" si="61"/>
        <v>0</v>
      </c>
      <c r="S324" s="1427">
        <f t="shared" si="63"/>
        <v>0</v>
      </c>
    </row>
    <row r="325" ht="13" spans="1:19">
      <c r="A325" s="1437"/>
      <c r="B325" s="1432"/>
      <c r="C325" s="1428">
        <f t="shared" si="53"/>
        <v>1</v>
      </c>
      <c r="D325" s="1435"/>
      <c r="E325" s="1428">
        <f t="shared" si="54"/>
        <v>1</v>
      </c>
      <c r="F325" s="1435"/>
      <c r="G325" s="1428">
        <f t="shared" si="55"/>
        <v>1</v>
      </c>
      <c r="H325" s="1435"/>
      <c r="I325" s="1428">
        <f t="shared" si="56"/>
        <v>1</v>
      </c>
      <c r="J325" s="1435"/>
      <c r="K325" s="1428">
        <f t="shared" si="57"/>
        <v>1</v>
      </c>
      <c r="L325" s="1435"/>
      <c r="M325" s="1428">
        <f t="shared" si="58"/>
        <v>1</v>
      </c>
      <c r="N325" s="1435"/>
      <c r="O325" s="1428">
        <f t="shared" si="59"/>
        <v>1</v>
      </c>
      <c r="P325" s="1435"/>
      <c r="Q325" s="1428">
        <f t="shared" si="60"/>
        <v>0</v>
      </c>
      <c r="R325" s="1488">
        <f t="shared" si="61"/>
        <v>0</v>
      </c>
      <c r="S325" s="1427">
        <f t="shared" si="63"/>
        <v>0</v>
      </c>
    </row>
    <row r="326" ht="13" spans="1:19">
      <c r="A326" s="1437"/>
      <c r="B326" s="1432"/>
      <c r="C326" s="1428">
        <f t="shared" si="53"/>
        <v>1</v>
      </c>
      <c r="D326" s="1435"/>
      <c r="E326" s="1428">
        <f t="shared" si="54"/>
        <v>1</v>
      </c>
      <c r="F326" s="1435"/>
      <c r="G326" s="1428">
        <f t="shared" si="55"/>
        <v>1</v>
      </c>
      <c r="H326" s="1435"/>
      <c r="I326" s="1428">
        <f t="shared" si="56"/>
        <v>1</v>
      </c>
      <c r="J326" s="1435"/>
      <c r="K326" s="1428">
        <f t="shared" si="57"/>
        <v>1</v>
      </c>
      <c r="L326" s="1435"/>
      <c r="M326" s="1428">
        <f t="shared" si="58"/>
        <v>1</v>
      </c>
      <c r="N326" s="1435"/>
      <c r="O326" s="1428">
        <f t="shared" si="59"/>
        <v>1</v>
      </c>
      <c r="P326" s="1435"/>
      <c r="Q326" s="1428">
        <f t="shared" si="60"/>
        <v>0</v>
      </c>
      <c r="R326" s="1488">
        <f t="shared" si="61"/>
        <v>0</v>
      </c>
      <c r="S326" s="1427">
        <f t="shared" si="63"/>
        <v>0</v>
      </c>
    </row>
    <row r="327" ht="13" spans="1:19">
      <c r="A327" s="1437"/>
      <c r="B327" s="1432"/>
      <c r="C327" s="1428">
        <f t="shared" si="53"/>
        <v>1</v>
      </c>
      <c r="D327" s="1435"/>
      <c r="E327" s="1428">
        <f t="shared" si="54"/>
        <v>1</v>
      </c>
      <c r="F327" s="1435"/>
      <c r="G327" s="1428">
        <f t="shared" si="55"/>
        <v>1</v>
      </c>
      <c r="H327" s="1435"/>
      <c r="I327" s="1428">
        <f t="shared" si="56"/>
        <v>1</v>
      </c>
      <c r="J327" s="1435"/>
      <c r="K327" s="1428">
        <f t="shared" si="57"/>
        <v>1</v>
      </c>
      <c r="L327" s="1435"/>
      <c r="M327" s="1428">
        <f t="shared" si="58"/>
        <v>1</v>
      </c>
      <c r="N327" s="1435"/>
      <c r="O327" s="1428">
        <f t="shared" si="59"/>
        <v>1</v>
      </c>
      <c r="P327" s="1435"/>
      <c r="Q327" s="1428">
        <f t="shared" si="60"/>
        <v>0</v>
      </c>
      <c r="R327" s="1488">
        <f t="shared" si="61"/>
        <v>0</v>
      </c>
      <c r="S327" s="1427">
        <f t="shared" si="63"/>
        <v>0</v>
      </c>
    </row>
    <row r="328" ht="13" spans="1:19">
      <c r="A328" s="1437"/>
      <c r="B328" s="1432"/>
      <c r="C328" s="1428">
        <f t="shared" si="53"/>
        <v>1</v>
      </c>
      <c r="D328" s="1435"/>
      <c r="E328" s="1428">
        <f t="shared" si="54"/>
        <v>1</v>
      </c>
      <c r="F328" s="1435"/>
      <c r="G328" s="1428">
        <f t="shared" si="55"/>
        <v>1</v>
      </c>
      <c r="H328" s="1435"/>
      <c r="I328" s="1428">
        <f t="shared" si="56"/>
        <v>1</v>
      </c>
      <c r="J328" s="1435"/>
      <c r="K328" s="1428">
        <f t="shared" si="57"/>
        <v>1</v>
      </c>
      <c r="L328" s="1435"/>
      <c r="M328" s="1428">
        <f t="shared" si="58"/>
        <v>1</v>
      </c>
      <c r="N328" s="1435"/>
      <c r="O328" s="1428">
        <f t="shared" si="59"/>
        <v>1</v>
      </c>
      <c r="P328" s="1435"/>
      <c r="Q328" s="1428">
        <f t="shared" si="60"/>
        <v>0</v>
      </c>
      <c r="R328" s="1488">
        <f t="shared" si="61"/>
        <v>0</v>
      </c>
      <c r="S328" s="1427">
        <f t="shared" si="63"/>
        <v>0</v>
      </c>
    </row>
    <row r="329" ht="13" spans="1:19">
      <c r="A329" s="1437"/>
      <c r="B329" s="1432"/>
      <c r="C329" s="1428">
        <f t="shared" si="53"/>
        <v>1</v>
      </c>
      <c r="D329" s="1435"/>
      <c r="E329" s="1428">
        <f t="shared" si="54"/>
        <v>1</v>
      </c>
      <c r="F329" s="1435"/>
      <c r="G329" s="1428">
        <f t="shared" si="55"/>
        <v>1</v>
      </c>
      <c r="H329" s="1435"/>
      <c r="I329" s="1428">
        <f t="shared" si="56"/>
        <v>1</v>
      </c>
      <c r="J329" s="1435"/>
      <c r="K329" s="1428">
        <f t="shared" si="57"/>
        <v>1</v>
      </c>
      <c r="L329" s="1435"/>
      <c r="M329" s="1428">
        <f t="shared" si="58"/>
        <v>1</v>
      </c>
      <c r="N329" s="1435"/>
      <c r="O329" s="1428">
        <f t="shared" si="59"/>
        <v>1</v>
      </c>
      <c r="P329" s="1435"/>
      <c r="Q329" s="1428">
        <f t="shared" si="60"/>
        <v>0</v>
      </c>
      <c r="R329" s="1488">
        <f t="shared" si="61"/>
        <v>0</v>
      </c>
      <c r="S329" s="1427">
        <f t="shared" si="63"/>
        <v>0</v>
      </c>
    </row>
    <row r="330" ht="13" spans="1:19">
      <c r="A330" s="1437"/>
      <c r="B330" s="1432"/>
      <c r="C330" s="1428">
        <f t="shared" si="53"/>
        <v>1</v>
      </c>
      <c r="D330" s="1435"/>
      <c r="E330" s="1428">
        <f t="shared" si="54"/>
        <v>1</v>
      </c>
      <c r="F330" s="1435"/>
      <c r="G330" s="1428">
        <f t="shared" si="55"/>
        <v>1</v>
      </c>
      <c r="H330" s="1435"/>
      <c r="I330" s="1428">
        <f t="shared" si="56"/>
        <v>1</v>
      </c>
      <c r="J330" s="1435"/>
      <c r="K330" s="1428">
        <f t="shared" si="57"/>
        <v>1</v>
      </c>
      <c r="L330" s="1435"/>
      <c r="M330" s="1428">
        <f t="shared" si="58"/>
        <v>1</v>
      </c>
      <c r="N330" s="1435"/>
      <c r="O330" s="1428">
        <f t="shared" si="59"/>
        <v>1</v>
      </c>
      <c r="P330" s="1435"/>
      <c r="Q330" s="1428">
        <f t="shared" si="60"/>
        <v>0</v>
      </c>
      <c r="R330" s="1488">
        <f t="shared" si="61"/>
        <v>0</v>
      </c>
      <c r="S330" s="1427">
        <f t="shared" si="63"/>
        <v>0</v>
      </c>
    </row>
    <row r="331" ht="13" spans="1:19">
      <c r="A331" s="1437"/>
      <c r="B331" s="1432"/>
      <c r="C331" s="1428">
        <f t="shared" si="53"/>
        <v>1</v>
      </c>
      <c r="D331" s="1435"/>
      <c r="E331" s="1428">
        <f t="shared" si="54"/>
        <v>1</v>
      </c>
      <c r="F331" s="1435"/>
      <c r="G331" s="1428">
        <f t="shared" si="55"/>
        <v>1</v>
      </c>
      <c r="H331" s="1435"/>
      <c r="I331" s="1428">
        <f t="shared" si="56"/>
        <v>1</v>
      </c>
      <c r="J331" s="1435"/>
      <c r="K331" s="1428">
        <f t="shared" si="57"/>
        <v>1</v>
      </c>
      <c r="L331" s="1435"/>
      <c r="M331" s="1428">
        <f t="shared" si="58"/>
        <v>1</v>
      </c>
      <c r="N331" s="1435"/>
      <c r="O331" s="1428">
        <f t="shared" si="59"/>
        <v>1</v>
      </c>
      <c r="P331" s="1435"/>
      <c r="Q331" s="1428">
        <f t="shared" si="60"/>
        <v>0</v>
      </c>
      <c r="R331" s="1488">
        <f t="shared" si="61"/>
        <v>0</v>
      </c>
      <c r="S331" s="1427">
        <f t="shared" si="63"/>
        <v>0</v>
      </c>
    </row>
    <row r="332" ht="13" spans="1:19">
      <c r="A332" s="1437"/>
      <c r="B332" s="1432"/>
      <c r="C332" s="1428">
        <f t="shared" si="53"/>
        <v>1</v>
      </c>
      <c r="D332" s="1435"/>
      <c r="E332" s="1428">
        <f t="shared" si="54"/>
        <v>1</v>
      </c>
      <c r="F332" s="1435"/>
      <c r="G332" s="1428">
        <f t="shared" si="55"/>
        <v>1</v>
      </c>
      <c r="H332" s="1435"/>
      <c r="I332" s="1428">
        <f t="shared" si="56"/>
        <v>1</v>
      </c>
      <c r="J332" s="1435"/>
      <c r="K332" s="1428">
        <f t="shared" si="57"/>
        <v>1</v>
      </c>
      <c r="L332" s="1435"/>
      <c r="M332" s="1428">
        <f t="shared" si="58"/>
        <v>1</v>
      </c>
      <c r="N332" s="1435"/>
      <c r="O332" s="1428">
        <f t="shared" si="59"/>
        <v>1</v>
      </c>
      <c r="P332" s="1435"/>
      <c r="Q332" s="1428">
        <f t="shared" si="60"/>
        <v>0</v>
      </c>
      <c r="R332" s="1488">
        <f t="shared" si="61"/>
        <v>0</v>
      </c>
      <c r="S332" s="1427">
        <f t="shared" si="63"/>
        <v>0</v>
      </c>
    </row>
    <row r="333" ht="13" spans="1:19">
      <c r="A333" s="1437"/>
      <c r="B333" s="1432"/>
      <c r="C333" s="1428">
        <f t="shared" si="53"/>
        <v>1</v>
      </c>
      <c r="D333" s="1435"/>
      <c r="E333" s="1428">
        <f t="shared" si="54"/>
        <v>1</v>
      </c>
      <c r="F333" s="1435"/>
      <c r="G333" s="1428">
        <f t="shared" si="55"/>
        <v>1</v>
      </c>
      <c r="H333" s="1435"/>
      <c r="I333" s="1428">
        <f t="shared" si="56"/>
        <v>1</v>
      </c>
      <c r="J333" s="1435"/>
      <c r="K333" s="1428">
        <f t="shared" si="57"/>
        <v>1</v>
      </c>
      <c r="L333" s="1435"/>
      <c r="M333" s="1428">
        <f t="shared" si="58"/>
        <v>1</v>
      </c>
      <c r="N333" s="1435"/>
      <c r="O333" s="1428">
        <f t="shared" si="59"/>
        <v>1</v>
      </c>
      <c r="P333" s="1435"/>
      <c r="Q333" s="1428">
        <f t="shared" si="60"/>
        <v>0</v>
      </c>
      <c r="R333" s="1488">
        <f t="shared" si="61"/>
        <v>0</v>
      </c>
      <c r="S333" s="1427">
        <f t="shared" si="63"/>
        <v>0</v>
      </c>
    </row>
    <row r="334" ht="13" spans="1:19">
      <c r="A334" s="1437"/>
      <c r="B334" s="1432"/>
      <c r="C334" s="1428">
        <f t="shared" si="53"/>
        <v>1</v>
      </c>
      <c r="D334" s="1435"/>
      <c r="E334" s="1428">
        <f t="shared" si="54"/>
        <v>1</v>
      </c>
      <c r="F334" s="1435"/>
      <c r="G334" s="1428">
        <f t="shared" si="55"/>
        <v>1</v>
      </c>
      <c r="H334" s="1435"/>
      <c r="I334" s="1428">
        <f t="shared" si="56"/>
        <v>1</v>
      </c>
      <c r="J334" s="1435"/>
      <c r="K334" s="1428">
        <f t="shared" si="57"/>
        <v>1</v>
      </c>
      <c r="L334" s="1435"/>
      <c r="M334" s="1428">
        <f t="shared" si="58"/>
        <v>1</v>
      </c>
      <c r="N334" s="1435"/>
      <c r="O334" s="1428">
        <f t="shared" si="59"/>
        <v>1</v>
      </c>
      <c r="P334" s="1435"/>
      <c r="Q334" s="1428">
        <f t="shared" si="60"/>
        <v>0</v>
      </c>
      <c r="R334" s="1488">
        <f t="shared" si="61"/>
        <v>0</v>
      </c>
      <c r="S334" s="1427">
        <f t="shared" si="63"/>
        <v>0</v>
      </c>
    </row>
    <row r="335" ht="13" spans="1:19">
      <c r="A335" s="1437"/>
      <c r="B335" s="1432"/>
      <c r="C335" s="1428">
        <f t="shared" si="53"/>
        <v>1</v>
      </c>
      <c r="D335" s="1435"/>
      <c r="E335" s="1428">
        <f t="shared" si="54"/>
        <v>1</v>
      </c>
      <c r="F335" s="1435"/>
      <c r="G335" s="1428">
        <f t="shared" si="55"/>
        <v>1</v>
      </c>
      <c r="H335" s="1435"/>
      <c r="I335" s="1428">
        <f t="shared" si="56"/>
        <v>1</v>
      </c>
      <c r="J335" s="1435"/>
      <c r="K335" s="1428">
        <f t="shared" si="57"/>
        <v>1</v>
      </c>
      <c r="L335" s="1435"/>
      <c r="M335" s="1428">
        <f t="shared" si="58"/>
        <v>1</v>
      </c>
      <c r="N335" s="1435"/>
      <c r="O335" s="1428">
        <f t="shared" si="59"/>
        <v>1</v>
      </c>
      <c r="P335" s="1435"/>
      <c r="Q335" s="1428">
        <f t="shared" si="60"/>
        <v>0</v>
      </c>
      <c r="R335" s="1488">
        <f t="shared" si="61"/>
        <v>0</v>
      </c>
      <c r="S335" s="1427">
        <f t="shared" si="63"/>
        <v>0</v>
      </c>
    </row>
    <row r="336" ht="13" spans="1:19">
      <c r="A336" s="1437"/>
      <c r="B336" s="1432"/>
      <c r="C336" s="1428">
        <f t="shared" si="53"/>
        <v>1</v>
      </c>
      <c r="D336" s="1435"/>
      <c r="E336" s="1428">
        <f t="shared" si="54"/>
        <v>1</v>
      </c>
      <c r="F336" s="1435"/>
      <c r="G336" s="1428">
        <f t="shared" si="55"/>
        <v>1</v>
      </c>
      <c r="H336" s="1435"/>
      <c r="I336" s="1428">
        <f t="shared" si="56"/>
        <v>1</v>
      </c>
      <c r="J336" s="1435"/>
      <c r="K336" s="1428">
        <f t="shared" si="57"/>
        <v>1</v>
      </c>
      <c r="L336" s="1435"/>
      <c r="M336" s="1428">
        <f t="shared" si="58"/>
        <v>1</v>
      </c>
      <c r="N336" s="1435"/>
      <c r="O336" s="1428">
        <f t="shared" si="59"/>
        <v>1</v>
      </c>
      <c r="P336" s="1435"/>
      <c r="Q336" s="1428">
        <f t="shared" si="60"/>
        <v>0</v>
      </c>
      <c r="R336" s="1488">
        <f t="shared" si="61"/>
        <v>0</v>
      </c>
      <c r="S336" s="1427">
        <f t="shared" si="63"/>
        <v>0</v>
      </c>
    </row>
    <row r="337" ht="13" spans="1:19">
      <c r="A337" s="1437"/>
      <c r="B337" s="1432"/>
      <c r="C337" s="1428">
        <f t="shared" si="53"/>
        <v>1</v>
      </c>
      <c r="D337" s="1435"/>
      <c r="E337" s="1428">
        <f t="shared" si="54"/>
        <v>1</v>
      </c>
      <c r="F337" s="1435"/>
      <c r="G337" s="1428">
        <f t="shared" si="55"/>
        <v>1</v>
      </c>
      <c r="H337" s="1435"/>
      <c r="I337" s="1428">
        <f t="shared" si="56"/>
        <v>1</v>
      </c>
      <c r="J337" s="1435"/>
      <c r="K337" s="1428">
        <f t="shared" si="57"/>
        <v>1</v>
      </c>
      <c r="L337" s="1435"/>
      <c r="M337" s="1428">
        <f t="shared" si="58"/>
        <v>1</v>
      </c>
      <c r="N337" s="1435"/>
      <c r="O337" s="1428">
        <f t="shared" si="59"/>
        <v>1</v>
      </c>
      <c r="P337" s="1435"/>
      <c r="Q337" s="1428">
        <f t="shared" si="60"/>
        <v>0</v>
      </c>
      <c r="R337" s="1488">
        <f t="shared" si="61"/>
        <v>0</v>
      </c>
      <c r="S337" s="1427">
        <f t="shared" si="63"/>
        <v>0</v>
      </c>
    </row>
    <row r="338" ht="13" spans="1:19">
      <c r="A338" s="1437"/>
      <c r="B338" s="1432"/>
      <c r="C338" s="1428">
        <f t="shared" si="53"/>
        <v>1</v>
      </c>
      <c r="D338" s="1435"/>
      <c r="E338" s="1428">
        <f t="shared" si="54"/>
        <v>1</v>
      </c>
      <c r="F338" s="1435"/>
      <c r="G338" s="1428">
        <f t="shared" si="55"/>
        <v>1</v>
      </c>
      <c r="H338" s="1435"/>
      <c r="I338" s="1428">
        <f t="shared" si="56"/>
        <v>1</v>
      </c>
      <c r="J338" s="1435"/>
      <c r="K338" s="1428">
        <f t="shared" si="57"/>
        <v>1</v>
      </c>
      <c r="L338" s="1435"/>
      <c r="M338" s="1428">
        <f t="shared" si="58"/>
        <v>1</v>
      </c>
      <c r="N338" s="1435"/>
      <c r="O338" s="1428">
        <f t="shared" si="59"/>
        <v>1</v>
      </c>
      <c r="P338" s="1435"/>
      <c r="Q338" s="1428">
        <f t="shared" si="60"/>
        <v>0</v>
      </c>
      <c r="R338" s="1488">
        <f t="shared" si="61"/>
        <v>0</v>
      </c>
      <c r="S338" s="1427">
        <f t="shared" si="63"/>
        <v>0</v>
      </c>
    </row>
    <row r="339" ht="13" spans="1:19">
      <c r="A339" s="1437"/>
      <c r="B339" s="1432"/>
      <c r="C339" s="1428">
        <f t="shared" si="53"/>
        <v>1</v>
      </c>
      <c r="D339" s="1435"/>
      <c r="E339" s="1428">
        <f t="shared" si="54"/>
        <v>1</v>
      </c>
      <c r="F339" s="1435"/>
      <c r="G339" s="1428">
        <f t="shared" si="55"/>
        <v>1</v>
      </c>
      <c r="H339" s="1435"/>
      <c r="I339" s="1428">
        <f t="shared" si="56"/>
        <v>1</v>
      </c>
      <c r="J339" s="1435"/>
      <c r="K339" s="1428">
        <f t="shared" si="57"/>
        <v>1</v>
      </c>
      <c r="L339" s="1435"/>
      <c r="M339" s="1428">
        <f t="shared" si="58"/>
        <v>1</v>
      </c>
      <c r="N339" s="1435"/>
      <c r="O339" s="1428">
        <f t="shared" si="59"/>
        <v>1</v>
      </c>
      <c r="P339" s="1435"/>
      <c r="Q339" s="1428">
        <f t="shared" si="60"/>
        <v>0</v>
      </c>
      <c r="R339" s="1488">
        <f t="shared" si="61"/>
        <v>0</v>
      </c>
      <c r="S339" s="1427">
        <f t="shared" si="63"/>
        <v>0</v>
      </c>
    </row>
    <row r="340" ht="13" spans="1:19">
      <c r="A340" s="1437"/>
      <c r="B340" s="1432"/>
      <c r="C340" s="1428">
        <f t="shared" si="53"/>
        <v>1</v>
      </c>
      <c r="D340" s="1435"/>
      <c r="E340" s="1428">
        <f t="shared" si="54"/>
        <v>1</v>
      </c>
      <c r="F340" s="1435"/>
      <c r="G340" s="1428">
        <f t="shared" si="55"/>
        <v>1</v>
      </c>
      <c r="H340" s="1435"/>
      <c r="I340" s="1428">
        <f t="shared" si="56"/>
        <v>1</v>
      </c>
      <c r="J340" s="1435"/>
      <c r="K340" s="1428">
        <f t="shared" si="57"/>
        <v>1</v>
      </c>
      <c r="L340" s="1435"/>
      <c r="M340" s="1428">
        <f t="shared" si="58"/>
        <v>1</v>
      </c>
      <c r="N340" s="1435"/>
      <c r="O340" s="1428">
        <f t="shared" si="59"/>
        <v>1</v>
      </c>
      <c r="P340" s="1435"/>
      <c r="Q340" s="1428">
        <f t="shared" si="60"/>
        <v>0</v>
      </c>
      <c r="R340" s="1488">
        <f t="shared" si="61"/>
        <v>0</v>
      </c>
      <c r="S340" s="1427">
        <f t="shared" si="63"/>
        <v>0</v>
      </c>
    </row>
    <row r="341" ht="13" spans="1:19">
      <c r="A341" s="1437"/>
      <c r="B341" s="1432"/>
      <c r="C341" s="1428">
        <f t="shared" si="53"/>
        <v>1</v>
      </c>
      <c r="D341" s="1435"/>
      <c r="E341" s="1428">
        <f t="shared" si="54"/>
        <v>1</v>
      </c>
      <c r="F341" s="1435"/>
      <c r="G341" s="1428">
        <f t="shared" si="55"/>
        <v>1</v>
      </c>
      <c r="H341" s="1435"/>
      <c r="I341" s="1428">
        <f t="shared" si="56"/>
        <v>1</v>
      </c>
      <c r="J341" s="1435"/>
      <c r="K341" s="1428">
        <f t="shared" si="57"/>
        <v>1</v>
      </c>
      <c r="L341" s="1435"/>
      <c r="M341" s="1428">
        <f t="shared" si="58"/>
        <v>1</v>
      </c>
      <c r="N341" s="1435"/>
      <c r="O341" s="1428">
        <f t="shared" si="59"/>
        <v>1</v>
      </c>
      <c r="P341" s="1435"/>
      <c r="Q341" s="1428">
        <f t="shared" si="60"/>
        <v>0</v>
      </c>
      <c r="R341" s="1488">
        <f t="shared" si="61"/>
        <v>0</v>
      </c>
      <c r="S341" s="1427">
        <f t="shared" si="63"/>
        <v>0</v>
      </c>
    </row>
    <row r="342" ht="13" spans="1:19">
      <c r="A342" s="1437"/>
      <c r="B342" s="1432"/>
      <c r="C342" s="1428">
        <f t="shared" si="53"/>
        <v>1</v>
      </c>
      <c r="D342" s="1435"/>
      <c r="E342" s="1428">
        <f t="shared" si="54"/>
        <v>1</v>
      </c>
      <c r="F342" s="1435"/>
      <c r="G342" s="1428">
        <f t="shared" si="55"/>
        <v>1</v>
      </c>
      <c r="H342" s="1435"/>
      <c r="I342" s="1428">
        <f t="shared" si="56"/>
        <v>1</v>
      </c>
      <c r="J342" s="1435"/>
      <c r="K342" s="1428">
        <f t="shared" si="57"/>
        <v>1</v>
      </c>
      <c r="L342" s="1435"/>
      <c r="M342" s="1428">
        <f t="shared" si="58"/>
        <v>1</v>
      </c>
      <c r="N342" s="1435"/>
      <c r="O342" s="1428">
        <f t="shared" si="59"/>
        <v>1</v>
      </c>
      <c r="P342" s="1435"/>
      <c r="Q342" s="1428">
        <f t="shared" si="60"/>
        <v>0</v>
      </c>
      <c r="R342" s="1488">
        <f t="shared" si="61"/>
        <v>0</v>
      </c>
      <c r="S342" s="1427">
        <f t="shared" si="63"/>
        <v>0</v>
      </c>
    </row>
    <row r="343" ht="13" spans="1:19">
      <c r="A343" s="1437"/>
      <c r="B343" s="1432"/>
      <c r="C343" s="1428">
        <f t="shared" si="53"/>
        <v>1</v>
      </c>
      <c r="D343" s="1435"/>
      <c r="E343" s="1428">
        <f t="shared" si="54"/>
        <v>1</v>
      </c>
      <c r="F343" s="1435"/>
      <c r="G343" s="1428">
        <f t="shared" si="55"/>
        <v>1</v>
      </c>
      <c r="H343" s="1435"/>
      <c r="I343" s="1428">
        <f t="shared" si="56"/>
        <v>1</v>
      </c>
      <c r="J343" s="1435"/>
      <c r="K343" s="1428">
        <f t="shared" si="57"/>
        <v>1</v>
      </c>
      <c r="L343" s="1435"/>
      <c r="M343" s="1428">
        <f t="shared" si="58"/>
        <v>1</v>
      </c>
      <c r="N343" s="1435"/>
      <c r="O343" s="1428">
        <f t="shared" si="59"/>
        <v>1</v>
      </c>
      <c r="P343" s="1435"/>
      <c r="Q343" s="1428">
        <f t="shared" si="60"/>
        <v>0</v>
      </c>
      <c r="R343" s="1488">
        <f t="shared" si="61"/>
        <v>0</v>
      </c>
      <c r="S343" s="1427">
        <f t="shared" si="63"/>
        <v>0</v>
      </c>
    </row>
    <row r="344" ht="13" spans="1:19">
      <c r="A344" s="1437"/>
      <c r="B344" s="1432"/>
      <c r="C344" s="1428">
        <f t="shared" si="53"/>
        <v>1</v>
      </c>
      <c r="D344" s="1435"/>
      <c r="E344" s="1428">
        <f t="shared" si="54"/>
        <v>1</v>
      </c>
      <c r="F344" s="1435"/>
      <c r="G344" s="1428">
        <f t="shared" si="55"/>
        <v>1</v>
      </c>
      <c r="H344" s="1435"/>
      <c r="I344" s="1428">
        <f t="shared" si="56"/>
        <v>1</v>
      </c>
      <c r="J344" s="1435"/>
      <c r="K344" s="1428">
        <f t="shared" si="57"/>
        <v>1</v>
      </c>
      <c r="L344" s="1435"/>
      <c r="M344" s="1428">
        <f t="shared" si="58"/>
        <v>1</v>
      </c>
      <c r="N344" s="1435"/>
      <c r="O344" s="1428">
        <f t="shared" si="59"/>
        <v>1</v>
      </c>
      <c r="P344" s="1435"/>
      <c r="Q344" s="1428">
        <f t="shared" si="60"/>
        <v>0</v>
      </c>
      <c r="R344" s="1488">
        <f t="shared" si="61"/>
        <v>0</v>
      </c>
      <c r="S344" s="1427">
        <f t="shared" si="63"/>
        <v>0</v>
      </c>
    </row>
    <row r="345" ht="13" spans="1:19">
      <c r="A345" s="1437"/>
      <c r="B345" s="1432"/>
      <c r="C345" s="1428">
        <f t="shared" si="53"/>
        <v>1</v>
      </c>
      <c r="D345" s="1435"/>
      <c r="E345" s="1428">
        <f t="shared" si="54"/>
        <v>1</v>
      </c>
      <c r="F345" s="1435"/>
      <c r="G345" s="1428">
        <f t="shared" si="55"/>
        <v>1</v>
      </c>
      <c r="H345" s="1435"/>
      <c r="I345" s="1428">
        <f t="shared" si="56"/>
        <v>1</v>
      </c>
      <c r="J345" s="1435"/>
      <c r="K345" s="1428">
        <f t="shared" si="57"/>
        <v>1</v>
      </c>
      <c r="L345" s="1435"/>
      <c r="M345" s="1428">
        <f t="shared" si="58"/>
        <v>1</v>
      </c>
      <c r="N345" s="1435"/>
      <c r="O345" s="1428">
        <f t="shared" si="59"/>
        <v>1</v>
      </c>
      <c r="P345" s="1435"/>
      <c r="Q345" s="1428">
        <f t="shared" si="60"/>
        <v>0</v>
      </c>
      <c r="R345" s="1488">
        <f t="shared" si="61"/>
        <v>0</v>
      </c>
      <c r="S345" s="1427">
        <f t="shared" si="63"/>
        <v>0</v>
      </c>
    </row>
    <row r="346" ht="13" spans="1:19">
      <c r="A346" s="1437"/>
      <c r="B346" s="1432"/>
      <c r="C346" s="1428">
        <f t="shared" ref="C346:C409" si="64">IF(B346="",1,(LOOKUP(B346,$3:$3,$4:$4)-LOOKUP($B$24,$3:$3,$4:$4)+100)/100)</f>
        <v>1</v>
      </c>
      <c r="D346" s="1435"/>
      <c r="E346" s="1428">
        <f t="shared" ref="E346:E409" si="65">(SUMIF($5:$5,D346,$6:$6)-SUMIF($5:$5,$D$24,$6:$6)+100)/100</f>
        <v>1</v>
      </c>
      <c r="F346" s="1435"/>
      <c r="G346" s="1428">
        <f t="shared" ref="G346:G409" si="66">(SUMIF($7:$7,F346,$8:$8)-SUMIF($7:$7,$F$24,$8:$8)+100)/100</f>
        <v>1</v>
      </c>
      <c r="H346" s="1435"/>
      <c r="I346" s="1428">
        <f t="shared" ref="I346:I409" si="67">(SUMIF($9:$9,H346,$10:$10)-SUMIF($9:$9,$H$24,$10:$10)+100)/100</f>
        <v>1</v>
      </c>
      <c r="J346" s="1435"/>
      <c r="K346" s="1428">
        <f t="shared" ref="K346:K409" si="68">(SUMIF($11:$11,J346,$12:$12)-SUMIF($11:$11,$J$24,$12:$12)+100)/100</f>
        <v>1</v>
      </c>
      <c r="L346" s="1435"/>
      <c r="M346" s="1428">
        <f t="shared" ref="M346:M409" si="69">(SUMIF($13:$13,L346,$14:$14)-SUMIF($13:$13,$L$24,$14:$14)+100)/100</f>
        <v>1</v>
      </c>
      <c r="N346" s="1435"/>
      <c r="O346" s="1428">
        <f t="shared" ref="O346:O409" si="70">(SUMIF($15:$15,N346,$16:$16)-SUMIF($15:$15,$N$24,$16:$16)+100)/100</f>
        <v>1</v>
      </c>
      <c r="P346" s="1435"/>
      <c r="Q346" s="1428">
        <f t="shared" ref="Q346:Q409" si="71">(SUMIF($17:$17,P346,$18:$18)-SUMIF($17:$17,$P$24,$18:$18)+100)/100</f>
        <v>0</v>
      </c>
      <c r="R346" s="1488">
        <f t="shared" ref="R346:R409" si="72">IF(B346="",0,ROUND($R$24*C346*E346*G346*I346*K346*M346*O346*Q346,0))</f>
        <v>0</v>
      </c>
      <c r="S346" s="1427">
        <f t="shared" si="63"/>
        <v>0</v>
      </c>
    </row>
    <row r="347" ht="13" spans="1:19">
      <c r="A347" s="1437"/>
      <c r="B347" s="1432"/>
      <c r="C347" s="1428">
        <f t="shared" si="64"/>
        <v>1</v>
      </c>
      <c r="D347" s="1435"/>
      <c r="E347" s="1428">
        <f t="shared" si="65"/>
        <v>1</v>
      </c>
      <c r="F347" s="1435"/>
      <c r="G347" s="1428">
        <f t="shared" si="66"/>
        <v>1</v>
      </c>
      <c r="H347" s="1435"/>
      <c r="I347" s="1428">
        <f t="shared" si="67"/>
        <v>1</v>
      </c>
      <c r="J347" s="1435"/>
      <c r="K347" s="1428">
        <f t="shared" si="68"/>
        <v>1</v>
      </c>
      <c r="L347" s="1435"/>
      <c r="M347" s="1428">
        <f t="shared" si="69"/>
        <v>1</v>
      </c>
      <c r="N347" s="1435"/>
      <c r="O347" s="1428">
        <f t="shared" si="70"/>
        <v>1</v>
      </c>
      <c r="P347" s="1435"/>
      <c r="Q347" s="1428">
        <f t="shared" si="71"/>
        <v>0</v>
      </c>
      <c r="R347" s="1488">
        <f t="shared" si="72"/>
        <v>0</v>
      </c>
      <c r="S347" s="1427">
        <f t="shared" si="63"/>
        <v>0</v>
      </c>
    </row>
    <row r="348" ht="13" spans="1:19">
      <c r="A348" s="1437"/>
      <c r="B348" s="1432"/>
      <c r="C348" s="1428">
        <f t="shared" si="64"/>
        <v>1</v>
      </c>
      <c r="D348" s="1435"/>
      <c r="E348" s="1428">
        <f t="shared" si="65"/>
        <v>1</v>
      </c>
      <c r="F348" s="1435"/>
      <c r="G348" s="1428">
        <f t="shared" si="66"/>
        <v>1</v>
      </c>
      <c r="H348" s="1435"/>
      <c r="I348" s="1428">
        <f t="shared" si="67"/>
        <v>1</v>
      </c>
      <c r="J348" s="1435"/>
      <c r="K348" s="1428">
        <f t="shared" si="68"/>
        <v>1</v>
      </c>
      <c r="L348" s="1435"/>
      <c r="M348" s="1428">
        <f t="shared" si="69"/>
        <v>1</v>
      </c>
      <c r="N348" s="1435"/>
      <c r="O348" s="1428">
        <f t="shared" si="70"/>
        <v>1</v>
      </c>
      <c r="P348" s="1435"/>
      <c r="Q348" s="1428">
        <f t="shared" si="71"/>
        <v>0</v>
      </c>
      <c r="R348" s="1488">
        <f t="shared" si="72"/>
        <v>0</v>
      </c>
      <c r="S348" s="1427">
        <f t="shared" si="63"/>
        <v>0</v>
      </c>
    </row>
    <row r="349" ht="13" spans="1:19">
      <c r="A349" s="1437"/>
      <c r="B349" s="1432"/>
      <c r="C349" s="1428">
        <f t="shared" si="64"/>
        <v>1</v>
      </c>
      <c r="D349" s="1435"/>
      <c r="E349" s="1428">
        <f t="shared" si="65"/>
        <v>1</v>
      </c>
      <c r="F349" s="1435"/>
      <c r="G349" s="1428">
        <f t="shared" si="66"/>
        <v>1</v>
      </c>
      <c r="H349" s="1435"/>
      <c r="I349" s="1428">
        <f t="shared" si="67"/>
        <v>1</v>
      </c>
      <c r="J349" s="1435"/>
      <c r="K349" s="1428">
        <f t="shared" si="68"/>
        <v>1</v>
      </c>
      <c r="L349" s="1435"/>
      <c r="M349" s="1428">
        <f t="shared" si="69"/>
        <v>1</v>
      </c>
      <c r="N349" s="1435"/>
      <c r="O349" s="1428">
        <f t="shared" si="70"/>
        <v>1</v>
      </c>
      <c r="P349" s="1435"/>
      <c r="Q349" s="1428">
        <f t="shared" si="71"/>
        <v>0</v>
      </c>
      <c r="R349" s="1488">
        <f t="shared" si="72"/>
        <v>0</v>
      </c>
      <c r="S349" s="1427">
        <f t="shared" si="63"/>
        <v>0</v>
      </c>
    </row>
    <row r="350" ht="13" spans="1:19">
      <c r="A350" s="1437"/>
      <c r="B350" s="1432"/>
      <c r="C350" s="1428">
        <f t="shared" si="64"/>
        <v>1</v>
      </c>
      <c r="D350" s="1435"/>
      <c r="E350" s="1428">
        <f t="shared" si="65"/>
        <v>1</v>
      </c>
      <c r="F350" s="1435"/>
      <c r="G350" s="1428">
        <f t="shared" si="66"/>
        <v>1</v>
      </c>
      <c r="H350" s="1435"/>
      <c r="I350" s="1428">
        <f t="shared" si="67"/>
        <v>1</v>
      </c>
      <c r="J350" s="1435"/>
      <c r="K350" s="1428">
        <f t="shared" si="68"/>
        <v>1</v>
      </c>
      <c r="L350" s="1435"/>
      <c r="M350" s="1428">
        <f t="shared" si="69"/>
        <v>1</v>
      </c>
      <c r="N350" s="1435"/>
      <c r="O350" s="1428">
        <f t="shared" si="70"/>
        <v>1</v>
      </c>
      <c r="P350" s="1435"/>
      <c r="Q350" s="1428">
        <f t="shared" si="71"/>
        <v>0</v>
      </c>
      <c r="R350" s="1488">
        <f t="shared" si="72"/>
        <v>0</v>
      </c>
      <c r="S350" s="1427">
        <f t="shared" si="63"/>
        <v>0</v>
      </c>
    </row>
    <row r="351" ht="13" spans="1:19">
      <c r="A351" s="1437"/>
      <c r="B351" s="1432"/>
      <c r="C351" s="1428">
        <f t="shared" si="64"/>
        <v>1</v>
      </c>
      <c r="D351" s="1435"/>
      <c r="E351" s="1428">
        <f t="shared" si="65"/>
        <v>1</v>
      </c>
      <c r="F351" s="1435"/>
      <c r="G351" s="1428">
        <f t="shared" si="66"/>
        <v>1</v>
      </c>
      <c r="H351" s="1435"/>
      <c r="I351" s="1428">
        <f t="shared" si="67"/>
        <v>1</v>
      </c>
      <c r="J351" s="1435"/>
      <c r="K351" s="1428">
        <f t="shared" si="68"/>
        <v>1</v>
      </c>
      <c r="L351" s="1435"/>
      <c r="M351" s="1428">
        <f t="shared" si="69"/>
        <v>1</v>
      </c>
      <c r="N351" s="1435"/>
      <c r="O351" s="1428">
        <f t="shared" si="70"/>
        <v>1</v>
      </c>
      <c r="P351" s="1435"/>
      <c r="Q351" s="1428">
        <f t="shared" si="71"/>
        <v>0</v>
      </c>
      <c r="R351" s="1488">
        <f t="shared" si="72"/>
        <v>0</v>
      </c>
      <c r="S351" s="1427">
        <f t="shared" si="63"/>
        <v>0</v>
      </c>
    </row>
    <row r="352" ht="13" spans="1:19">
      <c r="A352" s="1437"/>
      <c r="B352" s="1432"/>
      <c r="C352" s="1428">
        <f t="shared" si="64"/>
        <v>1</v>
      </c>
      <c r="D352" s="1435"/>
      <c r="E352" s="1428">
        <f t="shared" si="65"/>
        <v>1</v>
      </c>
      <c r="F352" s="1435"/>
      <c r="G352" s="1428">
        <f t="shared" si="66"/>
        <v>1</v>
      </c>
      <c r="H352" s="1435"/>
      <c r="I352" s="1428">
        <f t="shared" si="67"/>
        <v>1</v>
      </c>
      <c r="J352" s="1435"/>
      <c r="K352" s="1428">
        <f t="shared" si="68"/>
        <v>1</v>
      </c>
      <c r="L352" s="1435"/>
      <c r="M352" s="1428">
        <f t="shared" si="69"/>
        <v>1</v>
      </c>
      <c r="N352" s="1435"/>
      <c r="O352" s="1428">
        <f t="shared" si="70"/>
        <v>1</v>
      </c>
      <c r="P352" s="1435"/>
      <c r="Q352" s="1428">
        <f t="shared" si="71"/>
        <v>0</v>
      </c>
      <c r="R352" s="1488">
        <f t="shared" si="72"/>
        <v>0</v>
      </c>
      <c r="S352" s="1427">
        <f t="shared" si="63"/>
        <v>0</v>
      </c>
    </row>
    <row r="353" ht="13" spans="1:19">
      <c r="A353" s="1437"/>
      <c r="B353" s="1432"/>
      <c r="C353" s="1428">
        <f t="shared" si="64"/>
        <v>1</v>
      </c>
      <c r="D353" s="1435"/>
      <c r="E353" s="1428">
        <f t="shared" si="65"/>
        <v>1</v>
      </c>
      <c r="F353" s="1435"/>
      <c r="G353" s="1428">
        <f t="shared" si="66"/>
        <v>1</v>
      </c>
      <c r="H353" s="1435"/>
      <c r="I353" s="1428">
        <f t="shared" si="67"/>
        <v>1</v>
      </c>
      <c r="J353" s="1435"/>
      <c r="K353" s="1428">
        <f t="shared" si="68"/>
        <v>1</v>
      </c>
      <c r="L353" s="1435"/>
      <c r="M353" s="1428">
        <f t="shared" si="69"/>
        <v>1</v>
      </c>
      <c r="N353" s="1435"/>
      <c r="O353" s="1428">
        <f t="shared" si="70"/>
        <v>1</v>
      </c>
      <c r="P353" s="1435"/>
      <c r="Q353" s="1428">
        <f t="shared" si="71"/>
        <v>0</v>
      </c>
      <c r="R353" s="1488">
        <f t="shared" si="72"/>
        <v>0</v>
      </c>
      <c r="S353" s="1427">
        <f t="shared" si="63"/>
        <v>0</v>
      </c>
    </row>
    <row r="354" ht="13" spans="1:19">
      <c r="A354" s="1437"/>
      <c r="B354" s="1432"/>
      <c r="C354" s="1428">
        <f t="shared" si="64"/>
        <v>1</v>
      </c>
      <c r="D354" s="1435"/>
      <c r="E354" s="1428">
        <f t="shared" si="65"/>
        <v>1</v>
      </c>
      <c r="F354" s="1435"/>
      <c r="G354" s="1428">
        <f t="shared" si="66"/>
        <v>1</v>
      </c>
      <c r="H354" s="1435"/>
      <c r="I354" s="1428">
        <f t="shared" si="67"/>
        <v>1</v>
      </c>
      <c r="J354" s="1435"/>
      <c r="K354" s="1428">
        <f t="shared" si="68"/>
        <v>1</v>
      </c>
      <c r="L354" s="1435"/>
      <c r="M354" s="1428">
        <f t="shared" si="69"/>
        <v>1</v>
      </c>
      <c r="N354" s="1435"/>
      <c r="O354" s="1428">
        <f t="shared" si="70"/>
        <v>1</v>
      </c>
      <c r="P354" s="1435"/>
      <c r="Q354" s="1428">
        <f t="shared" si="71"/>
        <v>0</v>
      </c>
      <c r="R354" s="1488">
        <f t="shared" si="72"/>
        <v>0</v>
      </c>
      <c r="S354" s="1427">
        <f t="shared" si="63"/>
        <v>0</v>
      </c>
    </row>
    <row r="355" ht="13" spans="1:19">
      <c r="A355" s="1437"/>
      <c r="B355" s="1432"/>
      <c r="C355" s="1428">
        <f t="shared" si="64"/>
        <v>1</v>
      </c>
      <c r="D355" s="1435"/>
      <c r="E355" s="1428">
        <f t="shared" si="65"/>
        <v>1</v>
      </c>
      <c r="F355" s="1435"/>
      <c r="G355" s="1428">
        <f t="shared" si="66"/>
        <v>1</v>
      </c>
      <c r="H355" s="1435"/>
      <c r="I355" s="1428">
        <f t="shared" si="67"/>
        <v>1</v>
      </c>
      <c r="J355" s="1435"/>
      <c r="K355" s="1428">
        <f t="shared" si="68"/>
        <v>1</v>
      </c>
      <c r="L355" s="1435"/>
      <c r="M355" s="1428">
        <f t="shared" si="69"/>
        <v>1</v>
      </c>
      <c r="N355" s="1435"/>
      <c r="O355" s="1428">
        <f t="shared" si="70"/>
        <v>1</v>
      </c>
      <c r="P355" s="1435"/>
      <c r="Q355" s="1428">
        <f t="shared" si="71"/>
        <v>0</v>
      </c>
      <c r="R355" s="1488">
        <f t="shared" si="72"/>
        <v>0</v>
      </c>
      <c r="S355" s="1427">
        <f t="shared" si="63"/>
        <v>0</v>
      </c>
    </row>
    <row r="356" ht="13" spans="1:19">
      <c r="A356" s="1437"/>
      <c r="B356" s="1432"/>
      <c r="C356" s="1428">
        <f t="shared" si="64"/>
        <v>1</v>
      </c>
      <c r="D356" s="1435"/>
      <c r="E356" s="1428">
        <f t="shared" si="65"/>
        <v>1</v>
      </c>
      <c r="F356" s="1435"/>
      <c r="G356" s="1428">
        <f t="shared" si="66"/>
        <v>1</v>
      </c>
      <c r="H356" s="1435"/>
      <c r="I356" s="1428">
        <f t="shared" si="67"/>
        <v>1</v>
      </c>
      <c r="J356" s="1435"/>
      <c r="K356" s="1428">
        <f t="shared" si="68"/>
        <v>1</v>
      </c>
      <c r="L356" s="1435"/>
      <c r="M356" s="1428">
        <f t="shared" si="69"/>
        <v>1</v>
      </c>
      <c r="N356" s="1435"/>
      <c r="O356" s="1428">
        <f t="shared" si="70"/>
        <v>1</v>
      </c>
      <c r="P356" s="1435"/>
      <c r="Q356" s="1428">
        <f t="shared" si="71"/>
        <v>0</v>
      </c>
      <c r="R356" s="1488">
        <f t="shared" si="72"/>
        <v>0</v>
      </c>
      <c r="S356" s="1427">
        <f t="shared" si="63"/>
        <v>0</v>
      </c>
    </row>
    <row r="357" ht="13" spans="1:19">
      <c r="A357" s="1437"/>
      <c r="B357" s="1432"/>
      <c r="C357" s="1428">
        <f t="shared" si="64"/>
        <v>1</v>
      </c>
      <c r="D357" s="1435"/>
      <c r="E357" s="1428">
        <f t="shared" si="65"/>
        <v>1</v>
      </c>
      <c r="F357" s="1435"/>
      <c r="G357" s="1428">
        <f t="shared" si="66"/>
        <v>1</v>
      </c>
      <c r="H357" s="1435"/>
      <c r="I357" s="1428">
        <f t="shared" si="67"/>
        <v>1</v>
      </c>
      <c r="J357" s="1435"/>
      <c r="K357" s="1428">
        <f t="shared" si="68"/>
        <v>1</v>
      </c>
      <c r="L357" s="1435"/>
      <c r="M357" s="1428">
        <f t="shared" si="69"/>
        <v>1</v>
      </c>
      <c r="N357" s="1435"/>
      <c r="O357" s="1428">
        <f t="shared" si="70"/>
        <v>1</v>
      </c>
      <c r="P357" s="1435"/>
      <c r="Q357" s="1428">
        <f t="shared" si="71"/>
        <v>0</v>
      </c>
      <c r="R357" s="1488">
        <f t="shared" si="72"/>
        <v>0</v>
      </c>
      <c r="S357" s="1427">
        <f t="shared" si="63"/>
        <v>0</v>
      </c>
    </row>
    <row r="358" ht="13" spans="1:19">
      <c r="A358" s="1437"/>
      <c r="B358" s="1432"/>
      <c r="C358" s="1428">
        <f t="shared" si="64"/>
        <v>1</v>
      </c>
      <c r="D358" s="1435"/>
      <c r="E358" s="1428">
        <f t="shared" si="65"/>
        <v>1</v>
      </c>
      <c r="F358" s="1435"/>
      <c r="G358" s="1428">
        <f t="shared" si="66"/>
        <v>1</v>
      </c>
      <c r="H358" s="1435"/>
      <c r="I358" s="1428">
        <f t="shared" si="67"/>
        <v>1</v>
      </c>
      <c r="J358" s="1435"/>
      <c r="K358" s="1428">
        <f t="shared" si="68"/>
        <v>1</v>
      </c>
      <c r="L358" s="1435"/>
      <c r="M358" s="1428">
        <f t="shared" si="69"/>
        <v>1</v>
      </c>
      <c r="N358" s="1435"/>
      <c r="O358" s="1428">
        <f t="shared" si="70"/>
        <v>1</v>
      </c>
      <c r="P358" s="1435"/>
      <c r="Q358" s="1428">
        <f t="shared" si="71"/>
        <v>0</v>
      </c>
      <c r="R358" s="1488">
        <f t="shared" si="72"/>
        <v>0</v>
      </c>
      <c r="S358" s="1427">
        <f t="shared" si="63"/>
        <v>0</v>
      </c>
    </row>
    <row r="359" ht="13" spans="1:19">
      <c r="A359" s="1437"/>
      <c r="B359" s="1432"/>
      <c r="C359" s="1428">
        <f t="shared" si="64"/>
        <v>1</v>
      </c>
      <c r="D359" s="1435"/>
      <c r="E359" s="1428">
        <f t="shared" si="65"/>
        <v>1</v>
      </c>
      <c r="F359" s="1435"/>
      <c r="G359" s="1428">
        <f t="shared" si="66"/>
        <v>1</v>
      </c>
      <c r="H359" s="1435"/>
      <c r="I359" s="1428">
        <f t="shared" si="67"/>
        <v>1</v>
      </c>
      <c r="J359" s="1435"/>
      <c r="K359" s="1428">
        <f t="shared" si="68"/>
        <v>1</v>
      </c>
      <c r="L359" s="1435"/>
      <c r="M359" s="1428">
        <f t="shared" si="69"/>
        <v>1</v>
      </c>
      <c r="N359" s="1435"/>
      <c r="O359" s="1428">
        <f t="shared" si="70"/>
        <v>1</v>
      </c>
      <c r="P359" s="1435"/>
      <c r="Q359" s="1428">
        <f t="shared" si="71"/>
        <v>0</v>
      </c>
      <c r="R359" s="1488">
        <f t="shared" si="72"/>
        <v>0</v>
      </c>
      <c r="S359" s="1427">
        <f t="shared" si="63"/>
        <v>0</v>
      </c>
    </row>
    <row r="360" ht="13" spans="1:19">
      <c r="A360" s="1437"/>
      <c r="B360" s="1432"/>
      <c r="C360" s="1428">
        <f t="shared" si="64"/>
        <v>1</v>
      </c>
      <c r="D360" s="1435"/>
      <c r="E360" s="1428">
        <f t="shared" si="65"/>
        <v>1</v>
      </c>
      <c r="F360" s="1435"/>
      <c r="G360" s="1428">
        <f t="shared" si="66"/>
        <v>1</v>
      </c>
      <c r="H360" s="1435"/>
      <c r="I360" s="1428">
        <f t="shared" si="67"/>
        <v>1</v>
      </c>
      <c r="J360" s="1435"/>
      <c r="K360" s="1428">
        <f t="shared" si="68"/>
        <v>1</v>
      </c>
      <c r="L360" s="1435"/>
      <c r="M360" s="1428">
        <f t="shared" si="69"/>
        <v>1</v>
      </c>
      <c r="N360" s="1435"/>
      <c r="O360" s="1428">
        <f t="shared" si="70"/>
        <v>1</v>
      </c>
      <c r="P360" s="1435"/>
      <c r="Q360" s="1428">
        <f t="shared" si="71"/>
        <v>0</v>
      </c>
      <c r="R360" s="1488">
        <f t="shared" si="72"/>
        <v>0</v>
      </c>
      <c r="S360" s="1427">
        <f t="shared" si="63"/>
        <v>0</v>
      </c>
    </row>
    <row r="361" ht="13" spans="1:19">
      <c r="A361" s="1437"/>
      <c r="B361" s="1432"/>
      <c r="C361" s="1428">
        <f t="shared" si="64"/>
        <v>1</v>
      </c>
      <c r="D361" s="1435"/>
      <c r="E361" s="1428">
        <f t="shared" si="65"/>
        <v>1</v>
      </c>
      <c r="F361" s="1435"/>
      <c r="G361" s="1428">
        <f t="shared" si="66"/>
        <v>1</v>
      </c>
      <c r="H361" s="1435"/>
      <c r="I361" s="1428">
        <f t="shared" si="67"/>
        <v>1</v>
      </c>
      <c r="J361" s="1435"/>
      <c r="K361" s="1428">
        <f t="shared" si="68"/>
        <v>1</v>
      </c>
      <c r="L361" s="1435"/>
      <c r="M361" s="1428">
        <f t="shared" si="69"/>
        <v>1</v>
      </c>
      <c r="N361" s="1435"/>
      <c r="O361" s="1428">
        <f t="shared" si="70"/>
        <v>1</v>
      </c>
      <c r="P361" s="1435"/>
      <c r="Q361" s="1428">
        <f t="shared" si="71"/>
        <v>0</v>
      </c>
      <c r="R361" s="1488">
        <f t="shared" si="72"/>
        <v>0</v>
      </c>
      <c r="S361" s="1427">
        <f t="shared" si="63"/>
        <v>0</v>
      </c>
    </row>
    <row r="362" ht="13" spans="1:19">
      <c r="A362" s="1437"/>
      <c r="B362" s="1432"/>
      <c r="C362" s="1428">
        <f t="shared" si="64"/>
        <v>1</v>
      </c>
      <c r="D362" s="1435"/>
      <c r="E362" s="1428">
        <f t="shared" si="65"/>
        <v>1</v>
      </c>
      <c r="F362" s="1435"/>
      <c r="G362" s="1428">
        <f t="shared" si="66"/>
        <v>1</v>
      </c>
      <c r="H362" s="1435"/>
      <c r="I362" s="1428">
        <f t="shared" si="67"/>
        <v>1</v>
      </c>
      <c r="J362" s="1435"/>
      <c r="K362" s="1428">
        <f t="shared" si="68"/>
        <v>1</v>
      </c>
      <c r="L362" s="1435"/>
      <c r="M362" s="1428">
        <f t="shared" si="69"/>
        <v>1</v>
      </c>
      <c r="N362" s="1435"/>
      <c r="O362" s="1428">
        <f t="shared" si="70"/>
        <v>1</v>
      </c>
      <c r="P362" s="1435"/>
      <c r="Q362" s="1428">
        <f t="shared" si="71"/>
        <v>0</v>
      </c>
      <c r="R362" s="1488">
        <f t="shared" si="72"/>
        <v>0</v>
      </c>
      <c r="S362" s="1427">
        <f t="shared" si="63"/>
        <v>0</v>
      </c>
    </row>
    <row r="363" ht="13" spans="1:19">
      <c r="A363" s="1437"/>
      <c r="B363" s="1432"/>
      <c r="C363" s="1428">
        <f t="shared" si="64"/>
        <v>1</v>
      </c>
      <c r="D363" s="1435"/>
      <c r="E363" s="1428">
        <f t="shared" si="65"/>
        <v>1</v>
      </c>
      <c r="F363" s="1435"/>
      <c r="G363" s="1428">
        <f t="shared" si="66"/>
        <v>1</v>
      </c>
      <c r="H363" s="1435"/>
      <c r="I363" s="1428">
        <f t="shared" si="67"/>
        <v>1</v>
      </c>
      <c r="J363" s="1435"/>
      <c r="K363" s="1428">
        <f t="shared" si="68"/>
        <v>1</v>
      </c>
      <c r="L363" s="1435"/>
      <c r="M363" s="1428">
        <f t="shared" si="69"/>
        <v>1</v>
      </c>
      <c r="N363" s="1435"/>
      <c r="O363" s="1428">
        <f t="shared" si="70"/>
        <v>1</v>
      </c>
      <c r="P363" s="1435"/>
      <c r="Q363" s="1428">
        <f t="shared" si="71"/>
        <v>0</v>
      </c>
      <c r="R363" s="1488">
        <f t="shared" si="72"/>
        <v>0</v>
      </c>
      <c r="S363" s="1427">
        <f t="shared" si="63"/>
        <v>0</v>
      </c>
    </row>
    <row r="364" ht="13" spans="1:19">
      <c r="A364" s="1437"/>
      <c r="B364" s="1432"/>
      <c r="C364" s="1428">
        <f t="shared" si="64"/>
        <v>1</v>
      </c>
      <c r="D364" s="1435"/>
      <c r="E364" s="1428">
        <f t="shared" si="65"/>
        <v>1</v>
      </c>
      <c r="F364" s="1435"/>
      <c r="G364" s="1428">
        <f t="shared" si="66"/>
        <v>1</v>
      </c>
      <c r="H364" s="1435"/>
      <c r="I364" s="1428">
        <f t="shared" si="67"/>
        <v>1</v>
      </c>
      <c r="J364" s="1435"/>
      <c r="K364" s="1428">
        <f t="shared" si="68"/>
        <v>1</v>
      </c>
      <c r="L364" s="1435"/>
      <c r="M364" s="1428">
        <f t="shared" si="69"/>
        <v>1</v>
      </c>
      <c r="N364" s="1435"/>
      <c r="O364" s="1428">
        <f t="shared" si="70"/>
        <v>1</v>
      </c>
      <c r="P364" s="1435"/>
      <c r="Q364" s="1428">
        <f t="shared" si="71"/>
        <v>0</v>
      </c>
      <c r="R364" s="1488">
        <f t="shared" si="72"/>
        <v>0</v>
      </c>
      <c r="S364" s="1427">
        <f t="shared" si="63"/>
        <v>0</v>
      </c>
    </row>
    <row r="365" ht="13" spans="1:19">
      <c r="A365" s="1437"/>
      <c r="B365" s="1432"/>
      <c r="C365" s="1428">
        <f t="shared" si="64"/>
        <v>1</v>
      </c>
      <c r="D365" s="1435"/>
      <c r="E365" s="1428">
        <f t="shared" si="65"/>
        <v>1</v>
      </c>
      <c r="F365" s="1435"/>
      <c r="G365" s="1428">
        <f t="shared" si="66"/>
        <v>1</v>
      </c>
      <c r="H365" s="1435"/>
      <c r="I365" s="1428">
        <f t="shared" si="67"/>
        <v>1</v>
      </c>
      <c r="J365" s="1435"/>
      <c r="K365" s="1428">
        <f t="shared" si="68"/>
        <v>1</v>
      </c>
      <c r="L365" s="1435"/>
      <c r="M365" s="1428">
        <f t="shared" si="69"/>
        <v>1</v>
      </c>
      <c r="N365" s="1435"/>
      <c r="O365" s="1428">
        <f t="shared" si="70"/>
        <v>1</v>
      </c>
      <c r="P365" s="1435"/>
      <c r="Q365" s="1428">
        <f t="shared" si="71"/>
        <v>0</v>
      </c>
      <c r="R365" s="1488">
        <f t="shared" si="72"/>
        <v>0</v>
      </c>
      <c r="S365" s="1427">
        <f t="shared" si="63"/>
        <v>0</v>
      </c>
    </row>
    <row r="366" ht="13" spans="1:19">
      <c r="A366" s="1437"/>
      <c r="B366" s="1432"/>
      <c r="C366" s="1428">
        <f t="shared" si="64"/>
        <v>1</v>
      </c>
      <c r="D366" s="1435"/>
      <c r="E366" s="1428">
        <f t="shared" si="65"/>
        <v>1</v>
      </c>
      <c r="F366" s="1435"/>
      <c r="G366" s="1428">
        <f t="shared" si="66"/>
        <v>1</v>
      </c>
      <c r="H366" s="1435"/>
      <c r="I366" s="1428">
        <f t="shared" si="67"/>
        <v>1</v>
      </c>
      <c r="J366" s="1435"/>
      <c r="K366" s="1428">
        <f t="shared" si="68"/>
        <v>1</v>
      </c>
      <c r="L366" s="1435"/>
      <c r="M366" s="1428">
        <f t="shared" si="69"/>
        <v>1</v>
      </c>
      <c r="N366" s="1435"/>
      <c r="O366" s="1428">
        <f t="shared" si="70"/>
        <v>1</v>
      </c>
      <c r="P366" s="1435"/>
      <c r="Q366" s="1428">
        <f t="shared" si="71"/>
        <v>0</v>
      </c>
      <c r="R366" s="1488">
        <f t="shared" si="72"/>
        <v>0</v>
      </c>
      <c r="S366" s="1427">
        <f t="shared" si="63"/>
        <v>0</v>
      </c>
    </row>
    <row r="367" ht="13" spans="1:19">
      <c r="A367" s="1437"/>
      <c r="B367" s="1432"/>
      <c r="C367" s="1428">
        <f t="shared" si="64"/>
        <v>1</v>
      </c>
      <c r="D367" s="1435"/>
      <c r="E367" s="1428">
        <f t="shared" si="65"/>
        <v>1</v>
      </c>
      <c r="F367" s="1435"/>
      <c r="G367" s="1428">
        <f t="shared" si="66"/>
        <v>1</v>
      </c>
      <c r="H367" s="1435"/>
      <c r="I367" s="1428">
        <f t="shared" si="67"/>
        <v>1</v>
      </c>
      <c r="J367" s="1435"/>
      <c r="K367" s="1428">
        <f t="shared" si="68"/>
        <v>1</v>
      </c>
      <c r="L367" s="1435"/>
      <c r="M367" s="1428">
        <f t="shared" si="69"/>
        <v>1</v>
      </c>
      <c r="N367" s="1435"/>
      <c r="O367" s="1428">
        <f t="shared" si="70"/>
        <v>1</v>
      </c>
      <c r="P367" s="1435"/>
      <c r="Q367" s="1428">
        <f t="shared" si="71"/>
        <v>0</v>
      </c>
      <c r="R367" s="1488">
        <f t="shared" si="72"/>
        <v>0</v>
      </c>
      <c r="S367" s="1427">
        <f t="shared" si="63"/>
        <v>0</v>
      </c>
    </row>
    <row r="368" ht="13" spans="1:19">
      <c r="A368" s="1437"/>
      <c r="B368" s="1432"/>
      <c r="C368" s="1428">
        <f t="shared" si="64"/>
        <v>1</v>
      </c>
      <c r="D368" s="1435"/>
      <c r="E368" s="1428">
        <f t="shared" si="65"/>
        <v>1</v>
      </c>
      <c r="F368" s="1435"/>
      <c r="G368" s="1428">
        <f t="shared" si="66"/>
        <v>1</v>
      </c>
      <c r="H368" s="1435"/>
      <c r="I368" s="1428">
        <f t="shared" si="67"/>
        <v>1</v>
      </c>
      <c r="J368" s="1435"/>
      <c r="K368" s="1428">
        <f t="shared" si="68"/>
        <v>1</v>
      </c>
      <c r="L368" s="1435"/>
      <c r="M368" s="1428">
        <f t="shared" si="69"/>
        <v>1</v>
      </c>
      <c r="N368" s="1435"/>
      <c r="O368" s="1428">
        <f t="shared" si="70"/>
        <v>1</v>
      </c>
      <c r="P368" s="1435"/>
      <c r="Q368" s="1428">
        <f t="shared" si="71"/>
        <v>0</v>
      </c>
      <c r="R368" s="1488">
        <f t="shared" si="72"/>
        <v>0</v>
      </c>
      <c r="S368" s="1427">
        <f t="shared" si="63"/>
        <v>0</v>
      </c>
    </row>
    <row r="369" ht="13" spans="1:19">
      <c r="A369" s="1437"/>
      <c r="B369" s="1432"/>
      <c r="C369" s="1428">
        <f t="shared" si="64"/>
        <v>1</v>
      </c>
      <c r="D369" s="1435"/>
      <c r="E369" s="1428">
        <f t="shared" si="65"/>
        <v>1</v>
      </c>
      <c r="F369" s="1435"/>
      <c r="G369" s="1428">
        <f t="shared" si="66"/>
        <v>1</v>
      </c>
      <c r="H369" s="1435"/>
      <c r="I369" s="1428">
        <f t="shared" si="67"/>
        <v>1</v>
      </c>
      <c r="J369" s="1435"/>
      <c r="K369" s="1428">
        <f t="shared" si="68"/>
        <v>1</v>
      </c>
      <c r="L369" s="1435"/>
      <c r="M369" s="1428">
        <f t="shared" si="69"/>
        <v>1</v>
      </c>
      <c r="N369" s="1435"/>
      <c r="O369" s="1428">
        <f t="shared" si="70"/>
        <v>1</v>
      </c>
      <c r="P369" s="1435"/>
      <c r="Q369" s="1428">
        <f t="shared" si="71"/>
        <v>0</v>
      </c>
      <c r="R369" s="1488">
        <f t="shared" si="72"/>
        <v>0</v>
      </c>
      <c r="S369" s="1427">
        <f t="shared" si="63"/>
        <v>0</v>
      </c>
    </row>
    <row r="370" ht="13" spans="1:19">
      <c r="A370" s="1437"/>
      <c r="B370" s="1432"/>
      <c r="C370" s="1428">
        <f t="shared" si="64"/>
        <v>1</v>
      </c>
      <c r="D370" s="1435"/>
      <c r="E370" s="1428">
        <f t="shared" si="65"/>
        <v>1</v>
      </c>
      <c r="F370" s="1435"/>
      <c r="G370" s="1428">
        <f t="shared" si="66"/>
        <v>1</v>
      </c>
      <c r="H370" s="1435"/>
      <c r="I370" s="1428">
        <f t="shared" si="67"/>
        <v>1</v>
      </c>
      <c r="J370" s="1435"/>
      <c r="K370" s="1428">
        <f t="shared" si="68"/>
        <v>1</v>
      </c>
      <c r="L370" s="1435"/>
      <c r="M370" s="1428">
        <f t="shared" si="69"/>
        <v>1</v>
      </c>
      <c r="N370" s="1435"/>
      <c r="O370" s="1428">
        <f t="shared" si="70"/>
        <v>1</v>
      </c>
      <c r="P370" s="1435"/>
      <c r="Q370" s="1428">
        <f t="shared" si="71"/>
        <v>0</v>
      </c>
      <c r="R370" s="1488">
        <f t="shared" si="72"/>
        <v>0</v>
      </c>
      <c r="S370" s="1427">
        <f t="shared" si="63"/>
        <v>0</v>
      </c>
    </row>
    <row r="371" ht="13" spans="1:19">
      <c r="A371" s="1437"/>
      <c r="B371" s="1432"/>
      <c r="C371" s="1428">
        <f t="shared" si="64"/>
        <v>1</v>
      </c>
      <c r="D371" s="1435"/>
      <c r="E371" s="1428">
        <f t="shared" si="65"/>
        <v>1</v>
      </c>
      <c r="F371" s="1435"/>
      <c r="G371" s="1428">
        <f t="shared" si="66"/>
        <v>1</v>
      </c>
      <c r="H371" s="1435"/>
      <c r="I371" s="1428">
        <f t="shared" si="67"/>
        <v>1</v>
      </c>
      <c r="J371" s="1435"/>
      <c r="K371" s="1428">
        <f t="shared" si="68"/>
        <v>1</v>
      </c>
      <c r="L371" s="1435"/>
      <c r="M371" s="1428">
        <f t="shared" si="69"/>
        <v>1</v>
      </c>
      <c r="N371" s="1435"/>
      <c r="O371" s="1428">
        <f t="shared" si="70"/>
        <v>1</v>
      </c>
      <c r="P371" s="1435"/>
      <c r="Q371" s="1428">
        <f t="shared" si="71"/>
        <v>0</v>
      </c>
      <c r="R371" s="1488">
        <f t="shared" si="72"/>
        <v>0</v>
      </c>
      <c r="S371" s="1427">
        <f t="shared" si="63"/>
        <v>0</v>
      </c>
    </row>
    <row r="372" ht="13" spans="1:19">
      <c r="A372" s="1437"/>
      <c r="B372" s="1432"/>
      <c r="C372" s="1428">
        <f t="shared" si="64"/>
        <v>1</v>
      </c>
      <c r="D372" s="1435"/>
      <c r="E372" s="1428">
        <f t="shared" si="65"/>
        <v>1</v>
      </c>
      <c r="F372" s="1435"/>
      <c r="G372" s="1428">
        <f t="shared" si="66"/>
        <v>1</v>
      </c>
      <c r="H372" s="1435"/>
      <c r="I372" s="1428">
        <f t="shared" si="67"/>
        <v>1</v>
      </c>
      <c r="J372" s="1435"/>
      <c r="K372" s="1428">
        <f t="shared" si="68"/>
        <v>1</v>
      </c>
      <c r="L372" s="1435"/>
      <c r="M372" s="1428">
        <f t="shared" si="69"/>
        <v>1</v>
      </c>
      <c r="N372" s="1435"/>
      <c r="O372" s="1428">
        <f t="shared" si="70"/>
        <v>1</v>
      </c>
      <c r="P372" s="1435"/>
      <c r="Q372" s="1428">
        <f t="shared" si="71"/>
        <v>0</v>
      </c>
      <c r="R372" s="1488">
        <f t="shared" si="72"/>
        <v>0</v>
      </c>
      <c r="S372" s="1427">
        <f t="shared" si="63"/>
        <v>0</v>
      </c>
    </row>
    <row r="373" ht="13" spans="1:19">
      <c r="A373" s="1437"/>
      <c r="B373" s="1432"/>
      <c r="C373" s="1428">
        <f t="shared" si="64"/>
        <v>1</v>
      </c>
      <c r="D373" s="1435"/>
      <c r="E373" s="1428">
        <f t="shared" si="65"/>
        <v>1</v>
      </c>
      <c r="F373" s="1435"/>
      <c r="G373" s="1428">
        <f t="shared" si="66"/>
        <v>1</v>
      </c>
      <c r="H373" s="1435"/>
      <c r="I373" s="1428">
        <f t="shared" si="67"/>
        <v>1</v>
      </c>
      <c r="J373" s="1435"/>
      <c r="K373" s="1428">
        <f t="shared" si="68"/>
        <v>1</v>
      </c>
      <c r="L373" s="1435"/>
      <c r="M373" s="1428">
        <f t="shared" si="69"/>
        <v>1</v>
      </c>
      <c r="N373" s="1435"/>
      <c r="O373" s="1428">
        <f t="shared" si="70"/>
        <v>1</v>
      </c>
      <c r="P373" s="1435"/>
      <c r="Q373" s="1428">
        <f t="shared" si="71"/>
        <v>0</v>
      </c>
      <c r="R373" s="1488">
        <f t="shared" si="72"/>
        <v>0</v>
      </c>
      <c r="S373" s="1427">
        <f t="shared" si="63"/>
        <v>0</v>
      </c>
    </row>
    <row r="374" ht="13" spans="1:19">
      <c r="A374" s="1437"/>
      <c r="B374" s="1432"/>
      <c r="C374" s="1428">
        <f t="shared" si="64"/>
        <v>1</v>
      </c>
      <c r="D374" s="1435"/>
      <c r="E374" s="1428">
        <f t="shared" si="65"/>
        <v>1</v>
      </c>
      <c r="F374" s="1435"/>
      <c r="G374" s="1428">
        <f t="shared" si="66"/>
        <v>1</v>
      </c>
      <c r="H374" s="1435"/>
      <c r="I374" s="1428">
        <f t="shared" si="67"/>
        <v>1</v>
      </c>
      <c r="J374" s="1435"/>
      <c r="K374" s="1428">
        <f t="shared" si="68"/>
        <v>1</v>
      </c>
      <c r="L374" s="1435"/>
      <c r="M374" s="1428">
        <f t="shared" si="69"/>
        <v>1</v>
      </c>
      <c r="N374" s="1435"/>
      <c r="O374" s="1428">
        <f t="shared" si="70"/>
        <v>1</v>
      </c>
      <c r="P374" s="1435"/>
      <c r="Q374" s="1428">
        <f t="shared" si="71"/>
        <v>0</v>
      </c>
      <c r="R374" s="1488">
        <f t="shared" si="72"/>
        <v>0</v>
      </c>
      <c r="S374" s="1427">
        <f t="shared" si="63"/>
        <v>0</v>
      </c>
    </row>
    <row r="375" ht="13" spans="1:19">
      <c r="A375" s="1437"/>
      <c r="B375" s="1432"/>
      <c r="C375" s="1428">
        <f t="shared" si="64"/>
        <v>1</v>
      </c>
      <c r="D375" s="1435"/>
      <c r="E375" s="1428">
        <f t="shared" si="65"/>
        <v>1</v>
      </c>
      <c r="F375" s="1435"/>
      <c r="G375" s="1428">
        <f t="shared" si="66"/>
        <v>1</v>
      </c>
      <c r="H375" s="1435"/>
      <c r="I375" s="1428">
        <f t="shared" si="67"/>
        <v>1</v>
      </c>
      <c r="J375" s="1435"/>
      <c r="K375" s="1428">
        <f t="shared" si="68"/>
        <v>1</v>
      </c>
      <c r="L375" s="1435"/>
      <c r="M375" s="1428">
        <f t="shared" si="69"/>
        <v>1</v>
      </c>
      <c r="N375" s="1435"/>
      <c r="O375" s="1428">
        <f t="shared" si="70"/>
        <v>1</v>
      </c>
      <c r="P375" s="1435"/>
      <c r="Q375" s="1428">
        <f t="shared" si="71"/>
        <v>0</v>
      </c>
      <c r="R375" s="1488">
        <f t="shared" si="72"/>
        <v>0</v>
      </c>
      <c r="S375" s="1427">
        <f t="shared" si="63"/>
        <v>0</v>
      </c>
    </row>
    <row r="376" ht="13" spans="1:19">
      <c r="A376" s="1437"/>
      <c r="B376" s="1432"/>
      <c r="C376" s="1428">
        <f t="shared" si="64"/>
        <v>1</v>
      </c>
      <c r="D376" s="1435"/>
      <c r="E376" s="1428">
        <f t="shared" si="65"/>
        <v>1</v>
      </c>
      <c r="F376" s="1435"/>
      <c r="G376" s="1428">
        <f t="shared" si="66"/>
        <v>1</v>
      </c>
      <c r="H376" s="1435"/>
      <c r="I376" s="1428">
        <f t="shared" si="67"/>
        <v>1</v>
      </c>
      <c r="J376" s="1435"/>
      <c r="K376" s="1428">
        <f t="shared" si="68"/>
        <v>1</v>
      </c>
      <c r="L376" s="1435"/>
      <c r="M376" s="1428">
        <f t="shared" si="69"/>
        <v>1</v>
      </c>
      <c r="N376" s="1435"/>
      <c r="O376" s="1428">
        <f t="shared" si="70"/>
        <v>1</v>
      </c>
      <c r="P376" s="1435"/>
      <c r="Q376" s="1428">
        <f t="shared" si="71"/>
        <v>0</v>
      </c>
      <c r="R376" s="1488">
        <f t="shared" si="72"/>
        <v>0</v>
      </c>
      <c r="S376" s="1427">
        <f t="shared" si="63"/>
        <v>0</v>
      </c>
    </row>
    <row r="377" ht="13" spans="1:19">
      <c r="A377" s="1437"/>
      <c r="B377" s="1432"/>
      <c r="C377" s="1428">
        <f t="shared" si="64"/>
        <v>1</v>
      </c>
      <c r="D377" s="1435"/>
      <c r="E377" s="1428">
        <f t="shared" si="65"/>
        <v>1</v>
      </c>
      <c r="F377" s="1435"/>
      <c r="G377" s="1428">
        <f t="shared" si="66"/>
        <v>1</v>
      </c>
      <c r="H377" s="1435"/>
      <c r="I377" s="1428">
        <f t="shared" si="67"/>
        <v>1</v>
      </c>
      <c r="J377" s="1435"/>
      <c r="K377" s="1428">
        <f t="shared" si="68"/>
        <v>1</v>
      </c>
      <c r="L377" s="1435"/>
      <c r="M377" s="1428">
        <f t="shared" si="69"/>
        <v>1</v>
      </c>
      <c r="N377" s="1435"/>
      <c r="O377" s="1428">
        <f t="shared" si="70"/>
        <v>1</v>
      </c>
      <c r="P377" s="1435"/>
      <c r="Q377" s="1428">
        <f t="shared" si="71"/>
        <v>0</v>
      </c>
      <c r="R377" s="1488">
        <f t="shared" si="72"/>
        <v>0</v>
      </c>
      <c r="S377" s="1427">
        <f t="shared" si="63"/>
        <v>0</v>
      </c>
    </row>
    <row r="378" ht="13" spans="1:19">
      <c r="A378" s="1437"/>
      <c r="B378" s="1432"/>
      <c r="C378" s="1428">
        <f t="shared" si="64"/>
        <v>1</v>
      </c>
      <c r="D378" s="1435"/>
      <c r="E378" s="1428">
        <f t="shared" si="65"/>
        <v>1</v>
      </c>
      <c r="F378" s="1435"/>
      <c r="G378" s="1428">
        <f t="shared" si="66"/>
        <v>1</v>
      </c>
      <c r="H378" s="1435"/>
      <c r="I378" s="1428">
        <f t="shared" si="67"/>
        <v>1</v>
      </c>
      <c r="J378" s="1435"/>
      <c r="K378" s="1428">
        <f t="shared" si="68"/>
        <v>1</v>
      </c>
      <c r="L378" s="1435"/>
      <c r="M378" s="1428">
        <f t="shared" si="69"/>
        <v>1</v>
      </c>
      <c r="N378" s="1435"/>
      <c r="O378" s="1428">
        <f t="shared" si="70"/>
        <v>1</v>
      </c>
      <c r="P378" s="1435"/>
      <c r="Q378" s="1428">
        <f t="shared" si="71"/>
        <v>0</v>
      </c>
      <c r="R378" s="1488">
        <f t="shared" si="72"/>
        <v>0</v>
      </c>
      <c r="S378" s="1427">
        <f t="shared" si="63"/>
        <v>0</v>
      </c>
    </row>
    <row r="379" ht="13" spans="1:19">
      <c r="A379" s="1437"/>
      <c r="B379" s="1432"/>
      <c r="C379" s="1428">
        <f t="shared" si="64"/>
        <v>1</v>
      </c>
      <c r="D379" s="1435"/>
      <c r="E379" s="1428">
        <f t="shared" si="65"/>
        <v>1</v>
      </c>
      <c r="F379" s="1435"/>
      <c r="G379" s="1428">
        <f t="shared" si="66"/>
        <v>1</v>
      </c>
      <c r="H379" s="1435"/>
      <c r="I379" s="1428">
        <f t="shared" si="67"/>
        <v>1</v>
      </c>
      <c r="J379" s="1435"/>
      <c r="K379" s="1428">
        <f t="shared" si="68"/>
        <v>1</v>
      </c>
      <c r="L379" s="1435"/>
      <c r="M379" s="1428">
        <f t="shared" si="69"/>
        <v>1</v>
      </c>
      <c r="N379" s="1435"/>
      <c r="O379" s="1428">
        <f t="shared" si="70"/>
        <v>1</v>
      </c>
      <c r="P379" s="1435"/>
      <c r="Q379" s="1428">
        <f t="shared" si="71"/>
        <v>0</v>
      </c>
      <c r="R379" s="1488">
        <f t="shared" si="72"/>
        <v>0</v>
      </c>
      <c r="S379" s="1427">
        <f t="shared" si="63"/>
        <v>0</v>
      </c>
    </row>
    <row r="380" ht="13" spans="1:19">
      <c r="A380" s="1437"/>
      <c r="B380" s="1432"/>
      <c r="C380" s="1428">
        <f t="shared" si="64"/>
        <v>1</v>
      </c>
      <c r="D380" s="1435"/>
      <c r="E380" s="1428">
        <f t="shared" si="65"/>
        <v>1</v>
      </c>
      <c r="F380" s="1435"/>
      <c r="G380" s="1428">
        <f t="shared" si="66"/>
        <v>1</v>
      </c>
      <c r="H380" s="1435"/>
      <c r="I380" s="1428">
        <f t="shared" si="67"/>
        <v>1</v>
      </c>
      <c r="J380" s="1435"/>
      <c r="K380" s="1428">
        <f t="shared" si="68"/>
        <v>1</v>
      </c>
      <c r="L380" s="1435"/>
      <c r="M380" s="1428">
        <f t="shared" si="69"/>
        <v>1</v>
      </c>
      <c r="N380" s="1435"/>
      <c r="O380" s="1428">
        <f t="shared" si="70"/>
        <v>1</v>
      </c>
      <c r="P380" s="1435"/>
      <c r="Q380" s="1428">
        <f t="shared" si="71"/>
        <v>0</v>
      </c>
      <c r="R380" s="1488">
        <f t="shared" si="72"/>
        <v>0</v>
      </c>
      <c r="S380" s="1427">
        <f t="shared" si="63"/>
        <v>0</v>
      </c>
    </row>
    <row r="381" ht="13" spans="1:19">
      <c r="A381" s="1437"/>
      <c r="B381" s="1432"/>
      <c r="C381" s="1428">
        <f t="shared" si="64"/>
        <v>1</v>
      </c>
      <c r="D381" s="1435"/>
      <c r="E381" s="1428">
        <f t="shared" si="65"/>
        <v>1</v>
      </c>
      <c r="F381" s="1435"/>
      <c r="G381" s="1428">
        <f t="shared" si="66"/>
        <v>1</v>
      </c>
      <c r="H381" s="1435"/>
      <c r="I381" s="1428">
        <f t="shared" si="67"/>
        <v>1</v>
      </c>
      <c r="J381" s="1435"/>
      <c r="K381" s="1428">
        <f t="shared" si="68"/>
        <v>1</v>
      </c>
      <c r="L381" s="1435"/>
      <c r="M381" s="1428">
        <f t="shared" si="69"/>
        <v>1</v>
      </c>
      <c r="N381" s="1435"/>
      <c r="O381" s="1428">
        <f t="shared" si="70"/>
        <v>1</v>
      </c>
      <c r="P381" s="1435"/>
      <c r="Q381" s="1428">
        <f t="shared" si="71"/>
        <v>0</v>
      </c>
      <c r="R381" s="1488">
        <f t="shared" si="72"/>
        <v>0</v>
      </c>
      <c r="S381" s="1427">
        <f t="shared" si="63"/>
        <v>0</v>
      </c>
    </row>
    <row r="382" ht="13" spans="1:19">
      <c r="A382" s="1437"/>
      <c r="B382" s="1432"/>
      <c r="C382" s="1428">
        <f t="shared" si="64"/>
        <v>1</v>
      </c>
      <c r="D382" s="1435"/>
      <c r="E382" s="1428">
        <f t="shared" si="65"/>
        <v>1</v>
      </c>
      <c r="F382" s="1435"/>
      <c r="G382" s="1428">
        <f t="shared" si="66"/>
        <v>1</v>
      </c>
      <c r="H382" s="1435"/>
      <c r="I382" s="1428">
        <f t="shared" si="67"/>
        <v>1</v>
      </c>
      <c r="J382" s="1435"/>
      <c r="K382" s="1428">
        <f t="shared" si="68"/>
        <v>1</v>
      </c>
      <c r="L382" s="1435"/>
      <c r="M382" s="1428">
        <f t="shared" si="69"/>
        <v>1</v>
      </c>
      <c r="N382" s="1435"/>
      <c r="O382" s="1428">
        <f t="shared" si="70"/>
        <v>1</v>
      </c>
      <c r="P382" s="1435"/>
      <c r="Q382" s="1428">
        <f t="shared" si="71"/>
        <v>0</v>
      </c>
      <c r="R382" s="1488">
        <f t="shared" si="72"/>
        <v>0</v>
      </c>
      <c r="S382" s="1427">
        <f t="shared" si="63"/>
        <v>0</v>
      </c>
    </row>
    <row r="383" ht="13" spans="1:19">
      <c r="A383" s="1437"/>
      <c r="B383" s="1432"/>
      <c r="C383" s="1428">
        <f t="shared" si="64"/>
        <v>1</v>
      </c>
      <c r="D383" s="1435"/>
      <c r="E383" s="1428">
        <f t="shared" si="65"/>
        <v>1</v>
      </c>
      <c r="F383" s="1435"/>
      <c r="G383" s="1428">
        <f t="shared" si="66"/>
        <v>1</v>
      </c>
      <c r="H383" s="1435"/>
      <c r="I383" s="1428">
        <f t="shared" si="67"/>
        <v>1</v>
      </c>
      <c r="J383" s="1435"/>
      <c r="K383" s="1428">
        <f t="shared" si="68"/>
        <v>1</v>
      </c>
      <c r="L383" s="1435"/>
      <c r="M383" s="1428">
        <f t="shared" si="69"/>
        <v>1</v>
      </c>
      <c r="N383" s="1435"/>
      <c r="O383" s="1428">
        <f t="shared" si="70"/>
        <v>1</v>
      </c>
      <c r="P383" s="1435"/>
      <c r="Q383" s="1428">
        <f t="shared" si="71"/>
        <v>0</v>
      </c>
      <c r="R383" s="1488">
        <f t="shared" si="72"/>
        <v>0</v>
      </c>
      <c r="S383" s="1427">
        <f t="shared" si="63"/>
        <v>0</v>
      </c>
    </row>
    <row r="384" ht="13" spans="1:19">
      <c r="A384" s="1437"/>
      <c r="B384" s="1432"/>
      <c r="C384" s="1428">
        <f t="shared" si="64"/>
        <v>1</v>
      </c>
      <c r="D384" s="1435"/>
      <c r="E384" s="1428">
        <f t="shared" si="65"/>
        <v>1</v>
      </c>
      <c r="F384" s="1435"/>
      <c r="G384" s="1428">
        <f t="shared" si="66"/>
        <v>1</v>
      </c>
      <c r="H384" s="1435"/>
      <c r="I384" s="1428">
        <f t="shared" si="67"/>
        <v>1</v>
      </c>
      <c r="J384" s="1435"/>
      <c r="K384" s="1428">
        <f t="shared" si="68"/>
        <v>1</v>
      </c>
      <c r="L384" s="1435"/>
      <c r="M384" s="1428">
        <f t="shared" si="69"/>
        <v>1</v>
      </c>
      <c r="N384" s="1435"/>
      <c r="O384" s="1428">
        <f t="shared" si="70"/>
        <v>1</v>
      </c>
      <c r="P384" s="1435"/>
      <c r="Q384" s="1428">
        <f t="shared" si="71"/>
        <v>0</v>
      </c>
      <c r="R384" s="1488">
        <f t="shared" si="72"/>
        <v>0</v>
      </c>
      <c r="S384" s="1427">
        <f t="shared" si="63"/>
        <v>0</v>
      </c>
    </row>
    <row r="385" ht="13" spans="1:19">
      <c r="A385" s="1437"/>
      <c r="B385" s="1432"/>
      <c r="C385" s="1428">
        <f t="shared" si="64"/>
        <v>1</v>
      </c>
      <c r="D385" s="1435"/>
      <c r="E385" s="1428">
        <f t="shared" si="65"/>
        <v>1</v>
      </c>
      <c r="F385" s="1435"/>
      <c r="G385" s="1428">
        <f t="shared" si="66"/>
        <v>1</v>
      </c>
      <c r="H385" s="1435"/>
      <c r="I385" s="1428">
        <f t="shared" si="67"/>
        <v>1</v>
      </c>
      <c r="J385" s="1435"/>
      <c r="K385" s="1428">
        <f t="shared" si="68"/>
        <v>1</v>
      </c>
      <c r="L385" s="1435"/>
      <c r="M385" s="1428">
        <f t="shared" si="69"/>
        <v>1</v>
      </c>
      <c r="N385" s="1435"/>
      <c r="O385" s="1428">
        <f t="shared" si="70"/>
        <v>1</v>
      </c>
      <c r="P385" s="1435"/>
      <c r="Q385" s="1428">
        <f t="shared" si="71"/>
        <v>0</v>
      </c>
      <c r="R385" s="1488">
        <f t="shared" si="72"/>
        <v>0</v>
      </c>
      <c r="S385" s="1427">
        <f t="shared" ref="S385:S422" si="73">ROUND(R385*B385/10000,0)</f>
        <v>0</v>
      </c>
    </row>
    <row r="386" ht="13" spans="1:19">
      <c r="A386" s="1437"/>
      <c r="B386" s="1432"/>
      <c r="C386" s="1428">
        <f t="shared" si="64"/>
        <v>1</v>
      </c>
      <c r="D386" s="1435"/>
      <c r="E386" s="1428">
        <f t="shared" si="65"/>
        <v>1</v>
      </c>
      <c r="F386" s="1435"/>
      <c r="G386" s="1428">
        <f t="shared" si="66"/>
        <v>1</v>
      </c>
      <c r="H386" s="1435"/>
      <c r="I386" s="1428">
        <f t="shared" si="67"/>
        <v>1</v>
      </c>
      <c r="J386" s="1435"/>
      <c r="K386" s="1428">
        <f t="shared" si="68"/>
        <v>1</v>
      </c>
      <c r="L386" s="1435"/>
      <c r="M386" s="1428">
        <f t="shared" si="69"/>
        <v>1</v>
      </c>
      <c r="N386" s="1435"/>
      <c r="O386" s="1428">
        <f t="shared" si="70"/>
        <v>1</v>
      </c>
      <c r="P386" s="1435"/>
      <c r="Q386" s="1428">
        <f t="shared" si="71"/>
        <v>0</v>
      </c>
      <c r="R386" s="1488">
        <f t="shared" si="72"/>
        <v>0</v>
      </c>
      <c r="S386" s="1427">
        <f t="shared" si="73"/>
        <v>0</v>
      </c>
    </row>
    <row r="387" ht="13" spans="1:19">
      <c r="A387" s="1437"/>
      <c r="B387" s="1432"/>
      <c r="C387" s="1428">
        <f t="shared" si="64"/>
        <v>1</v>
      </c>
      <c r="D387" s="1435"/>
      <c r="E387" s="1428">
        <f t="shared" si="65"/>
        <v>1</v>
      </c>
      <c r="F387" s="1435"/>
      <c r="G387" s="1428">
        <f t="shared" si="66"/>
        <v>1</v>
      </c>
      <c r="H387" s="1435"/>
      <c r="I387" s="1428">
        <f t="shared" si="67"/>
        <v>1</v>
      </c>
      <c r="J387" s="1435"/>
      <c r="K387" s="1428">
        <f t="shared" si="68"/>
        <v>1</v>
      </c>
      <c r="L387" s="1435"/>
      <c r="M387" s="1428">
        <f t="shared" si="69"/>
        <v>1</v>
      </c>
      <c r="N387" s="1435"/>
      <c r="O387" s="1428">
        <f t="shared" si="70"/>
        <v>1</v>
      </c>
      <c r="P387" s="1435"/>
      <c r="Q387" s="1428">
        <f t="shared" si="71"/>
        <v>0</v>
      </c>
      <c r="R387" s="1488">
        <f t="shared" si="72"/>
        <v>0</v>
      </c>
      <c r="S387" s="1427">
        <f t="shared" si="73"/>
        <v>0</v>
      </c>
    </row>
    <row r="388" ht="13" spans="1:19">
      <c r="A388" s="1437"/>
      <c r="B388" s="1432"/>
      <c r="C388" s="1428">
        <f t="shared" si="64"/>
        <v>1</v>
      </c>
      <c r="D388" s="1435"/>
      <c r="E388" s="1428">
        <f t="shared" si="65"/>
        <v>1</v>
      </c>
      <c r="F388" s="1435"/>
      <c r="G388" s="1428">
        <f t="shared" si="66"/>
        <v>1</v>
      </c>
      <c r="H388" s="1435"/>
      <c r="I388" s="1428">
        <f t="shared" si="67"/>
        <v>1</v>
      </c>
      <c r="J388" s="1435"/>
      <c r="K388" s="1428">
        <f t="shared" si="68"/>
        <v>1</v>
      </c>
      <c r="L388" s="1435"/>
      <c r="M388" s="1428">
        <f t="shared" si="69"/>
        <v>1</v>
      </c>
      <c r="N388" s="1435"/>
      <c r="O388" s="1428">
        <f t="shared" si="70"/>
        <v>1</v>
      </c>
      <c r="P388" s="1435"/>
      <c r="Q388" s="1428">
        <f t="shared" si="71"/>
        <v>0</v>
      </c>
      <c r="R388" s="1488">
        <f t="shared" si="72"/>
        <v>0</v>
      </c>
      <c r="S388" s="1427">
        <f t="shared" si="73"/>
        <v>0</v>
      </c>
    </row>
    <row r="389" ht="13" spans="1:19">
      <c r="A389" s="1437"/>
      <c r="B389" s="1432"/>
      <c r="C389" s="1428">
        <f t="shared" si="64"/>
        <v>1</v>
      </c>
      <c r="D389" s="1435"/>
      <c r="E389" s="1428">
        <f t="shared" si="65"/>
        <v>1</v>
      </c>
      <c r="F389" s="1435"/>
      <c r="G389" s="1428">
        <f t="shared" si="66"/>
        <v>1</v>
      </c>
      <c r="H389" s="1435"/>
      <c r="I389" s="1428">
        <f t="shared" si="67"/>
        <v>1</v>
      </c>
      <c r="J389" s="1435"/>
      <c r="K389" s="1428">
        <f t="shared" si="68"/>
        <v>1</v>
      </c>
      <c r="L389" s="1435"/>
      <c r="M389" s="1428">
        <f t="shared" si="69"/>
        <v>1</v>
      </c>
      <c r="N389" s="1435"/>
      <c r="O389" s="1428">
        <f t="shared" si="70"/>
        <v>1</v>
      </c>
      <c r="P389" s="1435"/>
      <c r="Q389" s="1428">
        <f t="shared" si="71"/>
        <v>0</v>
      </c>
      <c r="R389" s="1488">
        <f t="shared" si="72"/>
        <v>0</v>
      </c>
      <c r="S389" s="1427">
        <f t="shared" si="73"/>
        <v>0</v>
      </c>
    </row>
    <row r="390" ht="13" spans="1:19">
      <c r="A390" s="1437"/>
      <c r="B390" s="1432"/>
      <c r="C390" s="1428">
        <f t="shared" si="64"/>
        <v>1</v>
      </c>
      <c r="D390" s="1435"/>
      <c r="E390" s="1428">
        <f t="shared" si="65"/>
        <v>1</v>
      </c>
      <c r="F390" s="1435"/>
      <c r="G390" s="1428">
        <f t="shared" si="66"/>
        <v>1</v>
      </c>
      <c r="H390" s="1435"/>
      <c r="I390" s="1428">
        <f t="shared" si="67"/>
        <v>1</v>
      </c>
      <c r="J390" s="1435"/>
      <c r="K390" s="1428">
        <f t="shared" si="68"/>
        <v>1</v>
      </c>
      <c r="L390" s="1435"/>
      <c r="M390" s="1428">
        <f t="shared" si="69"/>
        <v>1</v>
      </c>
      <c r="N390" s="1435"/>
      <c r="O390" s="1428">
        <f t="shared" si="70"/>
        <v>1</v>
      </c>
      <c r="P390" s="1435"/>
      <c r="Q390" s="1428">
        <f t="shared" si="71"/>
        <v>0</v>
      </c>
      <c r="R390" s="1488">
        <f t="shared" si="72"/>
        <v>0</v>
      </c>
      <c r="S390" s="1427">
        <f t="shared" si="73"/>
        <v>0</v>
      </c>
    </row>
    <row r="391" ht="13" spans="1:19">
      <c r="A391" s="1437"/>
      <c r="B391" s="1432"/>
      <c r="C391" s="1428">
        <f t="shared" si="64"/>
        <v>1</v>
      </c>
      <c r="D391" s="1435"/>
      <c r="E391" s="1428">
        <f t="shared" si="65"/>
        <v>1</v>
      </c>
      <c r="F391" s="1435"/>
      <c r="G391" s="1428">
        <f t="shared" si="66"/>
        <v>1</v>
      </c>
      <c r="H391" s="1435"/>
      <c r="I391" s="1428">
        <f t="shared" si="67"/>
        <v>1</v>
      </c>
      <c r="J391" s="1435"/>
      <c r="K391" s="1428">
        <f t="shared" si="68"/>
        <v>1</v>
      </c>
      <c r="L391" s="1435"/>
      <c r="M391" s="1428">
        <f t="shared" si="69"/>
        <v>1</v>
      </c>
      <c r="N391" s="1435"/>
      <c r="O391" s="1428">
        <f t="shared" si="70"/>
        <v>1</v>
      </c>
      <c r="P391" s="1435"/>
      <c r="Q391" s="1428">
        <f t="shared" si="71"/>
        <v>0</v>
      </c>
      <c r="R391" s="1488">
        <f t="shared" si="72"/>
        <v>0</v>
      </c>
      <c r="S391" s="1427">
        <f t="shared" si="73"/>
        <v>0</v>
      </c>
    </row>
    <row r="392" ht="13" spans="1:19">
      <c r="A392" s="1437"/>
      <c r="B392" s="1432"/>
      <c r="C392" s="1428">
        <f t="shared" si="64"/>
        <v>1</v>
      </c>
      <c r="D392" s="1435"/>
      <c r="E392" s="1428">
        <f t="shared" si="65"/>
        <v>1</v>
      </c>
      <c r="F392" s="1435"/>
      <c r="G392" s="1428">
        <f t="shared" si="66"/>
        <v>1</v>
      </c>
      <c r="H392" s="1435"/>
      <c r="I392" s="1428">
        <f t="shared" si="67"/>
        <v>1</v>
      </c>
      <c r="J392" s="1435"/>
      <c r="K392" s="1428">
        <f t="shared" si="68"/>
        <v>1</v>
      </c>
      <c r="L392" s="1435"/>
      <c r="M392" s="1428">
        <f t="shared" si="69"/>
        <v>1</v>
      </c>
      <c r="N392" s="1435"/>
      <c r="O392" s="1428">
        <f t="shared" si="70"/>
        <v>1</v>
      </c>
      <c r="P392" s="1435"/>
      <c r="Q392" s="1428">
        <f t="shared" si="71"/>
        <v>0</v>
      </c>
      <c r="R392" s="1488">
        <f t="shared" si="72"/>
        <v>0</v>
      </c>
      <c r="S392" s="1427">
        <f t="shared" si="73"/>
        <v>0</v>
      </c>
    </row>
    <row r="393" ht="13" spans="1:19">
      <c r="A393" s="1437"/>
      <c r="B393" s="1432"/>
      <c r="C393" s="1428">
        <f t="shared" si="64"/>
        <v>1</v>
      </c>
      <c r="D393" s="1435"/>
      <c r="E393" s="1428">
        <f t="shared" si="65"/>
        <v>1</v>
      </c>
      <c r="F393" s="1435"/>
      <c r="G393" s="1428">
        <f t="shared" si="66"/>
        <v>1</v>
      </c>
      <c r="H393" s="1435"/>
      <c r="I393" s="1428">
        <f t="shared" si="67"/>
        <v>1</v>
      </c>
      <c r="J393" s="1435"/>
      <c r="K393" s="1428">
        <f t="shared" si="68"/>
        <v>1</v>
      </c>
      <c r="L393" s="1435"/>
      <c r="M393" s="1428">
        <f t="shared" si="69"/>
        <v>1</v>
      </c>
      <c r="N393" s="1435"/>
      <c r="O393" s="1428">
        <f t="shared" si="70"/>
        <v>1</v>
      </c>
      <c r="P393" s="1435"/>
      <c r="Q393" s="1428">
        <f t="shared" si="71"/>
        <v>0</v>
      </c>
      <c r="R393" s="1488">
        <f t="shared" si="72"/>
        <v>0</v>
      </c>
      <c r="S393" s="1427">
        <f t="shared" si="73"/>
        <v>0</v>
      </c>
    </row>
    <row r="394" ht="13" spans="1:19">
      <c r="A394" s="1437"/>
      <c r="B394" s="1432"/>
      <c r="C394" s="1428">
        <f t="shared" si="64"/>
        <v>1</v>
      </c>
      <c r="D394" s="1435"/>
      <c r="E394" s="1428">
        <f t="shared" si="65"/>
        <v>1</v>
      </c>
      <c r="F394" s="1435"/>
      <c r="G394" s="1428">
        <f t="shared" si="66"/>
        <v>1</v>
      </c>
      <c r="H394" s="1435"/>
      <c r="I394" s="1428">
        <f t="shared" si="67"/>
        <v>1</v>
      </c>
      <c r="J394" s="1435"/>
      <c r="K394" s="1428">
        <f t="shared" si="68"/>
        <v>1</v>
      </c>
      <c r="L394" s="1435"/>
      <c r="M394" s="1428">
        <f t="shared" si="69"/>
        <v>1</v>
      </c>
      <c r="N394" s="1435"/>
      <c r="O394" s="1428">
        <f t="shared" si="70"/>
        <v>1</v>
      </c>
      <c r="P394" s="1435"/>
      <c r="Q394" s="1428">
        <f t="shared" si="71"/>
        <v>0</v>
      </c>
      <c r="R394" s="1488">
        <f t="shared" si="72"/>
        <v>0</v>
      </c>
      <c r="S394" s="1427">
        <f t="shared" si="73"/>
        <v>0</v>
      </c>
    </row>
    <row r="395" ht="13" spans="1:19">
      <c r="A395" s="1437"/>
      <c r="B395" s="1432"/>
      <c r="C395" s="1428">
        <f t="shared" si="64"/>
        <v>1</v>
      </c>
      <c r="D395" s="1435"/>
      <c r="E395" s="1428">
        <f t="shared" si="65"/>
        <v>1</v>
      </c>
      <c r="F395" s="1435"/>
      <c r="G395" s="1428">
        <f t="shared" si="66"/>
        <v>1</v>
      </c>
      <c r="H395" s="1435"/>
      <c r="I395" s="1428">
        <f t="shared" si="67"/>
        <v>1</v>
      </c>
      <c r="J395" s="1435"/>
      <c r="K395" s="1428">
        <f t="shared" si="68"/>
        <v>1</v>
      </c>
      <c r="L395" s="1435"/>
      <c r="M395" s="1428">
        <f t="shared" si="69"/>
        <v>1</v>
      </c>
      <c r="N395" s="1435"/>
      <c r="O395" s="1428">
        <f t="shared" si="70"/>
        <v>1</v>
      </c>
      <c r="P395" s="1435"/>
      <c r="Q395" s="1428">
        <f t="shared" si="71"/>
        <v>0</v>
      </c>
      <c r="R395" s="1488">
        <f t="shared" si="72"/>
        <v>0</v>
      </c>
      <c r="S395" s="1427">
        <f t="shared" si="73"/>
        <v>0</v>
      </c>
    </row>
    <row r="396" ht="13" spans="1:19">
      <c r="A396" s="1437"/>
      <c r="B396" s="1432"/>
      <c r="C396" s="1428">
        <f t="shared" si="64"/>
        <v>1</v>
      </c>
      <c r="D396" s="1435"/>
      <c r="E396" s="1428">
        <f t="shared" si="65"/>
        <v>1</v>
      </c>
      <c r="F396" s="1435"/>
      <c r="G396" s="1428">
        <f t="shared" si="66"/>
        <v>1</v>
      </c>
      <c r="H396" s="1435"/>
      <c r="I396" s="1428">
        <f t="shared" si="67"/>
        <v>1</v>
      </c>
      <c r="J396" s="1435"/>
      <c r="K396" s="1428">
        <f t="shared" si="68"/>
        <v>1</v>
      </c>
      <c r="L396" s="1435"/>
      <c r="M396" s="1428">
        <f t="shared" si="69"/>
        <v>1</v>
      </c>
      <c r="N396" s="1435"/>
      <c r="O396" s="1428">
        <f t="shared" si="70"/>
        <v>1</v>
      </c>
      <c r="P396" s="1435"/>
      <c r="Q396" s="1428">
        <f t="shared" si="71"/>
        <v>0</v>
      </c>
      <c r="R396" s="1488">
        <f t="shared" si="72"/>
        <v>0</v>
      </c>
      <c r="S396" s="1427">
        <f t="shared" si="73"/>
        <v>0</v>
      </c>
    </row>
    <row r="397" ht="13" spans="1:19">
      <c r="A397" s="1437"/>
      <c r="B397" s="1432"/>
      <c r="C397" s="1428">
        <f t="shared" si="64"/>
        <v>1</v>
      </c>
      <c r="D397" s="1435"/>
      <c r="E397" s="1428">
        <f t="shared" si="65"/>
        <v>1</v>
      </c>
      <c r="F397" s="1435"/>
      <c r="G397" s="1428">
        <f t="shared" si="66"/>
        <v>1</v>
      </c>
      <c r="H397" s="1435"/>
      <c r="I397" s="1428">
        <f t="shared" si="67"/>
        <v>1</v>
      </c>
      <c r="J397" s="1435"/>
      <c r="K397" s="1428">
        <f t="shared" si="68"/>
        <v>1</v>
      </c>
      <c r="L397" s="1435"/>
      <c r="M397" s="1428">
        <f t="shared" si="69"/>
        <v>1</v>
      </c>
      <c r="N397" s="1435"/>
      <c r="O397" s="1428">
        <f t="shared" si="70"/>
        <v>1</v>
      </c>
      <c r="P397" s="1435"/>
      <c r="Q397" s="1428">
        <f t="shared" si="71"/>
        <v>0</v>
      </c>
      <c r="R397" s="1488">
        <f t="shared" si="72"/>
        <v>0</v>
      </c>
      <c r="S397" s="1427">
        <f t="shared" si="73"/>
        <v>0</v>
      </c>
    </row>
    <row r="398" ht="13" spans="1:19">
      <c r="A398" s="1437"/>
      <c r="B398" s="1432"/>
      <c r="C398" s="1428">
        <f t="shared" si="64"/>
        <v>1</v>
      </c>
      <c r="D398" s="1435"/>
      <c r="E398" s="1428">
        <f t="shared" si="65"/>
        <v>1</v>
      </c>
      <c r="F398" s="1435"/>
      <c r="G398" s="1428">
        <f t="shared" si="66"/>
        <v>1</v>
      </c>
      <c r="H398" s="1435"/>
      <c r="I398" s="1428">
        <f t="shared" si="67"/>
        <v>1</v>
      </c>
      <c r="J398" s="1435"/>
      <c r="K398" s="1428">
        <f t="shared" si="68"/>
        <v>1</v>
      </c>
      <c r="L398" s="1435"/>
      <c r="M398" s="1428">
        <f t="shared" si="69"/>
        <v>1</v>
      </c>
      <c r="N398" s="1435"/>
      <c r="O398" s="1428">
        <f t="shared" si="70"/>
        <v>1</v>
      </c>
      <c r="P398" s="1435"/>
      <c r="Q398" s="1428">
        <f t="shared" si="71"/>
        <v>0</v>
      </c>
      <c r="R398" s="1488">
        <f t="shared" si="72"/>
        <v>0</v>
      </c>
      <c r="S398" s="1427">
        <f t="shared" si="73"/>
        <v>0</v>
      </c>
    </row>
    <row r="399" ht="13" spans="1:19">
      <c r="A399" s="1437"/>
      <c r="B399" s="1432"/>
      <c r="C399" s="1428">
        <f t="shared" si="64"/>
        <v>1</v>
      </c>
      <c r="D399" s="1435"/>
      <c r="E399" s="1428">
        <f t="shared" si="65"/>
        <v>1</v>
      </c>
      <c r="F399" s="1435"/>
      <c r="G399" s="1428">
        <f t="shared" si="66"/>
        <v>1</v>
      </c>
      <c r="H399" s="1435"/>
      <c r="I399" s="1428">
        <f t="shared" si="67"/>
        <v>1</v>
      </c>
      <c r="J399" s="1435"/>
      <c r="K399" s="1428">
        <f t="shared" si="68"/>
        <v>1</v>
      </c>
      <c r="L399" s="1435"/>
      <c r="M399" s="1428">
        <f t="shared" si="69"/>
        <v>1</v>
      </c>
      <c r="N399" s="1435"/>
      <c r="O399" s="1428">
        <f t="shared" si="70"/>
        <v>1</v>
      </c>
      <c r="P399" s="1435"/>
      <c r="Q399" s="1428">
        <f t="shared" si="71"/>
        <v>0</v>
      </c>
      <c r="R399" s="1488">
        <f t="shared" si="72"/>
        <v>0</v>
      </c>
      <c r="S399" s="1427">
        <f t="shared" si="73"/>
        <v>0</v>
      </c>
    </row>
    <row r="400" ht="13" spans="1:19">
      <c r="A400" s="1437"/>
      <c r="B400" s="1432"/>
      <c r="C400" s="1428">
        <f t="shared" si="64"/>
        <v>1</v>
      </c>
      <c r="D400" s="1435"/>
      <c r="E400" s="1428">
        <f t="shared" si="65"/>
        <v>1</v>
      </c>
      <c r="F400" s="1435"/>
      <c r="G400" s="1428">
        <f t="shared" si="66"/>
        <v>1</v>
      </c>
      <c r="H400" s="1435"/>
      <c r="I400" s="1428">
        <f t="shared" si="67"/>
        <v>1</v>
      </c>
      <c r="J400" s="1435"/>
      <c r="K400" s="1428">
        <f t="shared" si="68"/>
        <v>1</v>
      </c>
      <c r="L400" s="1435"/>
      <c r="M400" s="1428">
        <f t="shared" si="69"/>
        <v>1</v>
      </c>
      <c r="N400" s="1435"/>
      <c r="O400" s="1428">
        <f t="shared" si="70"/>
        <v>1</v>
      </c>
      <c r="P400" s="1435"/>
      <c r="Q400" s="1428">
        <f t="shared" si="71"/>
        <v>0</v>
      </c>
      <c r="R400" s="1488">
        <f t="shared" si="72"/>
        <v>0</v>
      </c>
      <c r="S400" s="1427">
        <f t="shared" si="73"/>
        <v>0</v>
      </c>
    </row>
    <row r="401" ht="13" spans="1:19">
      <c r="A401" s="1437"/>
      <c r="B401" s="1432"/>
      <c r="C401" s="1428">
        <f t="shared" si="64"/>
        <v>1</v>
      </c>
      <c r="D401" s="1435"/>
      <c r="E401" s="1428">
        <f t="shared" si="65"/>
        <v>1</v>
      </c>
      <c r="F401" s="1435"/>
      <c r="G401" s="1428">
        <f t="shared" si="66"/>
        <v>1</v>
      </c>
      <c r="H401" s="1435"/>
      <c r="I401" s="1428">
        <f t="shared" si="67"/>
        <v>1</v>
      </c>
      <c r="J401" s="1435"/>
      <c r="K401" s="1428">
        <f t="shared" si="68"/>
        <v>1</v>
      </c>
      <c r="L401" s="1435"/>
      <c r="M401" s="1428">
        <f t="shared" si="69"/>
        <v>1</v>
      </c>
      <c r="N401" s="1435"/>
      <c r="O401" s="1428">
        <f t="shared" si="70"/>
        <v>1</v>
      </c>
      <c r="P401" s="1435"/>
      <c r="Q401" s="1428">
        <f t="shared" si="71"/>
        <v>0</v>
      </c>
      <c r="R401" s="1488">
        <f t="shared" si="72"/>
        <v>0</v>
      </c>
      <c r="S401" s="1427">
        <f t="shared" si="73"/>
        <v>0</v>
      </c>
    </row>
    <row r="402" ht="13" spans="1:19">
      <c r="A402" s="1437"/>
      <c r="B402" s="1432"/>
      <c r="C402" s="1428">
        <f t="shared" si="64"/>
        <v>1</v>
      </c>
      <c r="D402" s="1435"/>
      <c r="E402" s="1428">
        <f t="shared" si="65"/>
        <v>1</v>
      </c>
      <c r="F402" s="1435"/>
      <c r="G402" s="1428">
        <f t="shared" si="66"/>
        <v>1</v>
      </c>
      <c r="H402" s="1435"/>
      <c r="I402" s="1428">
        <f t="shared" si="67"/>
        <v>1</v>
      </c>
      <c r="J402" s="1435"/>
      <c r="K402" s="1428">
        <f t="shared" si="68"/>
        <v>1</v>
      </c>
      <c r="L402" s="1435"/>
      <c r="M402" s="1428">
        <f t="shared" si="69"/>
        <v>1</v>
      </c>
      <c r="N402" s="1435"/>
      <c r="O402" s="1428">
        <f t="shared" si="70"/>
        <v>1</v>
      </c>
      <c r="P402" s="1435"/>
      <c r="Q402" s="1428">
        <f t="shared" si="71"/>
        <v>0</v>
      </c>
      <c r="R402" s="1488">
        <f t="shared" si="72"/>
        <v>0</v>
      </c>
      <c r="S402" s="1427">
        <f t="shared" si="73"/>
        <v>0</v>
      </c>
    </row>
    <row r="403" ht="13" spans="1:19">
      <c r="A403" s="1437"/>
      <c r="B403" s="1432"/>
      <c r="C403" s="1428">
        <f t="shared" si="64"/>
        <v>1</v>
      </c>
      <c r="D403" s="1435"/>
      <c r="E403" s="1428">
        <f t="shared" si="65"/>
        <v>1</v>
      </c>
      <c r="F403" s="1435"/>
      <c r="G403" s="1428">
        <f t="shared" si="66"/>
        <v>1</v>
      </c>
      <c r="H403" s="1435"/>
      <c r="I403" s="1428">
        <f t="shared" si="67"/>
        <v>1</v>
      </c>
      <c r="J403" s="1435"/>
      <c r="K403" s="1428">
        <f t="shared" si="68"/>
        <v>1</v>
      </c>
      <c r="L403" s="1435"/>
      <c r="M403" s="1428">
        <f t="shared" si="69"/>
        <v>1</v>
      </c>
      <c r="N403" s="1435"/>
      <c r="O403" s="1428">
        <f t="shared" si="70"/>
        <v>1</v>
      </c>
      <c r="P403" s="1435"/>
      <c r="Q403" s="1428">
        <f t="shared" si="71"/>
        <v>0</v>
      </c>
      <c r="R403" s="1488">
        <f t="shared" si="72"/>
        <v>0</v>
      </c>
      <c r="S403" s="1427">
        <f t="shared" si="73"/>
        <v>0</v>
      </c>
    </row>
    <row r="404" ht="13" spans="1:19">
      <c r="A404" s="1437"/>
      <c r="B404" s="1432"/>
      <c r="C404" s="1428">
        <f t="shared" si="64"/>
        <v>1</v>
      </c>
      <c r="D404" s="1435"/>
      <c r="E404" s="1428">
        <f t="shared" si="65"/>
        <v>1</v>
      </c>
      <c r="F404" s="1435"/>
      <c r="G404" s="1428">
        <f t="shared" si="66"/>
        <v>1</v>
      </c>
      <c r="H404" s="1435"/>
      <c r="I404" s="1428">
        <f t="shared" si="67"/>
        <v>1</v>
      </c>
      <c r="J404" s="1435"/>
      <c r="K404" s="1428">
        <f t="shared" si="68"/>
        <v>1</v>
      </c>
      <c r="L404" s="1435"/>
      <c r="M404" s="1428">
        <f t="shared" si="69"/>
        <v>1</v>
      </c>
      <c r="N404" s="1435"/>
      <c r="O404" s="1428">
        <f t="shared" si="70"/>
        <v>1</v>
      </c>
      <c r="P404" s="1435"/>
      <c r="Q404" s="1428">
        <f t="shared" si="71"/>
        <v>0</v>
      </c>
      <c r="R404" s="1488">
        <f t="shared" si="72"/>
        <v>0</v>
      </c>
      <c r="S404" s="1427">
        <f t="shared" si="73"/>
        <v>0</v>
      </c>
    </row>
    <row r="405" ht="13" spans="1:19">
      <c r="A405" s="1437"/>
      <c r="B405" s="1432"/>
      <c r="C405" s="1428">
        <f t="shared" si="64"/>
        <v>1</v>
      </c>
      <c r="D405" s="1435"/>
      <c r="E405" s="1428">
        <f t="shared" si="65"/>
        <v>1</v>
      </c>
      <c r="F405" s="1435"/>
      <c r="G405" s="1428">
        <f t="shared" si="66"/>
        <v>1</v>
      </c>
      <c r="H405" s="1435"/>
      <c r="I405" s="1428">
        <f t="shared" si="67"/>
        <v>1</v>
      </c>
      <c r="J405" s="1435"/>
      <c r="K405" s="1428">
        <f t="shared" si="68"/>
        <v>1</v>
      </c>
      <c r="L405" s="1435"/>
      <c r="M405" s="1428">
        <f t="shared" si="69"/>
        <v>1</v>
      </c>
      <c r="N405" s="1435"/>
      <c r="O405" s="1428">
        <f t="shared" si="70"/>
        <v>1</v>
      </c>
      <c r="P405" s="1435"/>
      <c r="Q405" s="1428">
        <f t="shared" si="71"/>
        <v>0</v>
      </c>
      <c r="R405" s="1488">
        <f t="shared" si="72"/>
        <v>0</v>
      </c>
      <c r="S405" s="1427">
        <f t="shared" si="73"/>
        <v>0</v>
      </c>
    </row>
    <row r="406" ht="13" spans="1:19">
      <c r="A406" s="1437"/>
      <c r="B406" s="1432"/>
      <c r="C406" s="1428">
        <f t="shared" si="64"/>
        <v>1</v>
      </c>
      <c r="D406" s="1435"/>
      <c r="E406" s="1428">
        <f t="shared" si="65"/>
        <v>1</v>
      </c>
      <c r="F406" s="1435"/>
      <c r="G406" s="1428">
        <f t="shared" si="66"/>
        <v>1</v>
      </c>
      <c r="H406" s="1435"/>
      <c r="I406" s="1428">
        <f t="shared" si="67"/>
        <v>1</v>
      </c>
      <c r="J406" s="1435"/>
      <c r="K406" s="1428">
        <f t="shared" si="68"/>
        <v>1</v>
      </c>
      <c r="L406" s="1435"/>
      <c r="M406" s="1428">
        <f t="shared" si="69"/>
        <v>1</v>
      </c>
      <c r="N406" s="1435"/>
      <c r="O406" s="1428">
        <f t="shared" si="70"/>
        <v>1</v>
      </c>
      <c r="P406" s="1435"/>
      <c r="Q406" s="1428">
        <f t="shared" si="71"/>
        <v>0</v>
      </c>
      <c r="R406" s="1488">
        <f t="shared" si="72"/>
        <v>0</v>
      </c>
      <c r="S406" s="1427">
        <f t="shared" si="73"/>
        <v>0</v>
      </c>
    </row>
    <row r="407" ht="13" spans="1:19">
      <c r="A407" s="1437"/>
      <c r="B407" s="1432"/>
      <c r="C407" s="1428">
        <f t="shared" si="64"/>
        <v>1</v>
      </c>
      <c r="D407" s="1435"/>
      <c r="E407" s="1428">
        <f t="shared" si="65"/>
        <v>1</v>
      </c>
      <c r="F407" s="1435"/>
      <c r="G407" s="1428">
        <f t="shared" si="66"/>
        <v>1</v>
      </c>
      <c r="H407" s="1435"/>
      <c r="I407" s="1428">
        <f t="shared" si="67"/>
        <v>1</v>
      </c>
      <c r="J407" s="1435"/>
      <c r="K407" s="1428">
        <f t="shared" si="68"/>
        <v>1</v>
      </c>
      <c r="L407" s="1435"/>
      <c r="M407" s="1428">
        <f t="shared" si="69"/>
        <v>1</v>
      </c>
      <c r="N407" s="1435"/>
      <c r="O407" s="1428">
        <f t="shared" si="70"/>
        <v>1</v>
      </c>
      <c r="P407" s="1435"/>
      <c r="Q407" s="1428">
        <f t="shared" si="71"/>
        <v>0</v>
      </c>
      <c r="R407" s="1488">
        <f t="shared" si="72"/>
        <v>0</v>
      </c>
      <c r="S407" s="1427">
        <f t="shared" si="73"/>
        <v>0</v>
      </c>
    </row>
    <row r="408" ht="13" spans="1:19">
      <c r="A408" s="1437"/>
      <c r="B408" s="1432"/>
      <c r="C408" s="1428">
        <f t="shared" si="64"/>
        <v>1</v>
      </c>
      <c r="D408" s="1435"/>
      <c r="E408" s="1428">
        <f t="shared" si="65"/>
        <v>1</v>
      </c>
      <c r="F408" s="1435"/>
      <c r="G408" s="1428">
        <f t="shared" si="66"/>
        <v>1</v>
      </c>
      <c r="H408" s="1435"/>
      <c r="I408" s="1428">
        <f t="shared" si="67"/>
        <v>1</v>
      </c>
      <c r="J408" s="1435"/>
      <c r="K408" s="1428">
        <f t="shared" si="68"/>
        <v>1</v>
      </c>
      <c r="L408" s="1435"/>
      <c r="M408" s="1428">
        <f t="shared" si="69"/>
        <v>1</v>
      </c>
      <c r="N408" s="1435"/>
      <c r="O408" s="1428">
        <f t="shared" si="70"/>
        <v>1</v>
      </c>
      <c r="P408" s="1435"/>
      <c r="Q408" s="1428">
        <f t="shared" si="71"/>
        <v>0</v>
      </c>
      <c r="R408" s="1488">
        <f t="shared" si="72"/>
        <v>0</v>
      </c>
      <c r="S408" s="1427">
        <f t="shared" si="73"/>
        <v>0</v>
      </c>
    </row>
    <row r="409" ht="13" spans="1:19">
      <c r="A409" s="1437"/>
      <c r="B409" s="1432"/>
      <c r="C409" s="1428">
        <f t="shared" si="64"/>
        <v>1</v>
      </c>
      <c r="D409" s="1435"/>
      <c r="E409" s="1428">
        <f t="shared" si="65"/>
        <v>1</v>
      </c>
      <c r="F409" s="1435"/>
      <c r="G409" s="1428">
        <f t="shared" si="66"/>
        <v>1</v>
      </c>
      <c r="H409" s="1435"/>
      <c r="I409" s="1428">
        <f t="shared" si="67"/>
        <v>1</v>
      </c>
      <c r="J409" s="1435"/>
      <c r="K409" s="1428">
        <f t="shared" si="68"/>
        <v>1</v>
      </c>
      <c r="L409" s="1435"/>
      <c r="M409" s="1428">
        <f t="shared" si="69"/>
        <v>1</v>
      </c>
      <c r="N409" s="1435"/>
      <c r="O409" s="1428">
        <f t="shared" si="70"/>
        <v>1</v>
      </c>
      <c r="P409" s="1435"/>
      <c r="Q409" s="1428">
        <f t="shared" si="71"/>
        <v>0</v>
      </c>
      <c r="R409" s="1488">
        <f t="shared" si="72"/>
        <v>0</v>
      </c>
      <c r="S409" s="1427">
        <f t="shared" si="73"/>
        <v>0</v>
      </c>
    </row>
    <row r="410" ht="13" spans="1:19">
      <c r="A410" s="1437"/>
      <c r="B410" s="1432"/>
      <c r="C410" s="1428">
        <f t="shared" ref="C410:C473" si="74">IF(B410="",1,(LOOKUP(B410,$3:$3,$4:$4)-LOOKUP($B$24,$3:$3,$4:$4)+100)/100)</f>
        <v>1</v>
      </c>
      <c r="D410" s="1435"/>
      <c r="E410" s="1428">
        <f t="shared" ref="E410:E473" si="75">(SUMIF($5:$5,D410,$6:$6)-SUMIF($5:$5,$D$24,$6:$6)+100)/100</f>
        <v>1</v>
      </c>
      <c r="F410" s="1435"/>
      <c r="G410" s="1428">
        <f t="shared" ref="G410:G473" si="76">(SUMIF($7:$7,F410,$8:$8)-SUMIF($7:$7,$F$24,$8:$8)+100)/100</f>
        <v>1</v>
      </c>
      <c r="H410" s="1435"/>
      <c r="I410" s="1428">
        <f t="shared" ref="I410:I473" si="77">(SUMIF($9:$9,H410,$10:$10)-SUMIF($9:$9,$H$24,$10:$10)+100)/100</f>
        <v>1</v>
      </c>
      <c r="J410" s="1435"/>
      <c r="K410" s="1428">
        <f t="shared" ref="K410:K473" si="78">(SUMIF($11:$11,J410,$12:$12)-SUMIF($11:$11,$J$24,$12:$12)+100)/100</f>
        <v>1</v>
      </c>
      <c r="L410" s="1435"/>
      <c r="M410" s="1428">
        <f t="shared" ref="M410:M473" si="79">(SUMIF($13:$13,L410,$14:$14)-SUMIF($13:$13,$L$24,$14:$14)+100)/100</f>
        <v>1</v>
      </c>
      <c r="N410" s="1435"/>
      <c r="O410" s="1428">
        <f t="shared" ref="O410:O473" si="80">(SUMIF($15:$15,N410,$16:$16)-SUMIF($15:$15,$N$24,$16:$16)+100)/100</f>
        <v>1</v>
      </c>
      <c r="P410" s="1435"/>
      <c r="Q410" s="1428">
        <f t="shared" ref="Q410:Q473" si="81">(SUMIF($17:$17,P410,$18:$18)-SUMIF($17:$17,$P$24,$18:$18)+100)/100</f>
        <v>0</v>
      </c>
      <c r="R410" s="1488">
        <f t="shared" ref="R410:R473" si="82">IF(B410="",0,ROUND($R$24*C410*E410*G410*I410*K410*M410*O410*Q410,0))</f>
        <v>0</v>
      </c>
      <c r="S410" s="1427">
        <f t="shared" si="73"/>
        <v>0</v>
      </c>
    </row>
    <row r="411" ht="13" spans="1:19">
      <c r="A411" s="1437"/>
      <c r="B411" s="1432"/>
      <c r="C411" s="1428">
        <f t="shared" si="74"/>
        <v>1</v>
      </c>
      <c r="D411" s="1435"/>
      <c r="E411" s="1428">
        <f t="shared" si="75"/>
        <v>1</v>
      </c>
      <c r="F411" s="1435"/>
      <c r="G411" s="1428">
        <f t="shared" si="76"/>
        <v>1</v>
      </c>
      <c r="H411" s="1435"/>
      <c r="I411" s="1428">
        <f t="shared" si="77"/>
        <v>1</v>
      </c>
      <c r="J411" s="1435"/>
      <c r="K411" s="1428">
        <f t="shared" si="78"/>
        <v>1</v>
      </c>
      <c r="L411" s="1435"/>
      <c r="M411" s="1428">
        <f t="shared" si="79"/>
        <v>1</v>
      </c>
      <c r="N411" s="1435"/>
      <c r="O411" s="1428">
        <f t="shared" si="80"/>
        <v>1</v>
      </c>
      <c r="P411" s="1435"/>
      <c r="Q411" s="1428">
        <f t="shared" si="81"/>
        <v>0</v>
      </c>
      <c r="R411" s="1488">
        <f t="shared" si="82"/>
        <v>0</v>
      </c>
      <c r="S411" s="1427">
        <f t="shared" si="73"/>
        <v>0</v>
      </c>
    </row>
    <row r="412" ht="13" spans="1:19">
      <c r="A412" s="1437"/>
      <c r="B412" s="1432"/>
      <c r="C412" s="1428">
        <f t="shared" si="74"/>
        <v>1</v>
      </c>
      <c r="D412" s="1435"/>
      <c r="E412" s="1428">
        <f t="shared" si="75"/>
        <v>1</v>
      </c>
      <c r="F412" s="1435"/>
      <c r="G412" s="1428">
        <f t="shared" si="76"/>
        <v>1</v>
      </c>
      <c r="H412" s="1435"/>
      <c r="I412" s="1428">
        <f t="shared" si="77"/>
        <v>1</v>
      </c>
      <c r="J412" s="1435"/>
      <c r="K412" s="1428">
        <f t="shared" si="78"/>
        <v>1</v>
      </c>
      <c r="L412" s="1435"/>
      <c r="M412" s="1428">
        <f t="shared" si="79"/>
        <v>1</v>
      </c>
      <c r="N412" s="1435"/>
      <c r="O412" s="1428">
        <f t="shared" si="80"/>
        <v>1</v>
      </c>
      <c r="P412" s="1435"/>
      <c r="Q412" s="1428">
        <f t="shared" si="81"/>
        <v>0</v>
      </c>
      <c r="R412" s="1488">
        <f t="shared" si="82"/>
        <v>0</v>
      </c>
      <c r="S412" s="1427">
        <f t="shared" si="73"/>
        <v>0</v>
      </c>
    </row>
    <row r="413" ht="13" spans="1:19">
      <c r="A413" s="1437"/>
      <c r="B413" s="1432"/>
      <c r="C413" s="1428">
        <f t="shared" si="74"/>
        <v>1</v>
      </c>
      <c r="D413" s="1435"/>
      <c r="E413" s="1428">
        <f t="shared" si="75"/>
        <v>1</v>
      </c>
      <c r="F413" s="1435"/>
      <c r="G413" s="1428">
        <f t="shared" si="76"/>
        <v>1</v>
      </c>
      <c r="H413" s="1435"/>
      <c r="I413" s="1428">
        <f t="shared" si="77"/>
        <v>1</v>
      </c>
      <c r="J413" s="1435"/>
      <c r="K413" s="1428">
        <f t="shared" si="78"/>
        <v>1</v>
      </c>
      <c r="L413" s="1435"/>
      <c r="M413" s="1428">
        <f t="shared" si="79"/>
        <v>1</v>
      </c>
      <c r="N413" s="1435"/>
      <c r="O413" s="1428">
        <f t="shared" si="80"/>
        <v>1</v>
      </c>
      <c r="P413" s="1435"/>
      <c r="Q413" s="1428">
        <f t="shared" si="81"/>
        <v>0</v>
      </c>
      <c r="R413" s="1488">
        <f t="shared" si="82"/>
        <v>0</v>
      </c>
      <c r="S413" s="1427">
        <f t="shared" si="73"/>
        <v>0</v>
      </c>
    </row>
    <row r="414" ht="13" spans="1:19">
      <c r="A414" s="1437"/>
      <c r="B414" s="1432"/>
      <c r="C414" s="1428">
        <f t="shared" si="74"/>
        <v>1</v>
      </c>
      <c r="D414" s="1435"/>
      <c r="E414" s="1428">
        <f t="shared" si="75"/>
        <v>1</v>
      </c>
      <c r="F414" s="1435"/>
      <c r="G414" s="1428">
        <f t="shared" si="76"/>
        <v>1</v>
      </c>
      <c r="H414" s="1435"/>
      <c r="I414" s="1428">
        <f t="shared" si="77"/>
        <v>1</v>
      </c>
      <c r="J414" s="1435"/>
      <c r="K414" s="1428">
        <f t="shared" si="78"/>
        <v>1</v>
      </c>
      <c r="L414" s="1435"/>
      <c r="M414" s="1428">
        <f t="shared" si="79"/>
        <v>1</v>
      </c>
      <c r="N414" s="1435"/>
      <c r="O414" s="1428">
        <f t="shared" si="80"/>
        <v>1</v>
      </c>
      <c r="P414" s="1435"/>
      <c r="Q414" s="1428">
        <f t="shared" si="81"/>
        <v>0</v>
      </c>
      <c r="R414" s="1488">
        <f t="shared" si="82"/>
        <v>0</v>
      </c>
      <c r="S414" s="1427">
        <f t="shared" si="73"/>
        <v>0</v>
      </c>
    </row>
    <row r="415" ht="13" spans="1:19">
      <c r="A415" s="1437"/>
      <c r="B415" s="1432"/>
      <c r="C415" s="1428">
        <f t="shared" si="74"/>
        <v>1</v>
      </c>
      <c r="D415" s="1435"/>
      <c r="E415" s="1428">
        <f t="shared" si="75"/>
        <v>1</v>
      </c>
      <c r="F415" s="1435"/>
      <c r="G415" s="1428">
        <f t="shared" si="76"/>
        <v>1</v>
      </c>
      <c r="H415" s="1435"/>
      <c r="I415" s="1428">
        <f t="shared" si="77"/>
        <v>1</v>
      </c>
      <c r="J415" s="1435"/>
      <c r="K415" s="1428">
        <f t="shared" si="78"/>
        <v>1</v>
      </c>
      <c r="L415" s="1435"/>
      <c r="M415" s="1428">
        <f t="shared" si="79"/>
        <v>1</v>
      </c>
      <c r="N415" s="1435"/>
      <c r="O415" s="1428">
        <f t="shared" si="80"/>
        <v>1</v>
      </c>
      <c r="P415" s="1435"/>
      <c r="Q415" s="1428">
        <f t="shared" si="81"/>
        <v>0</v>
      </c>
      <c r="R415" s="1488">
        <f t="shared" si="82"/>
        <v>0</v>
      </c>
      <c r="S415" s="1427">
        <f t="shared" si="73"/>
        <v>0</v>
      </c>
    </row>
    <row r="416" ht="13" spans="1:19">
      <c r="A416" s="1437"/>
      <c r="B416" s="1432"/>
      <c r="C416" s="1428">
        <f t="shared" si="74"/>
        <v>1</v>
      </c>
      <c r="D416" s="1435"/>
      <c r="E416" s="1428">
        <f t="shared" si="75"/>
        <v>1</v>
      </c>
      <c r="F416" s="1435"/>
      <c r="G416" s="1428">
        <f t="shared" si="76"/>
        <v>1</v>
      </c>
      <c r="H416" s="1435"/>
      <c r="I416" s="1428">
        <f t="shared" si="77"/>
        <v>1</v>
      </c>
      <c r="J416" s="1435"/>
      <c r="K416" s="1428">
        <f t="shared" si="78"/>
        <v>1</v>
      </c>
      <c r="L416" s="1435"/>
      <c r="M416" s="1428">
        <f t="shared" si="79"/>
        <v>1</v>
      </c>
      <c r="N416" s="1435"/>
      <c r="O416" s="1428">
        <f t="shared" si="80"/>
        <v>1</v>
      </c>
      <c r="P416" s="1435"/>
      <c r="Q416" s="1428">
        <f t="shared" si="81"/>
        <v>0</v>
      </c>
      <c r="R416" s="1488">
        <f t="shared" si="82"/>
        <v>0</v>
      </c>
      <c r="S416" s="1427">
        <f t="shared" si="73"/>
        <v>0</v>
      </c>
    </row>
    <row r="417" ht="13" spans="1:19">
      <c r="A417" s="1437"/>
      <c r="B417" s="1432"/>
      <c r="C417" s="1428">
        <f t="shared" si="74"/>
        <v>1</v>
      </c>
      <c r="D417" s="1435"/>
      <c r="E417" s="1428">
        <f t="shared" si="75"/>
        <v>1</v>
      </c>
      <c r="F417" s="1435"/>
      <c r="G417" s="1428">
        <f t="shared" si="76"/>
        <v>1</v>
      </c>
      <c r="H417" s="1435"/>
      <c r="I417" s="1428">
        <f t="shared" si="77"/>
        <v>1</v>
      </c>
      <c r="J417" s="1435"/>
      <c r="K417" s="1428">
        <f t="shared" si="78"/>
        <v>1</v>
      </c>
      <c r="L417" s="1435"/>
      <c r="M417" s="1428">
        <f t="shared" si="79"/>
        <v>1</v>
      </c>
      <c r="N417" s="1435"/>
      <c r="O417" s="1428">
        <f t="shared" si="80"/>
        <v>1</v>
      </c>
      <c r="P417" s="1435"/>
      <c r="Q417" s="1428">
        <f t="shared" si="81"/>
        <v>0</v>
      </c>
      <c r="R417" s="1488">
        <f t="shared" si="82"/>
        <v>0</v>
      </c>
      <c r="S417" s="1427">
        <f t="shared" si="73"/>
        <v>0</v>
      </c>
    </row>
    <row r="418" ht="13" spans="1:19">
      <c r="A418" s="1437"/>
      <c r="B418" s="1432"/>
      <c r="C418" s="1428">
        <f t="shared" si="74"/>
        <v>1</v>
      </c>
      <c r="D418" s="1435"/>
      <c r="E418" s="1428">
        <f t="shared" si="75"/>
        <v>1</v>
      </c>
      <c r="F418" s="1435"/>
      <c r="G418" s="1428">
        <f t="shared" si="76"/>
        <v>1</v>
      </c>
      <c r="H418" s="1435"/>
      <c r="I418" s="1428">
        <f t="shared" si="77"/>
        <v>1</v>
      </c>
      <c r="J418" s="1435"/>
      <c r="K418" s="1428">
        <f t="shared" si="78"/>
        <v>1</v>
      </c>
      <c r="L418" s="1435"/>
      <c r="M418" s="1428">
        <f t="shared" si="79"/>
        <v>1</v>
      </c>
      <c r="N418" s="1435"/>
      <c r="O418" s="1428">
        <f t="shared" si="80"/>
        <v>1</v>
      </c>
      <c r="P418" s="1435"/>
      <c r="Q418" s="1428">
        <f t="shared" si="81"/>
        <v>0</v>
      </c>
      <c r="R418" s="1488">
        <f t="shared" si="82"/>
        <v>0</v>
      </c>
      <c r="S418" s="1427">
        <f t="shared" si="73"/>
        <v>0</v>
      </c>
    </row>
    <row r="419" ht="13" spans="1:19">
      <c r="A419" s="1437"/>
      <c r="B419" s="1432"/>
      <c r="C419" s="1428">
        <f t="shared" si="74"/>
        <v>1</v>
      </c>
      <c r="D419" s="1435"/>
      <c r="E419" s="1428">
        <f t="shared" si="75"/>
        <v>1</v>
      </c>
      <c r="F419" s="1435"/>
      <c r="G419" s="1428">
        <f t="shared" si="76"/>
        <v>1</v>
      </c>
      <c r="H419" s="1435"/>
      <c r="I419" s="1428">
        <f t="shared" si="77"/>
        <v>1</v>
      </c>
      <c r="J419" s="1435"/>
      <c r="K419" s="1428">
        <f t="shared" si="78"/>
        <v>1</v>
      </c>
      <c r="L419" s="1435"/>
      <c r="M419" s="1428">
        <f t="shared" si="79"/>
        <v>1</v>
      </c>
      <c r="N419" s="1435"/>
      <c r="O419" s="1428">
        <f t="shared" si="80"/>
        <v>1</v>
      </c>
      <c r="P419" s="1435"/>
      <c r="Q419" s="1428">
        <f t="shared" si="81"/>
        <v>0</v>
      </c>
      <c r="R419" s="1488">
        <f t="shared" si="82"/>
        <v>0</v>
      </c>
      <c r="S419" s="1427">
        <f t="shared" si="73"/>
        <v>0</v>
      </c>
    </row>
    <row r="420" ht="13" spans="1:19">
      <c r="A420" s="1437"/>
      <c r="B420" s="1432"/>
      <c r="C420" s="1428">
        <f t="shared" si="74"/>
        <v>1</v>
      </c>
      <c r="D420" s="1435"/>
      <c r="E420" s="1428">
        <f t="shared" si="75"/>
        <v>1</v>
      </c>
      <c r="F420" s="1435"/>
      <c r="G420" s="1428">
        <f t="shared" si="76"/>
        <v>1</v>
      </c>
      <c r="H420" s="1435"/>
      <c r="I420" s="1428">
        <f t="shared" si="77"/>
        <v>1</v>
      </c>
      <c r="J420" s="1435"/>
      <c r="K420" s="1428">
        <f t="shared" si="78"/>
        <v>1</v>
      </c>
      <c r="L420" s="1435"/>
      <c r="M420" s="1428">
        <f t="shared" si="79"/>
        <v>1</v>
      </c>
      <c r="N420" s="1435"/>
      <c r="O420" s="1428">
        <f t="shared" si="80"/>
        <v>1</v>
      </c>
      <c r="P420" s="1435"/>
      <c r="Q420" s="1428">
        <f t="shared" si="81"/>
        <v>0</v>
      </c>
      <c r="R420" s="1488">
        <f t="shared" si="82"/>
        <v>0</v>
      </c>
      <c r="S420" s="1427">
        <f t="shared" si="73"/>
        <v>0</v>
      </c>
    </row>
    <row r="421" ht="13" spans="1:19">
      <c r="A421" s="1437"/>
      <c r="B421" s="1432"/>
      <c r="C421" s="1428">
        <f t="shared" si="74"/>
        <v>1</v>
      </c>
      <c r="D421" s="1435"/>
      <c r="E421" s="1428">
        <f t="shared" si="75"/>
        <v>1</v>
      </c>
      <c r="F421" s="1435"/>
      <c r="G421" s="1428">
        <f t="shared" si="76"/>
        <v>1</v>
      </c>
      <c r="H421" s="1435"/>
      <c r="I421" s="1428">
        <f t="shared" si="77"/>
        <v>1</v>
      </c>
      <c r="J421" s="1435"/>
      <c r="K421" s="1428">
        <f t="shared" si="78"/>
        <v>1</v>
      </c>
      <c r="L421" s="1435"/>
      <c r="M421" s="1428">
        <f t="shared" si="79"/>
        <v>1</v>
      </c>
      <c r="N421" s="1435"/>
      <c r="O421" s="1428">
        <f t="shared" si="80"/>
        <v>1</v>
      </c>
      <c r="P421" s="1435"/>
      <c r="Q421" s="1428">
        <f t="shared" si="81"/>
        <v>0</v>
      </c>
      <c r="R421" s="1488">
        <f t="shared" si="82"/>
        <v>0</v>
      </c>
      <c r="S421" s="1427">
        <f t="shared" si="73"/>
        <v>0</v>
      </c>
    </row>
    <row r="422" ht="13" spans="1:19">
      <c r="A422" s="1437"/>
      <c r="B422" s="1432"/>
      <c r="C422" s="1428">
        <f t="shared" si="74"/>
        <v>1</v>
      </c>
      <c r="D422" s="1435"/>
      <c r="E422" s="1428">
        <f t="shared" si="75"/>
        <v>1</v>
      </c>
      <c r="F422" s="1435"/>
      <c r="G422" s="1428">
        <f t="shared" si="76"/>
        <v>1</v>
      </c>
      <c r="H422" s="1435"/>
      <c r="I422" s="1428">
        <f t="shared" si="77"/>
        <v>1</v>
      </c>
      <c r="J422" s="1435"/>
      <c r="K422" s="1428">
        <f t="shared" si="78"/>
        <v>1</v>
      </c>
      <c r="L422" s="1435"/>
      <c r="M422" s="1428">
        <f t="shared" si="79"/>
        <v>1</v>
      </c>
      <c r="N422" s="1435"/>
      <c r="O422" s="1428">
        <f t="shared" si="80"/>
        <v>1</v>
      </c>
      <c r="P422" s="1435"/>
      <c r="Q422" s="1428">
        <f t="shared" si="81"/>
        <v>0</v>
      </c>
      <c r="R422" s="1488">
        <f t="shared" si="82"/>
        <v>0</v>
      </c>
      <c r="S422" s="1427">
        <f t="shared" si="73"/>
        <v>0</v>
      </c>
    </row>
    <row r="423" ht="13" spans="1:19">
      <c r="A423" s="1437"/>
      <c r="B423" s="1432"/>
      <c r="C423" s="1428">
        <f t="shared" si="74"/>
        <v>1</v>
      </c>
      <c r="D423" s="1435"/>
      <c r="E423" s="1428">
        <f t="shared" si="75"/>
        <v>1</v>
      </c>
      <c r="F423" s="1435"/>
      <c r="G423" s="1428">
        <f t="shared" si="76"/>
        <v>1</v>
      </c>
      <c r="H423" s="1435"/>
      <c r="I423" s="1428">
        <f t="shared" si="77"/>
        <v>1</v>
      </c>
      <c r="J423" s="1435"/>
      <c r="K423" s="1428">
        <f t="shared" si="78"/>
        <v>1</v>
      </c>
      <c r="L423" s="1435"/>
      <c r="M423" s="1428">
        <f t="shared" si="79"/>
        <v>1</v>
      </c>
      <c r="N423" s="1435"/>
      <c r="O423" s="1428">
        <f t="shared" si="80"/>
        <v>1</v>
      </c>
      <c r="P423" s="1435"/>
      <c r="Q423" s="1428">
        <f t="shared" si="81"/>
        <v>0</v>
      </c>
      <c r="R423" s="1488">
        <f t="shared" si="82"/>
        <v>0</v>
      </c>
      <c r="S423" s="1427">
        <f t="shared" ref="S423:S467" si="83">ROUND(R423*B423/10000,0)</f>
        <v>0</v>
      </c>
    </row>
    <row r="424" ht="13" spans="1:19">
      <c r="A424" s="1437"/>
      <c r="B424" s="1432"/>
      <c r="C424" s="1428">
        <f t="shared" si="74"/>
        <v>1</v>
      </c>
      <c r="D424" s="1435"/>
      <c r="E424" s="1428">
        <f t="shared" si="75"/>
        <v>1</v>
      </c>
      <c r="F424" s="1435"/>
      <c r="G424" s="1428">
        <f t="shared" si="76"/>
        <v>1</v>
      </c>
      <c r="H424" s="1435"/>
      <c r="I424" s="1428">
        <f t="shared" si="77"/>
        <v>1</v>
      </c>
      <c r="J424" s="1435"/>
      <c r="K424" s="1428">
        <f t="shared" si="78"/>
        <v>1</v>
      </c>
      <c r="L424" s="1435"/>
      <c r="M424" s="1428">
        <f t="shared" si="79"/>
        <v>1</v>
      </c>
      <c r="N424" s="1435"/>
      <c r="O424" s="1428">
        <f t="shared" si="80"/>
        <v>1</v>
      </c>
      <c r="P424" s="1435"/>
      <c r="Q424" s="1428">
        <f t="shared" si="81"/>
        <v>0</v>
      </c>
      <c r="R424" s="1488">
        <f t="shared" si="82"/>
        <v>0</v>
      </c>
      <c r="S424" s="1427">
        <f t="shared" si="83"/>
        <v>0</v>
      </c>
    </row>
    <row r="425" ht="13" spans="1:19">
      <c r="A425" s="1437"/>
      <c r="B425" s="1432"/>
      <c r="C425" s="1428">
        <f t="shared" si="74"/>
        <v>1</v>
      </c>
      <c r="D425" s="1435"/>
      <c r="E425" s="1428">
        <f t="shared" si="75"/>
        <v>1</v>
      </c>
      <c r="F425" s="1435"/>
      <c r="G425" s="1428">
        <f t="shared" si="76"/>
        <v>1</v>
      </c>
      <c r="H425" s="1435"/>
      <c r="I425" s="1428">
        <f t="shared" si="77"/>
        <v>1</v>
      </c>
      <c r="J425" s="1435"/>
      <c r="K425" s="1428">
        <f t="shared" si="78"/>
        <v>1</v>
      </c>
      <c r="L425" s="1435"/>
      <c r="M425" s="1428">
        <f t="shared" si="79"/>
        <v>1</v>
      </c>
      <c r="N425" s="1435"/>
      <c r="O425" s="1428">
        <f t="shared" si="80"/>
        <v>1</v>
      </c>
      <c r="P425" s="1435"/>
      <c r="Q425" s="1428">
        <f t="shared" si="81"/>
        <v>0</v>
      </c>
      <c r="R425" s="1488">
        <f t="shared" si="82"/>
        <v>0</v>
      </c>
      <c r="S425" s="1427">
        <f t="shared" si="83"/>
        <v>0</v>
      </c>
    </row>
    <row r="426" ht="13" spans="1:19">
      <c r="A426" s="1437"/>
      <c r="B426" s="1432"/>
      <c r="C426" s="1428">
        <f t="shared" si="74"/>
        <v>1</v>
      </c>
      <c r="D426" s="1435"/>
      <c r="E426" s="1428">
        <f t="shared" si="75"/>
        <v>1</v>
      </c>
      <c r="F426" s="1435"/>
      <c r="G426" s="1428">
        <f t="shared" si="76"/>
        <v>1</v>
      </c>
      <c r="H426" s="1435"/>
      <c r="I426" s="1428">
        <f t="shared" si="77"/>
        <v>1</v>
      </c>
      <c r="J426" s="1435"/>
      <c r="K426" s="1428">
        <f t="shared" si="78"/>
        <v>1</v>
      </c>
      <c r="L426" s="1435"/>
      <c r="M426" s="1428">
        <f t="shared" si="79"/>
        <v>1</v>
      </c>
      <c r="N426" s="1435"/>
      <c r="O426" s="1428">
        <f t="shared" si="80"/>
        <v>1</v>
      </c>
      <c r="P426" s="1435"/>
      <c r="Q426" s="1428">
        <f t="shared" si="81"/>
        <v>0</v>
      </c>
      <c r="R426" s="1488">
        <f t="shared" si="82"/>
        <v>0</v>
      </c>
      <c r="S426" s="1427">
        <f t="shared" si="83"/>
        <v>0</v>
      </c>
    </row>
    <row r="427" ht="13" spans="1:19">
      <c r="A427" s="1437"/>
      <c r="B427" s="1432"/>
      <c r="C427" s="1428">
        <f t="shared" si="74"/>
        <v>1</v>
      </c>
      <c r="D427" s="1435"/>
      <c r="E427" s="1428">
        <f t="shared" si="75"/>
        <v>1</v>
      </c>
      <c r="F427" s="1435"/>
      <c r="G427" s="1428">
        <f t="shared" si="76"/>
        <v>1</v>
      </c>
      <c r="H427" s="1435"/>
      <c r="I427" s="1428">
        <f t="shared" si="77"/>
        <v>1</v>
      </c>
      <c r="J427" s="1435"/>
      <c r="K427" s="1428">
        <f t="shared" si="78"/>
        <v>1</v>
      </c>
      <c r="L427" s="1435"/>
      <c r="M427" s="1428">
        <f t="shared" si="79"/>
        <v>1</v>
      </c>
      <c r="N427" s="1435"/>
      <c r="O427" s="1428">
        <f t="shared" si="80"/>
        <v>1</v>
      </c>
      <c r="P427" s="1435"/>
      <c r="Q427" s="1428">
        <f t="shared" si="81"/>
        <v>0</v>
      </c>
      <c r="R427" s="1488">
        <f t="shared" si="82"/>
        <v>0</v>
      </c>
      <c r="S427" s="1427">
        <f t="shared" si="83"/>
        <v>0</v>
      </c>
    </row>
    <row r="428" ht="13" spans="1:19">
      <c r="A428" s="1437"/>
      <c r="B428" s="1432"/>
      <c r="C428" s="1428">
        <f t="shared" si="74"/>
        <v>1</v>
      </c>
      <c r="D428" s="1435"/>
      <c r="E428" s="1428">
        <f t="shared" si="75"/>
        <v>1</v>
      </c>
      <c r="F428" s="1435"/>
      <c r="G428" s="1428">
        <f t="shared" si="76"/>
        <v>1</v>
      </c>
      <c r="H428" s="1435"/>
      <c r="I428" s="1428">
        <f t="shared" si="77"/>
        <v>1</v>
      </c>
      <c r="J428" s="1435"/>
      <c r="K428" s="1428">
        <f t="shared" si="78"/>
        <v>1</v>
      </c>
      <c r="L428" s="1435"/>
      <c r="M428" s="1428">
        <f t="shared" si="79"/>
        <v>1</v>
      </c>
      <c r="N428" s="1435"/>
      <c r="O428" s="1428">
        <f t="shared" si="80"/>
        <v>1</v>
      </c>
      <c r="P428" s="1435"/>
      <c r="Q428" s="1428">
        <f t="shared" si="81"/>
        <v>0</v>
      </c>
      <c r="R428" s="1488">
        <f t="shared" si="82"/>
        <v>0</v>
      </c>
      <c r="S428" s="1427">
        <f t="shared" si="83"/>
        <v>0</v>
      </c>
    </row>
    <row r="429" ht="13" spans="1:19">
      <c r="A429" s="1437"/>
      <c r="B429" s="1432"/>
      <c r="C429" s="1428">
        <f t="shared" si="74"/>
        <v>1</v>
      </c>
      <c r="D429" s="1435"/>
      <c r="E429" s="1428">
        <f t="shared" si="75"/>
        <v>1</v>
      </c>
      <c r="F429" s="1435"/>
      <c r="G429" s="1428">
        <f t="shared" si="76"/>
        <v>1</v>
      </c>
      <c r="H429" s="1435"/>
      <c r="I429" s="1428">
        <f t="shared" si="77"/>
        <v>1</v>
      </c>
      <c r="J429" s="1435"/>
      <c r="K429" s="1428">
        <f t="shared" si="78"/>
        <v>1</v>
      </c>
      <c r="L429" s="1435"/>
      <c r="M429" s="1428">
        <f t="shared" si="79"/>
        <v>1</v>
      </c>
      <c r="N429" s="1435"/>
      <c r="O429" s="1428">
        <f t="shared" si="80"/>
        <v>1</v>
      </c>
      <c r="P429" s="1435"/>
      <c r="Q429" s="1428">
        <f t="shared" si="81"/>
        <v>0</v>
      </c>
      <c r="R429" s="1488">
        <f t="shared" si="82"/>
        <v>0</v>
      </c>
      <c r="S429" s="1427">
        <f t="shared" si="83"/>
        <v>0</v>
      </c>
    </row>
    <row r="430" ht="13" spans="1:19">
      <c r="A430" s="1437"/>
      <c r="B430" s="1432"/>
      <c r="C430" s="1428">
        <f t="shared" si="74"/>
        <v>1</v>
      </c>
      <c r="D430" s="1435"/>
      <c r="E430" s="1428">
        <f t="shared" si="75"/>
        <v>1</v>
      </c>
      <c r="F430" s="1435"/>
      <c r="G430" s="1428">
        <f t="shared" si="76"/>
        <v>1</v>
      </c>
      <c r="H430" s="1435"/>
      <c r="I430" s="1428">
        <f t="shared" si="77"/>
        <v>1</v>
      </c>
      <c r="J430" s="1435"/>
      <c r="K430" s="1428">
        <f t="shared" si="78"/>
        <v>1</v>
      </c>
      <c r="L430" s="1435"/>
      <c r="M430" s="1428">
        <f t="shared" si="79"/>
        <v>1</v>
      </c>
      <c r="N430" s="1435"/>
      <c r="O430" s="1428">
        <f t="shared" si="80"/>
        <v>1</v>
      </c>
      <c r="P430" s="1435"/>
      <c r="Q430" s="1428">
        <f t="shared" si="81"/>
        <v>0</v>
      </c>
      <c r="R430" s="1488">
        <f t="shared" si="82"/>
        <v>0</v>
      </c>
      <c r="S430" s="1427">
        <f t="shared" si="83"/>
        <v>0</v>
      </c>
    </row>
    <row r="431" ht="13" spans="1:19">
      <c r="A431" s="1437"/>
      <c r="B431" s="1432"/>
      <c r="C431" s="1428">
        <f t="shared" si="74"/>
        <v>1</v>
      </c>
      <c r="D431" s="1435"/>
      <c r="E431" s="1428">
        <f t="shared" si="75"/>
        <v>1</v>
      </c>
      <c r="F431" s="1435"/>
      <c r="G431" s="1428">
        <f t="shared" si="76"/>
        <v>1</v>
      </c>
      <c r="H431" s="1435"/>
      <c r="I431" s="1428">
        <f t="shared" si="77"/>
        <v>1</v>
      </c>
      <c r="J431" s="1435"/>
      <c r="K431" s="1428">
        <f t="shared" si="78"/>
        <v>1</v>
      </c>
      <c r="L431" s="1435"/>
      <c r="M431" s="1428">
        <f t="shared" si="79"/>
        <v>1</v>
      </c>
      <c r="N431" s="1435"/>
      <c r="O431" s="1428">
        <f t="shared" si="80"/>
        <v>1</v>
      </c>
      <c r="P431" s="1435"/>
      <c r="Q431" s="1428">
        <f t="shared" si="81"/>
        <v>0</v>
      </c>
      <c r="R431" s="1488">
        <f t="shared" si="82"/>
        <v>0</v>
      </c>
      <c r="S431" s="1427">
        <f t="shared" si="83"/>
        <v>0</v>
      </c>
    </row>
    <row r="432" ht="13" spans="1:19">
      <c r="A432" s="1437"/>
      <c r="B432" s="1432"/>
      <c r="C432" s="1428">
        <f t="shared" si="74"/>
        <v>1</v>
      </c>
      <c r="D432" s="1435"/>
      <c r="E432" s="1428">
        <f t="shared" si="75"/>
        <v>1</v>
      </c>
      <c r="F432" s="1435"/>
      <c r="G432" s="1428">
        <f t="shared" si="76"/>
        <v>1</v>
      </c>
      <c r="H432" s="1435"/>
      <c r="I432" s="1428">
        <f t="shared" si="77"/>
        <v>1</v>
      </c>
      <c r="J432" s="1435"/>
      <c r="K432" s="1428">
        <f t="shared" si="78"/>
        <v>1</v>
      </c>
      <c r="L432" s="1435"/>
      <c r="M432" s="1428">
        <f t="shared" si="79"/>
        <v>1</v>
      </c>
      <c r="N432" s="1435"/>
      <c r="O432" s="1428">
        <f t="shared" si="80"/>
        <v>1</v>
      </c>
      <c r="P432" s="1435"/>
      <c r="Q432" s="1428">
        <f t="shared" si="81"/>
        <v>0</v>
      </c>
      <c r="R432" s="1488">
        <f t="shared" si="82"/>
        <v>0</v>
      </c>
      <c r="S432" s="1427">
        <f t="shared" si="83"/>
        <v>0</v>
      </c>
    </row>
    <row r="433" ht="13" spans="1:19">
      <c r="A433" s="1437"/>
      <c r="B433" s="1432"/>
      <c r="C433" s="1428">
        <f t="shared" si="74"/>
        <v>1</v>
      </c>
      <c r="D433" s="1435"/>
      <c r="E433" s="1428">
        <f t="shared" si="75"/>
        <v>1</v>
      </c>
      <c r="F433" s="1435"/>
      <c r="G433" s="1428">
        <f t="shared" si="76"/>
        <v>1</v>
      </c>
      <c r="H433" s="1435"/>
      <c r="I433" s="1428">
        <f t="shared" si="77"/>
        <v>1</v>
      </c>
      <c r="J433" s="1435"/>
      <c r="K433" s="1428">
        <f t="shared" si="78"/>
        <v>1</v>
      </c>
      <c r="L433" s="1435"/>
      <c r="M433" s="1428">
        <f t="shared" si="79"/>
        <v>1</v>
      </c>
      <c r="N433" s="1435"/>
      <c r="O433" s="1428">
        <f t="shared" si="80"/>
        <v>1</v>
      </c>
      <c r="P433" s="1435"/>
      <c r="Q433" s="1428">
        <f t="shared" si="81"/>
        <v>0</v>
      </c>
      <c r="R433" s="1488">
        <f t="shared" si="82"/>
        <v>0</v>
      </c>
      <c r="S433" s="1427">
        <f t="shared" si="83"/>
        <v>0</v>
      </c>
    </row>
    <row r="434" ht="13" spans="1:19">
      <c r="A434" s="1437"/>
      <c r="B434" s="1432"/>
      <c r="C434" s="1428">
        <f t="shared" si="74"/>
        <v>1</v>
      </c>
      <c r="D434" s="1435"/>
      <c r="E434" s="1428">
        <f t="shared" si="75"/>
        <v>1</v>
      </c>
      <c r="F434" s="1435"/>
      <c r="G434" s="1428">
        <f t="shared" si="76"/>
        <v>1</v>
      </c>
      <c r="H434" s="1435"/>
      <c r="I434" s="1428">
        <f t="shared" si="77"/>
        <v>1</v>
      </c>
      <c r="J434" s="1435"/>
      <c r="K434" s="1428">
        <f t="shared" si="78"/>
        <v>1</v>
      </c>
      <c r="L434" s="1435"/>
      <c r="M434" s="1428">
        <f t="shared" si="79"/>
        <v>1</v>
      </c>
      <c r="N434" s="1435"/>
      <c r="O434" s="1428">
        <f t="shared" si="80"/>
        <v>1</v>
      </c>
      <c r="P434" s="1435"/>
      <c r="Q434" s="1428">
        <f t="shared" si="81"/>
        <v>0</v>
      </c>
      <c r="R434" s="1488">
        <f t="shared" si="82"/>
        <v>0</v>
      </c>
      <c r="S434" s="1427">
        <f t="shared" si="83"/>
        <v>0</v>
      </c>
    </row>
    <row r="435" ht="13" spans="1:19">
      <c r="A435" s="1437"/>
      <c r="B435" s="1432"/>
      <c r="C435" s="1428">
        <f t="shared" si="74"/>
        <v>1</v>
      </c>
      <c r="D435" s="1435"/>
      <c r="E435" s="1428">
        <f t="shared" si="75"/>
        <v>1</v>
      </c>
      <c r="F435" s="1435"/>
      <c r="G435" s="1428">
        <f t="shared" si="76"/>
        <v>1</v>
      </c>
      <c r="H435" s="1435"/>
      <c r="I435" s="1428">
        <f t="shared" si="77"/>
        <v>1</v>
      </c>
      <c r="J435" s="1435"/>
      <c r="K435" s="1428">
        <f t="shared" si="78"/>
        <v>1</v>
      </c>
      <c r="L435" s="1435"/>
      <c r="M435" s="1428">
        <f t="shared" si="79"/>
        <v>1</v>
      </c>
      <c r="N435" s="1435"/>
      <c r="O435" s="1428">
        <f t="shared" si="80"/>
        <v>1</v>
      </c>
      <c r="P435" s="1435"/>
      <c r="Q435" s="1428">
        <f t="shared" si="81"/>
        <v>0</v>
      </c>
      <c r="R435" s="1488">
        <f t="shared" si="82"/>
        <v>0</v>
      </c>
      <c r="S435" s="1427">
        <f t="shared" si="83"/>
        <v>0</v>
      </c>
    </row>
    <row r="436" ht="13" spans="1:19">
      <c r="A436" s="1437"/>
      <c r="B436" s="1432"/>
      <c r="C436" s="1428">
        <f t="shared" si="74"/>
        <v>1</v>
      </c>
      <c r="D436" s="1435"/>
      <c r="E436" s="1428">
        <f t="shared" si="75"/>
        <v>1</v>
      </c>
      <c r="F436" s="1435"/>
      <c r="G436" s="1428">
        <f t="shared" si="76"/>
        <v>1</v>
      </c>
      <c r="H436" s="1435"/>
      <c r="I436" s="1428">
        <f t="shared" si="77"/>
        <v>1</v>
      </c>
      <c r="J436" s="1435"/>
      <c r="K436" s="1428">
        <f t="shared" si="78"/>
        <v>1</v>
      </c>
      <c r="L436" s="1435"/>
      <c r="M436" s="1428">
        <f t="shared" si="79"/>
        <v>1</v>
      </c>
      <c r="N436" s="1435"/>
      <c r="O436" s="1428">
        <f t="shared" si="80"/>
        <v>1</v>
      </c>
      <c r="P436" s="1435"/>
      <c r="Q436" s="1428">
        <f t="shared" si="81"/>
        <v>0</v>
      </c>
      <c r="R436" s="1488">
        <f t="shared" si="82"/>
        <v>0</v>
      </c>
      <c r="S436" s="1427">
        <f t="shared" si="83"/>
        <v>0</v>
      </c>
    </row>
    <row r="437" ht="13" spans="1:19">
      <c r="A437" s="1437"/>
      <c r="B437" s="1432"/>
      <c r="C437" s="1428">
        <f t="shared" si="74"/>
        <v>1</v>
      </c>
      <c r="D437" s="1435"/>
      <c r="E437" s="1428">
        <f t="shared" si="75"/>
        <v>1</v>
      </c>
      <c r="F437" s="1435"/>
      <c r="G437" s="1428">
        <f t="shared" si="76"/>
        <v>1</v>
      </c>
      <c r="H437" s="1435"/>
      <c r="I437" s="1428">
        <f t="shared" si="77"/>
        <v>1</v>
      </c>
      <c r="J437" s="1435"/>
      <c r="K437" s="1428">
        <f t="shared" si="78"/>
        <v>1</v>
      </c>
      <c r="L437" s="1435"/>
      <c r="M437" s="1428">
        <f t="shared" si="79"/>
        <v>1</v>
      </c>
      <c r="N437" s="1435"/>
      <c r="O437" s="1428">
        <f t="shared" si="80"/>
        <v>1</v>
      </c>
      <c r="P437" s="1435"/>
      <c r="Q437" s="1428">
        <f t="shared" si="81"/>
        <v>0</v>
      </c>
      <c r="R437" s="1488">
        <f t="shared" si="82"/>
        <v>0</v>
      </c>
      <c r="S437" s="1427">
        <f t="shared" si="83"/>
        <v>0</v>
      </c>
    </row>
    <row r="438" ht="13" spans="1:19">
      <c r="A438" s="1437"/>
      <c r="B438" s="1432"/>
      <c r="C438" s="1428">
        <f t="shared" si="74"/>
        <v>1</v>
      </c>
      <c r="D438" s="1435"/>
      <c r="E438" s="1428">
        <f t="shared" si="75"/>
        <v>1</v>
      </c>
      <c r="F438" s="1435"/>
      <c r="G438" s="1428">
        <f t="shared" si="76"/>
        <v>1</v>
      </c>
      <c r="H438" s="1435"/>
      <c r="I438" s="1428">
        <f t="shared" si="77"/>
        <v>1</v>
      </c>
      <c r="J438" s="1435"/>
      <c r="K438" s="1428">
        <f t="shared" si="78"/>
        <v>1</v>
      </c>
      <c r="L438" s="1435"/>
      <c r="M438" s="1428">
        <f t="shared" si="79"/>
        <v>1</v>
      </c>
      <c r="N438" s="1435"/>
      <c r="O438" s="1428">
        <f t="shared" si="80"/>
        <v>1</v>
      </c>
      <c r="P438" s="1435"/>
      <c r="Q438" s="1428">
        <f t="shared" si="81"/>
        <v>0</v>
      </c>
      <c r="R438" s="1488">
        <f t="shared" si="82"/>
        <v>0</v>
      </c>
      <c r="S438" s="1427">
        <f t="shared" si="83"/>
        <v>0</v>
      </c>
    </row>
    <row r="439" ht="13" spans="1:19">
      <c r="A439" s="1437"/>
      <c r="B439" s="1432"/>
      <c r="C439" s="1428">
        <f t="shared" si="74"/>
        <v>1</v>
      </c>
      <c r="D439" s="1435"/>
      <c r="E439" s="1428">
        <f t="shared" si="75"/>
        <v>1</v>
      </c>
      <c r="F439" s="1435"/>
      <c r="G439" s="1428">
        <f t="shared" si="76"/>
        <v>1</v>
      </c>
      <c r="H439" s="1435"/>
      <c r="I439" s="1428">
        <f t="shared" si="77"/>
        <v>1</v>
      </c>
      <c r="J439" s="1435"/>
      <c r="K439" s="1428">
        <f t="shared" si="78"/>
        <v>1</v>
      </c>
      <c r="L439" s="1435"/>
      <c r="M439" s="1428">
        <f t="shared" si="79"/>
        <v>1</v>
      </c>
      <c r="N439" s="1435"/>
      <c r="O439" s="1428">
        <f t="shared" si="80"/>
        <v>1</v>
      </c>
      <c r="P439" s="1435"/>
      <c r="Q439" s="1428">
        <f t="shared" si="81"/>
        <v>0</v>
      </c>
      <c r="R439" s="1488">
        <f t="shared" si="82"/>
        <v>0</v>
      </c>
      <c r="S439" s="1427">
        <f t="shared" si="83"/>
        <v>0</v>
      </c>
    </row>
    <row r="440" ht="13" spans="1:19">
      <c r="A440" s="1437"/>
      <c r="B440" s="1432"/>
      <c r="C440" s="1428">
        <f t="shared" si="74"/>
        <v>1</v>
      </c>
      <c r="D440" s="1435"/>
      <c r="E440" s="1428">
        <f t="shared" si="75"/>
        <v>1</v>
      </c>
      <c r="F440" s="1435"/>
      <c r="G440" s="1428">
        <f t="shared" si="76"/>
        <v>1</v>
      </c>
      <c r="H440" s="1435"/>
      <c r="I440" s="1428">
        <f t="shared" si="77"/>
        <v>1</v>
      </c>
      <c r="J440" s="1435"/>
      <c r="K440" s="1428">
        <f t="shared" si="78"/>
        <v>1</v>
      </c>
      <c r="L440" s="1435"/>
      <c r="M440" s="1428">
        <f t="shared" si="79"/>
        <v>1</v>
      </c>
      <c r="N440" s="1435"/>
      <c r="O440" s="1428">
        <f t="shared" si="80"/>
        <v>1</v>
      </c>
      <c r="P440" s="1435"/>
      <c r="Q440" s="1428">
        <f t="shared" si="81"/>
        <v>0</v>
      </c>
      <c r="R440" s="1488">
        <f t="shared" si="82"/>
        <v>0</v>
      </c>
      <c r="S440" s="1427">
        <f t="shared" si="83"/>
        <v>0</v>
      </c>
    </row>
    <row r="441" ht="13" spans="1:19">
      <c r="A441" s="1437"/>
      <c r="B441" s="1432"/>
      <c r="C441" s="1428">
        <f t="shared" si="74"/>
        <v>1</v>
      </c>
      <c r="D441" s="1435"/>
      <c r="E441" s="1428">
        <f t="shared" si="75"/>
        <v>1</v>
      </c>
      <c r="F441" s="1435"/>
      <c r="G441" s="1428">
        <f t="shared" si="76"/>
        <v>1</v>
      </c>
      <c r="H441" s="1435"/>
      <c r="I441" s="1428">
        <f t="shared" si="77"/>
        <v>1</v>
      </c>
      <c r="J441" s="1435"/>
      <c r="K441" s="1428">
        <f t="shared" si="78"/>
        <v>1</v>
      </c>
      <c r="L441" s="1435"/>
      <c r="M441" s="1428">
        <f t="shared" si="79"/>
        <v>1</v>
      </c>
      <c r="N441" s="1435"/>
      <c r="O441" s="1428">
        <f t="shared" si="80"/>
        <v>1</v>
      </c>
      <c r="P441" s="1435"/>
      <c r="Q441" s="1428">
        <f t="shared" si="81"/>
        <v>0</v>
      </c>
      <c r="R441" s="1488">
        <f t="shared" si="82"/>
        <v>0</v>
      </c>
      <c r="S441" s="1427">
        <f t="shared" si="83"/>
        <v>0</v>
      </c>
    </row>
    <row r="442" ht="13" spans="1:19">
      <c r="A442" s="1437"/>
      <c r="B442" s="1432"/>
      <c r="C442" s="1428">
        <f t="shared" si="74"/>
        <v>1</v>
      </c>
      <c r="D442" s="1435"/>
      <c r="E442" s="1428">
        <f t="shared" si="75"/>
        <v>1</v>
      </c>
      <c r="F442" s="1435"/>
      <c r="G442" s="1428">
        <f t="shared" si="76"/>
        <v>1</v>
      </c>
      <c r="H442" s="1435"/>
      <c r="I442" s="1428">
        <f t="shared" si="77"/>
        <v>1</v>
      </c>
      <c r="J442" s="1435"/>
      <c r="K442" s="1428">
        <f t="shared" si="78"/>
        <v>1</v>
      </c>
      <c r="L442" s="1435"/>
      <c r="M442" s="1428">
        <f t="shared" si="79"/>
        <v>1</v>
      </c>
      <c r="N442" s="1435"/>
      <c r="O442" s="1428">
        <f t="shared" si="80"/>
        <v>1</v>
      </c>
      <c r="P442" s="1435"/>
      <c r="Q442" s="1428">
        <f t="shared" si="81"/>
        <v>0</v>
      </c>
      <c r="R442" s="1488">
        <f t="shared" si="82"/>
        <v>0</v>
      </c>
      <c r="S442" s="1427">
        <f t="shared" si="83"/>
        <v>0</v>
      </c>
    </row>
    <row r="443" ht="13" spans="1:19">
      <c r="A443" s="1437"/>
      <c r="B443" s="1432"/>
      <c r="C443" s="1428">
        <f t="shared" si="74"/>
        <v>1</v>
      </c>
      <c r="D443" s="1435"/>
      <c r="E443" s="1428">
        <f t="shared" si="75"/>
        <v>1</v>
      </c>
      <c r="F443" s="1435"/>
      <c r="G443" s="1428">
        <f t="shared" si="76"/>
        <v>1</v>
      </c>
      <c r="H443" s="1435"/>
      <c r="I443" s="1428">
        <f t="shared" si="77"/>
        <v>1</v>
      </c>
      <c r="J443" s="1435"/>
      <c r="K443" s="1428">
        <f t="shared" si="78"/>
        <v>1</v>
      </c>
      <c r="L443" s="1435"/>
      <c r="M443" s="1428">
        <f t="shared" si="79"/>
        <v>1</v>
      </c>
      <c r="N443" s="1435"/>
      <c r="O443" s="1428">
        <f t="shared" si="80"/>
        <v>1</v>
      </c>
      <c r="P443" s="1435"/>
      <c r="Q443" s="1428">
        <f t="shared" si="81"/>
        <v>0</v>
      </c>
      <c r="R443" s="1488">
        <f t="shared" si="82"/>
        <v>0</v>
      </c>
      <c r="S443" s="1427">
        <f t="shared" si="83"/>
        <v>0</v>
      </c>
    </row>
    <row r="444" ht="13" spans="1:19">
      <c r="A444" s="1437"/>
      <c r="B444" s="1432"/>
      <c r="C444" s="1428">
        <f t="shared" si="74"/>
        <v>1</v>
      </c>
      <c r="D444" s="1435"/>
      <c r="E444" s="1428">
        <f t="shared" si="75"/>
        <v>1</v>
      </c>
      <c r="F444" s="1435"/>
      <c r="G444" s="1428">
        <f t="shared" si="76"/>
        <v>1</v>
      </c>
      <c r="H444" s="1435"/>
      <c r="I444" s="1428">
        <f t="shared" si="77"/>
        <v>1</v>
      </c>
      <c r="J444" s="1435"/>
      <c r="K444" s="1428">
        <f t="shared" si="78"/>
        <v>1</v>
      </c>
      <c r="L444" s="1435"/>
      <c r="M444" s="1428">
        <f t="shared" si="79"/>
        <v>1</v>
      </c>
      <c r="N444" s="1435"/>
      <c r="O444" s="1428">
        <f t="shared" si="80"/>
        <v>1</v>
      </c>
      <c r="P444" s="1435"/>
      <c r="Q444" s="1428">
        <f t="shared" si="81"/>
        <v>0</v>
      </c>
      <c r="R444" s="1488">
        <f t="shared" si="82"/>
        <v>0</v>
      </c>
      <c r="S444" s="1427">
        <f t="shared" si="83"/>
        <v>0</v>
      </c>
    </row>
    <row r="445" ht="13" spans="1:19">
      <c r="A445" s="1437"/>
      <c r="B445" s="1432"/>
      <c r="C445" s="1428">
        <f t="shared" si="74"/>
        <v>1</v>
      </c>
      <c r="D445" s="1435"/>
      <c r="E445" s="1428">
        <f t="shared" si="75"/>
        <v>1</v>
      </c>
      <c r="F445" s="1435"/>
      <c r="G445" s="1428">
        <f t="shared" si="76"/>
        <v>1</v>
      </c>
      <c r="H445" s="1435"/>
      <c r="I445" s="1428">
        <f t="shared" si="77"/>
        <v>1</v>
      </c>
      <c r="J445" s="1435"/>
      <c r="K445" s="1428">
        <f t="shared" si="78"/>
        <v>1</v>
      </c>
      <c r="L445" s="1435"/>
      <c r="M445" s="1428">
        <f t="shared" si="79"/>
        <v>1</v>
      </c>
      <c r="N445" s="1435"/>
      <c r="O445" s="1428">
        <f t="shared" si="80"/>
        <v>1</v>
      </c>
      <c r="P445" s="1435"/>
      <c r="Q445" s="1428">
        <f t="shared" si="81"/>
        <v>0</v>
      </c>
      <c r="R445" s="1488">
        <f t="shared" si="82"/>
        <v>0</v>
      </c>
      <c r="S445" s="1427">
        <f t="shared" si="83"/>
        <v>0</v>
      </c>
    </row>
    <row r="446" ht="13" spans="1:19">
      <c r="A446" s="1437"/>
      <c r="B446" s="1432"/>
      <c r="C446" s="1428">
        <f t="shared" si="74"/>
        <v>1</v>
      </c>
      <c r="D446" s="1435"/>
      <c r="E446" s="1428">
        <f t="shared" si="75"/>
        <v>1</v>
      </c>
      <c r="F446" s="1435"/>
      <c r="G446" s="1428">
        <f t="shared" si="76"/>
        <v>1</v>
      </c>
      <c r="H446" s="1435"/>
      <c r="I446" s="1428">
        <f t="shared" si="77"/>
        <v>1</v>
      </c>
      <c r="J446" s="1435"/>
      <c r="K446" s="1428">
        <f t="shared" si="78"/>
        <v>1</v>
      </c>
      <c r="L446" s="1435"/>
      <c r="M446" s="1428">
        <f t="shared" si="79"/>
        <v>1</v>
      </c>
      <c r="N446" s="1435"/>
      <c r="O446" s="1428">
        <f t="shared" si="80"/>
        <v>1</v>
      </c>
      <c r="P446" s="1435"/>
      <c r="Q446" s="1428">
        <f t="shared" si="81"/>
        <v>0</v>
      </c>
      <c r="R446" s="1488">
        <f t="shared" si="82"/>
        <v>0</v>
      </c>
      <c r="S446" s="1427">
        <f t="shared" si="83"/>
        <v>0</v>
      </c>
    </row>
    <row r="447" ht="13" spans="1:19">
      <c r="A447" s="1437"/>
      <c r="B447" s="1432"/>
      <c r="C447" s="1428">
        <f t="shared" si="74"/>
        <v>1</v>
      </c>
      <c r="D447" s="1435"/>
      <c r="E447" s="1428">
        <f t="shared" si="75"/>
        <v>1</v>
      </c>
      <c r="F447" s="1435"/>
      <c r="G447" s="1428">
        <f t="shared" si="76"/>
        <v>1</v>
      </c>
      <c r="H447" s="1435"/>
      <c r="I447" s="1428">
        <f t="shared" si="77"/>
        <v>1</v>
      </c>
      <c r="J447" s="1435"/>
      <c r="K447" s="1428">
        <f t="shared" si="78"/>
        <v>1</v>
      </c>
      <c r="L447" s="1435"/>
      <c r="M447" s="1428">
        <f t="shared" si="79"/>
        <v>1</v>
      </c>
      <c r="N447" s="1435"/>
      <c r="O447" s="1428">
        <f t="shared" si="80"/>
        <v>1</v>
      </c>
      <c r="P447" s="1435"/>
      <c r="Q447" s="1428">
        <f t="shared" si="81"/>
        <v>0</v>
      </c>
      <c r="R447" s="1488">
        <f t="shared" si="82"/>
        <v>0</v>
      </c>
      <c r="S447" s="1427">
        <f t="shared" si="83"/>
        <v>0</v>
      </c>
    </row>
    <row r="448" ht="13" spans="1:19">
      <c r="A448" s="1437"/>
      <c r="B448" s="1432"/>
      <c r="C448" s="1428">
        <f t="shared" si="74"/>
        <v>1</v>
      </c>
      <c r="D448" s="1435"/>
      <c r="E448" s="1428">
        <f t="shared" si="75"/>
        <v>1</v>
      </c>
      <c r="F448" s="1435"/>
      <c r="G448" s="1428">
        <f t="shared" si="76"/>
        <v>1</v>
      </c>
      <c r="H448" s="1435"/>
      <c r="I448" s="1428">
        <f t="shared" si="77"/>
        <v>1</v>
      </c>
      <c r="J448" s="1435"/>
      <c r="K448" s="1428">
        <f t="shared" si="78"/>
        <v>1</v>
      </c>
      <c r="L448" s="1435"/>
      <c r="M448" s="1428">
        <f t="shared" si="79"/>
        <v>1</v>
      </c>
      <c r="N448" s="1435"/>
      <c r="O448" s="1428">
        <f t="shared" si="80"/>
        <v>1</v>
      </c>
      <c r="P448" s="1435"/>
      <c r="Q448" s="1428">
        <f t="shared" si="81"/>
        <v>0</v>
      </c>
      <c r="R448" s="1488">
        <f t="shared" si="82"/>
        <v>0</v>
      </c>
      <c r="S448" s="1427">
        <f t="shared" si="83"/>
        <v>0</v>
      </c>
    </row>
    <row r="449" ht="13" spans="1:19">
      <c r="A449" s="1437"/>
      <c r="B449" s="1432"/>
      <c r="C449" s="1428">
        <f t="shared" si="74"/>
        <v>1</v>
      </c>
      <c r="D449" s="1435"/>
      <c r="E449" s="1428">
        <f t="shared" si="75"/>
        <v>1</v>
      </c>
      <c r="F449" s="1435"/>
      <c r="G449" s="1428">
        <f t="shared" si="76"/>
        <v>1</v>
      </c>
      <c r="H449" s="1435"/>
      <c r="I449" s="1428">
        <f t="shared" si="77"/>
        <v>1</v>
      </c>
      <c r="J449" s="1435"/>
      <c r="K449" s="1428">
        <f t="shared" si="78"/>
        <v>1</v>
      </c>
      <c r="L449" s="1435"/>
      <c r="M449" s="1428">
        <f t="shared" si="79"/>
        <v>1</v>
      </c>
      <c r="N449" s="1435"/>
      <c r="O449" s="1428">
        <f t="shared" si="80"/>
        <v>1</v>
      </c>
      <c r="P449" s="1435"/>
      <c r="Q449" s="1428">
        <f t="shared" si="81"/>
        <v>0</v>
      </c>
      <c r="R449" s="1488">
        <f t="shared" si="82"/>
        <v>0</v>
      </c>
      <c r="S449" s="1427">
        <f t="shared" si="83"/>
        <v>0</v>
      </c>
    </row>
    <row r="450" ht="13" spans="1:19">
      <c r="A450" s="1437"/>
      <c r="B450" s="1432"/>
      <c r="C450" s="1428">
        <f t="shared" si="74"/>
        <v>1</v>
      </c>
      <c r="D450" s="1435"/>
      <c r="E450" s="1428">
        <f t="shared" si="75"/>
        <v>1</v>
      </c>
      <c r="F450" s="1435"/>
      <c r="G450" s="1428">
        <f t="shared" si="76"/>
        <v>1</v>
      </c>
      <c r="H450" s="1435"/>
      <c r="I450" s="1428">
        <f t="shared" si="77"/>
        <v>1</v>
      </c>
      <c r="J450" s="1435"/>
      <c r="K450" s="1428">
        <f t="shared" si="78"/>
        <v>1</v>
      </c>
      <c r="L450" s="1435"/>
      <c r="M450" s="1428">
        <f t="shared" si="79"/>
        <v>1</v>
      </c>
      <c r="N450" s="1435"/>
      <c r="O450" s="1428">
        <f t="shared" si="80"/>
        <v>1</v>
      </c>
      <c r="P450" s="1435"/>
      <c r="Q450" s="1428">
        <f t="shared" si="81"/>
        <v>0</v>
      </c>
      <c r="R450" s="1488">
        <f t="shared" si="82"/>
        <v>0</v>
      </c>
      <c r="S450" s="1427">
        <f t="shared" si="83"/>
        <v>0</v>
      </c>
    </row>
    <row r="451" ht="13" spans="1:19">
      <c r="A451" s="1437"/>
      <c r="B451" s="1432"/>
      <c r="C451" s="1428">
        <f t="shared" si="74"/>
        <v>1</v>
      </c>
      <c r="D451" s="1435"/>
      <c r="E451" s="1428">
        <f t="shared" si="75"/>
        <v>1</v>
      </c>
      <c r="F451" s="1435"/>
      <c r="G451" s="1428">
        <f t="shared" si="76"/>
        <v>1</v>
      </c>
      <c r="H451" s="1435"/>
      <c r="I451" s="1428">
        <f t="shared" si="77"/>
        <v>1</v>
      </c>
      <c r="J451" s="1435"/>
      <c r="K451" s="1428">
        <f t="shared" si="78"/>
        <v>1</v>
      </c>
      <c r="L451" s="1435"/>
      <c r="M451" s="1428">
        <f t="shared" si="79"/>
        <v>1</v>
      </c>
      <c r="N451" s="1435"/>
      <c r="O451" s="1428">
        <f t="shared" si="80"/>
        <v>1</v>
      </c>
      <c r="P451" s="1435"/>
      <c r="Q451" s="1428">
        <f t="shared" si="81"/>
        <v>0</v>
      </c>
      <c r="R451" s="1488">
        <f t="shared" si="82"/>
        <v>0</v>
      </c>
      <c r="S451" s="1427">
        <f t="shared" si="83"/>
        <v>0</v>
      </c>
    </row>
    <row r="452" ht="13" spans="1:19">
      <c r="A452" s="1437"/>
      <c r="B452" s="1432"/>
      <c r="C452" s="1428">
        <f t="shared" si="74"/>
        <v>1</v>
      </c>
      <c r="D452" s="1435"/>
      <c r="E452" s="1428">
        <f t="shared" si="75"/>
        <v>1</v>
      </c>
      <c r="F452" s="1435"/>
      <c r="G452" s="1428">
        <f t="shared" si="76"/>
        <v>1</v>
      </c>
      <c r="H452" s="1435"/>
      <c r="I452" s="1428">
        <f t="shared" si="77"/>
        <v>1</v>
      </c>
      <c r="J452" s="1435"/>
      <c r="K452" s="1428">
        <f t="shared" si="78"/>
        <v>1</v>
      </c>
      <c r="L452" s="1435"/>
      <c r="M452" s="1428">
        <f t="shared" si="79"/>
        <v>1</v>
      </c>
      <c r="N452" s="1435"/>
      <c r="O452" s="1428">
        <f t="shared" si="80"/>
        <v>1</v>
      </c>
      <c r="P452" s="1435"/>
      <c r="Q452" s="1428">
        <f t="shared" si="81"/>
        <v>0</v>
      </c>
      <c r="R452" s="1488">
        <f t="shared" si="82"/>
        <v>0</v>
      </c>
      <c r="S452" s="1427">
        <f t="shared" si="83"/>
        <v>0</v>
      </c>
    </row>
    <row r="453" ht="13" spans="1:19">
      <c r="A453" s="1437"/>
      <c r="B453" s="1432"/>
      <c r="C453" s="1428">
        <f t="shared" si="74"/>
        <v>1</v>
      </c>
      <c r="D453" s="1435"/>
      <c r="E453" s="1428">
        <f t="shared" si="75"/>
        <v>1</v>
      </c>
      <c r="F453" s="1435"/>
      <c r="G453" s="1428">
        <f t="shared" si="76"/>
        <v>1</v>
      </c>
      <c r="H453" s="1435"/>
      <c r="I453" s="1428">
        <f t="shared" si="77"/>
        <v>1</v>
      </c>
      <c r="J453" s="1435"/>
      <c r="K453" s="1428">
        <f t="shared" si="78"/>
        <v>1</v>
      </c>
      <c r="L453" s="1435"/>
      <c r="M453" s="1428">
        <f t="shared" si="79"/>
        <v>1</v>
      </c>
      <c r="N453" s="1435"/>
      <c r="O453" s="1428">
        <f t="shared" si="80"/>
        <v>1</v>
      </c>
      <c r="P453" s="1435"/>
      <c r="Q453" s="1428">
        <f t="shared" si="81"/>
        <v>0</v>
      </c>
      <c r="R453" s="1488">
        <f t="shared" si="82"/>
        <v>0</v>
      </c>
      <c r="S453" s="1427">
        <f t="shared" si="83"/>
        <v>0</v>
      </c>
    </row>
    <row r="454" ht="13" spans="1:19">
      <c r="A454" s="1437"/>
      <c r="B454" s="1432"/>
      <c r="C454" s="1428">
        <f t="shared" si="74"/>
        <v>1</v>
      </c>
      <c r="D454" s="1435"/>
      <c r="E454" s="1428">
        <f t="shared" si="75"/>
        <v>1</v>
      </c>
      <c r="F454" s="1435"/>
      <c r="G454" s="1428">
        <f t="shared" si="76"/>
        <v>1</v>
      </c>
      <c r="H454" s="1435"/>
      <c r="I454" s="1428">
        <f t="shared" si="77"/>
        <v>1</v>
      </c>
      <c r="J454" s="1435"/>
      <c r="K454" s="1428">
        <f t="shared" si="78"/>
        <v>1</v>
      </c>
      <c r="L454" s="1435"/>
      <c r="M454" s="1428">
        <f t="shared" si="79"/>
        <v>1</v>
      </c>
      <c r="N454" s="1435"/>
      <c r="O454" s="1428">
        <f t="shared" si="80"/>
        <v>1</v>
      </c>
      <c r="P454" s="1435"/>
      <c r="Q454" s="1428">
        <f t="shared" si="81"/>
        <v>0</v>
      </c>
      <c r="R454" s="1488">
        <f t="shared" si="82"/>
        <v>0</v>
      </c>
      <c r="S454" s="1427">
        <f t="shared" si="83"/>
        <v>0</v>
      </c>
    </row>
    <row r="455" ht="13" spans="1:19">
      <c r="A455" s="1437"/>
      <c r="B455" s="1432"/>
      <c r="C455" s="1428">
        <f t="shared" si="74"/>
        <v>1</v>
      </c>
      <c r="D455" s="1435"/>
      <c r="E455" s="1428">
        <f t="shared" si="75"/>
        <v>1</v>
      </c>
      <c r="F455" s="1435"/>
      <c r="G455" s="1428">
        <f t="shared" si="76"/>
        <v>1</v>
      </c>
      <c r="H455" s="1435"/>
      <c r="I455" s="1428">
        <f t="shared" si="77"/>
        <v>1</v>
      </c>
      <c r="J455" s="1435"/>
      <c r="K455" s="1428">
        <f t="shared" si="78"/>
        <v>1</v>
      </c>
      <c r="L455" s="1435"/>
      <c r="M455" s="1428">
        <f t="shared" si="79"/>
        <v>1</v>
      </c>
      <c r="N455" s="1435"/>
      <c r="O455" s="1428">
        <f t="shared" si="80"/>
        <v>1</v>
      </c>
      <c r="P455" s="1435"/>
      <c r="Q455" s="1428">
        <f t="shared" si="81"/>
        <v>0</v>
      </c>
      <c r="R455" s="1488">
        <f t="shared" si="82"/>
        <v>0</v>
      </c>
      <c r="S455" s="1427">
        <f t="shared" si="83"/>
        <v>0</v>
      </c>
    </row>
    <row r="456" ht="13" spans="1:19">
      <c r="A456" s="1437"/>
      <c r="B456" s="1432"/>
      <c r="C456" s="1428">
        <f t="shared" si="74"/>
        <v>1</v>
      </c>
      <c r="D456" s="1435"/>
      <c r="E456" s="1428">
        <f t="shared" si="75"/>
        <v>1</v>
      </c>
      <c r="F456" s="1435"/>
      <c r="G456" s="1428">
        <f t="shared" si="76"/>
        <v>1</v>
      </c>
      <c r="H456" s="1435"/>
      <c r="I456" s="1428">
        <f t="shared" si="77"/>
        <v>1</v>
      </c>
      <c r="J456" s="1435"/>
      <c r="K456" s="1428">
        <f t="shared" si="78"/>
        <v>1</v>
      </c>
      <c r="L456" s="1435"/>
      <c r="M456" s="1428">
        <f t="shared" si="79"/>
        <v>1</v>
      </c>
      <c r="N456" s="1435"/>
      <c r="O456" s="1428">
        <f t="shared" si="80"/>
        <v>1</v>
      </c>
      <c r="P456" s="1435"/>
      <c r="Q456" s="1428">
        <f t="shared" si="81"/>
        <v>0</v>
      </c>
      <c r="R456" s="1488">
        <f t="shared" si="82"/>
        <v>0</v>
      </c>
      <c r="S456" s="1427">
        <f t="shared" si="83"/>
        <v>0</v>
      </c>
    </row>
    <row r="457" ht="13" spans="1:19">
      <c r="A457" s="1437"/>
      <c r="B457" s="1432"/>
      <c r="C457" s="1428">
        <f t="shared" si="74"/>
        <v>1</v>
      </c>
      <c r="D457" s="1435"/>
      <c r="E457" s="1428">
        <f t="shared" si="75"/>
        <v>1</v>
      </c>
      <c r="F457" s="1435"/>
      <c r="G457" s="1428">
        <f t="shared" si="76"/>
        <v>1</v>
      </c>
      <c r="H457" s="1435"/>
      <c r="I457" s="1428">
        <f t="shared" si="77"/>
        <v>1</v>
      </c>
      <c r="J457" s="1435"/>
      <c r="K457" s="1428">
        <f t="shared" si="78"/>
        <v>1</v>
      </c>
      <c r="L457" s="1435"/>
      <c r="M457" s="1428">
        <f t="shared" si="79"/>
        <v>1</v>
      </c>
      <c r="N457" s="1435"/>
      <c r="O457" s="1428">
        <f t="shared" si="80"/>
        <v>1</v>
      </c>
      <c r="P457" s="1435"/>
      <c r="Q457" s="1428">
        <f t="shared" si="81"/>
        <v>0</v>
      </c>
      <c r="R457" s="1488">
        <f t="shared" si="82"/>
        <v>0</v>
      </c>
      <c r="S457" s="1427">
        <f t="shared" si="83"/>
        <v>0</v>
      </c>
    </row>
    <row r="458" ht="13" spans="1:19">
      <c r="A458" s="1437"/>
      <c r="B458" s="1432"/>
      <c r="C458" s="1428">
        <f t="shared" si="74"/>
        <v>1</v>
      </c>
      <c r="D458" s="1435"/>
      <c r="E458" s="1428">
        <f t="shared" si="75"/>
        <v>1</v>
      </c>
      <c r="F458" s="1435"/>
      <c r="G458" s="1428">
        <f t="shared" si="76"/>
        <v>1</v>
      </c>
      <c r="H458" s="1435"/>
      <c r="I458" s="1428">
        <f t="shared" si="77"/>
        <v>1</v>
      </c>
      <c r="J458" s="1435"/>
      <c r="K458" s="1428">
        <f t="shared" si="78"/>
        <v>1</v>
      </c>
      <c r="L458" s="1435"/>
      <c r="M458" s="1428">
        <f t="shared" si="79"/>
        <v>1</v>
      </c>
      <c r="N458" s="1435"/>
      <c r="O458" s="1428">
        <f t="shared" si="80"/>
        <v>1</v>
      </c>
      <c r="P458" s="1435"/>
      <c r="Q458" s="1428">
        <f t="shared" si="81"/>
        <v>0</v>
      </c>
      <c r="R458" s="1488">
        <f t="shared" si="82"/>
        <v>0</v>
      </c>
      <c r="S458" s="1427">
        <f t="shared" si="83"/>
        <v>0</v>
      </c>
    </row>
    <row r="459" ht="13" spans="1:19">
      <c r="A459" s="1437"/>
      <c r="B459" s="1432"/>
      <c r="C459" s="1428">
        <f t="shared" si="74"/>
        <v>1</v>
      </c>
      <c r="D459" s="1435"/>
      <c r="E459" s="1428">
        <f t="shared" si="75"/>
        <v>1</v>
      </c>
      <c r="F459" s="1435"/>
      <c r="G459" s="1428">
        <f t="shared" si="76"/>
        <v>1</v>
      </c>
      <c r="H459" s="1435"/>
      <c r="I459" s="1428">
        <f t="shared" si="77"/>
        <v>1</v>
      </c>
      <c r="J459" s="1435"/>
      <c r="K459" s="1428">
        <f t="shared" si="78"/>
        <v>1</v>
      </c>
      <c r="L459" s="1435"/>
      <c r="M459" s="1428">
        <f t="shared" si="79"/>
        <v>1</v>
      </c>
      <c r="N459" s="1435"/>
      <c r="O459" s="1428">
        <f t="shared" si="80"/>
        <v>1</v>
      </c>
      <c r="P459" s="1435"/>
      <c r="Q459" s="1428">
        <f t="shared" si="81"/>
        <v>0</v>
      </c>
      <c r="R459" s="1488">
        <f t="shared" si="82"/>
        <v>0</v>
      </c>
      <c r="S459" s="1427">
        <f t="shared" si="83"/>
        <v>0</v>
      </c>
    </row>
    <row r="460" ht="13" spans="1:19">
      <c r="A460" s="1437"/>
      <c r="B460" s="1432"/>
      <c r="C460" s="1428">
        <f t="shared" si="74"/>
        <v>1</v>
      </c>
      <c r="D460" s="1435"/>
      <c r="E460" s="1428">
        <f t="shared" si="75"/>
        <v>1</v>
      </c>
      <c r="F460" s="1435"/>
      <c r="G460" s="1428">
        <f t="shared" si="76"/>
        <v>1</v>
      </c>
      <c r="H460" s="1435"/>
      <c r="I460" s="1428">
        <f t="shared" si="77"/>
        <v>1</v>
      </c>
      <c r="J460" s="1435"/>
      <c r="K460" s="1428">
        <f t="shared" si="78"/>
        <v>1</v>
      </c>
      <c r="L460" s="1435"/>
      <c r="M460" s="1428">
        <f t="shared" si="79"/>
        <v>1</v>
      </c>
      <c r="N460" s="1435"/>
      <c r="O460" s="1428">
        <f t="shared" si="80"/>
        <v>1</v>
      </c>
      <c r="P460" s="1435"/>
      <c r="Q460" s="1428">
        <f t="shared" si="81"/>
        <v>0</v>
      </c>
      <c r="R460" s="1488">
        <f t="shared" si="82"/>
        <v>0</v>
      </c>
      <c r="S460" s="1427">
        <f t="shared" si="83"/>
        <v>0</v>
      </c>
    </row>
    <row r="461" ht="13" spans="1:19">
      <c r="A461" s="1437"/>
      <c r="B461" s="1432"/>
      <c r="C461" s="1428">
        <f t="shared" si="74"/>
        <v>1</v>
      </c>
      <c r="D461" s="1435"/>
      <c r="E461" s="1428">
        <f t="shared" si="75"/>
        <v>1</v>
      </c>
      <c r="F461" s="1435"/>
      <c r="G461" s="1428">
        <f t="shared" si="76"/>
        <v>1</v>
      </c>
      <c r="H461" s="1435"/>
      <c r="I461" s="1428">
        <f t="shared" si="77"/>
        <v>1</v>
      </c>
      <c r="J461" s="1435"/>
      <c r="K461" s="1428">
        <f t="shared" si="78"/>
        <v>1</v>
      </c>
      <c r="L461" s="1435"/>
      <c r="M461" s="1428">
        <f t="shared" si="79"/>
        <v>1</v>
      </c>
      <c r="N461" s="1435"/>
      <c r="O461" s="1428">
        <f t="shared" si="80"/>
        <v>1</v>
      </c>
      <c r="P461" s="1435"/>
      <c r="Q461" s="1428">
        <f t="shared" si="81"/>
        <v>0</v>
      </c>
      <c r="R461" s="1488">
        <f t="shared" si="82"/>
        <v>0</v>
      </c>
      <c r="S461" s="1427">
        <f t="shared" si="83"/>
        <v>0</v>
      </c>
    </row>
    <row r="462" ht="13" spans="1:19">
      <c r="A462" s="1437"/>
      <c r="B462" s="1432"/>
      <c r="C462" s="1428">
        <f t="shared" si="74"/>
        <v>1</v>
      </c>
      <c r="D462" s="1435"/>
      <c r="E462" s="1428">
        <f t="shared" si="75"/>
        <v>1</v>
      </c>
      <c r="F462" s="1435"/>
      <c r="G462" s="1428">
        <f t="shared" si="76"/>
        <v>1</v>
      </c>
      <c r="H462" s="1435"/>
      <c r="I462" s="1428">
        <f t="shared" si="77"/>
        <v>1</v>
      </c>
      <c r="J462" s="1435"/>
      <c r="K462" s="1428">
        <f t="shared" si="78"/>
        <v>1</v>
      </c>
      <c r="L462" s="1435"/>
      <c r="M462" s="1428">
        <f t="shared" si="79"/>
        <v>1</v>
      </c>
      <c r="N462" s="1435"/>
      <c r="O462" s="1428">
        <f t="shared" si="80"/>
        <v>1</v>
      </c>
      <c r="P462" s="1435"/>
      <c r="Q462" s="1428">
        <f t="shared" si="81"/>
        <v>0</v>
      </c>
      <c r="R462" s="1488">
        <f t="shared" si="82"/>
        <v>0</v>
      </c>
      <c r="S462" s="1427">
        <f t="shared" si="83"/>
        <v>0</v>
      </c>
    </row>
    <row r="463" ht="13" spans="1:19">
      <c r="A463" s="1437"/>
      <c r="B463" s="1432"/>
      <c r="C463" s="1428">
        <f t="shared" si="74"/>
        <v>1</v>
      </c>
      <c r="D463" s="1435"/>
      <c r="E463" s="1428">
        <f t="shared" si="75"/>
        <v>1</v>
      </c>
      <c r="F463" s="1435"/>
      <c r="G463" s="1428">
        <f t="shared" si="76"/>
        <v>1</v>
      </c>
      <c r="H463" s="1435"/>
      <c r="I463" s="1428">
        <f t="shared" si="77"/>
        <v>1</v>
      </c>
      <c r="J463" s="1435"/>
      <c r="K463" s="1428">
        <f t="shared" si="78"/>
        <v>1</v>
      </c>
      <c r="L463" s="1435"/>
      <c r="M463" s="1428">
        <f t="shared" si="79"/>
        <v>1</v>
      </c>
      <c r="N463" s="1435"/>
      <c r="O463" s="1428">
        <f t="shared" si="80"/>
        <v>1</v>
      </c>
      <c r="P463" s="1435"/>
      <c r="Q463" s="1428">
        <f t="shared" si="81"/>
        <v>0</v>
      </c>
      <c r="R463" s="1488">
        <f t="shared" si="82"/>
        <v>0</v>
      </c>
      <c r="S463" s="1427">
        <f t="shared" si="83"/>
        <v>0</v>
      </c>
    </row>
    <row r="464" ht="13" spans="1:19">
      <c r="A464" s="1437"/>
      <c r="B464" s="1432"/>
      <c r="C464" s="1428">
        <f t="shared" si="74"/>
        <v>1</v>
      </c>
      <c r="D464" s="1435"/>
      <c r="E464" s="1428">
        <f t="shared" si="75"/>
        <v>1</v>
      </c>
      <c r="F464" s="1435"/>
      <c r="G464" s="1428">
        <f t="shared" si="76"/>
        <v>1</v>
      </c>
      <c r="H464" s="1435"/>
      <c r="I464" s="1428">
        <f t="shared" si="77"/>
        <v>1</v>
      </c>
      <c r="J464" s="1435"/>
      <c r="K464" s="1428">
        <f t="shared" si="78"/>
        <v>1</v>
      </c>
      <c r="L464" s="1435"/>
      <c r="M464" s="1428">
        <f t="shared" si="79"/>
        <v>1</v>
      </c>
      <c r="N464" s="1435"/>
      <c r="O464" s="1428">
        <f t="shared" si="80"/>
        <v>1</v>
      </c>
      <c r="P464" s="1435"/>
      <c r="Q464" s="1428">
        <f t="shared" si="81"/>
        <v>0</v>
      </c>
      <c r="R464" s="1488">
        <f t="shared" si="82"/>
        <v>0</v>
      </c>
      <c r="S464" s="1427">
        <f t="shared" si="83"/>
        <v>0</v>
      </c>
    </row>
    <row r="465" ht="13" spans="1:19">
      <c r="A465" s="1437"/>
      <c r="B465" s="1432"/>
      <c r="C465" s="1428">
        <f t="shared" si="74"/>
        <v>1</v>
      </c>
      <c r="D465" s="1435"/>
      <c r="E465" s="1428">
        <f t="shared" si="75"/>
        <v>1</v>
      </c>
      <c r="F465" s="1435"/>
      <c r="G465" s="1428">
        <f t="shared" si="76"/>
        <v>1</v>
      </c>
      <c r="H465" s="1435"/>
      <c r="I465" s="1428">
        <f t="shared" si="77"/>
        <v>1</v>
      </c>
      <c r="J465" s="1435"/>
      <c r="K465" s="1428">
        <f t="shared" si="78"/>
        <v>1</v>
      </c>
      <c r="L465" s="1435"/>
      <c r="M465" s="1428">
        <f t="shared" si="79"/>
        <v>1</v>
      </c>
      <c r="N465" s="1435"/>
      <c r="O465" s="1428">
        <f t="shared" si="80"/>
        <v>1</v>
      </c>
      <c r="P465" s="1435"/>
      <c r="Q465" s="1428">
        <f t="shared" si="81"/>
        <v>0</v>
      </c>
      <c r="R465" s="1488">
        <f t="shared" si="82"/>
        <v>0</v>
      </c>
      <c r="S465" s="1427">
        <f t="shared" si="83"/>
        <v>0</v>
      </c>
    </row>
    <row r="466" ht="13" spans="1:19">
      <c r="A466" s="1437"/>
      <c r="B466" s="1432"/>
      <c r="C466" s="1428">
        <f t="shared" si="74"/>
        <v>1</v>
      </c>
      <c r="D466" s="1435"/>
      <c r="E466" s="1428">
        <f t="shared" si="75"/>
        <v>1</v>
      </c>
      <c r="F466" s="1435"/>
      <c r="G466" s="1428">
        <f t="shared" si="76"/>
        <v>1</v>
      </c>
      <c r="H466" s="1435"/>
      <c r="I466" s="1428">
        <f t="shared" si="77"/>
        <v>1</v>
      </c>
      <c r="J466" s="1435"/>
      <c r="K466" s="1428">
        <f t="shared" si="78"/>
        <v>1</v>
      </c>
      <c r="L466" s="1435"/>
      <c r="M466" s="1428">
        <f t="shared" si="79"/>
        <v>1</v>
      </c>
      <c r="N466" s="1435"/>
      <c r="O466" s="1428">
        <f t="shared" si="80"/>
        <v>1</v>
      </c>
      <c r="P466" s="1435"/>
      <c r="Q466" s="1428">
        <f t="shared" si="81"/>
        <v>0</v>
      </c>
      <c r="R466" s="1488">
        <f t="shared" si="82"/>
        <v>0</v>
      </c>
      <c r="S466" s="1427">
        <f t="shared" si="83"/>
        <v>0</v>
      </c>
    </row>
    <row r="467" ht="13" spans="1:19">
      <c r="A467" s="1437"/>
      <c r="B467" s="1432"/>
      <c r="C467" s="1428">
        <f t="shared" si="74"/>
        <v>1</v>
      </c>
      <c r="D467" s="1435"/>
      <c r="E467" s="1428">
        <f t="shared" si="75"/>
        <v>1</v>
      </c>
      <c r="F467" s="1435"/>
      <c r="G467" s="1428">
        <f t="shared" si="76"/>
        <v>1</v>
      </c>
      <c r="H467" s="1435"/>
      <c r="I467" s="1428">
        <f t="shared" si="77"/>
        <v>1</v>
      </c>
      <c r="J467" s="1435"/>
      <c r="K467" s="1428">
        <f t="shared" si="78"/>
        <v>1</v>
      </c>
      <c r="L467" s="1435"/>
      <c r="M467" s="1428">
        <f t="shared" si="79"/>
        <v>1</v>
      </c>
      <c r="N467" s="1435"/>
      <c r="O467" s="1428">
        <f t="shared" si="80"/>
        <v>1</v>
      </c>
      <c r="P467" s="1435"/>
      <c r="Q467" s="1428">
        <f t="shared" si="81"/>
        <v>0</v>
      </c>
      <c r="R467" s="1488">
        <f t="shared" si="82"/>
        <v>0</v>
      </c>
      <c r="S467" s="1427">
        <f t="shared" si="83"/>
        <v>0</v>
      </c>
    </row>
    <row r="468" ht="13" spans="1:19">
      <c r="A468" s="1437"/>
      <c r="B468" s="1432"/>
      <c r="C468" s="1428">
        <f t="shared" si="74"/>
        <v>1</v>
      </c>
      <c r="D468" s="1435"/>
      <c r="E468" s="1428">
        <f t="shared" si="75"/>
        <v>1</v>
      </c>
      <c r="F468" s="1435"/>
      <c r="G468" s="1428">
        <f t="shared" si="76"/>
        <v>1</v>
      </c>
      <c r="H468" s="1435"/>
      <c r="I468" s="1428">
        <f t="shared" si="77"/>
        <v>1</v>
      </c>
      <c r="J468" s="1435"/>
      <c r="K468" s="1428">
        <f t="shared" si="78"/>
        <v>1</v>
      </c>
      <c r="L468" s="1435"/>
      <c r="M468" s="1428">
        <f t="shared" si="79"/>
        <v>1</v>
      </c>
      <c r="N468" s="1435"/>
      <c r="O468" s="1428">
        <f t="shared" si="80"/>
        <v>1</v>
      </c>
      <c r="P468" s="1435"/>
      <c r="Q468" s="1428">
        <f t="shared" si="81"/>
        <v>0</v>
      </c>
      <c r="R468" s="1488">
        <f t="shared" si="82"/>
        <v>0</v>
      </c>
      <c r="S468" s="1427">
        <f t="shared" ref="S468:S497" si="84">ROUND(R468*B468/10000,0)</f>
        <v>0</v>
      </c>
    </row>
    <row r="469" ht="13" spans="1:19">
      <c r="A469" s="1437"/>
      <c r="B469" s="1432"/>
      <c r="C469" s="1428">
        <f t="shared" si="74"/>
        <v>1</v>
      </c>
      <c r="D469" s="1435"/>
      <c r="E469" s="1428">
        <f t="shared" si="75"/>
        <v>1</v>
      </c>
      <c r="F469" s="1435"/>
      <c r="G469" s="1428">
        <f t="shared" si="76"/>
        <v>1</v>
      </c>
      <c r="H469" s="1435"/>
      <c r="I469" s="1428">
        <f t="shared" si="77"/>
        <v>1</v>
      </c>
      <c r="J469" s="1435"/>
      <c r="K469" s="1428">
        <f t="shared" si="78"/>
        <v>1</v>
      </c>
      <c r="L469" s="1435"/>
      <c r="M469" s="1428">
        <f t="shared" si="79"/>
        <v>1</v>
      </c>
      <c r="N469" s="1435"/>
      <c r="O469" s="1428">
        <f t="shared" si="80"/>
        <v>1</v>
      </c>
      <c r="P469" s="1435"/>
      <c r="Q469" s="1428">
        <f t="shared" si="81"/>
        <v>0</v>
      </c>
      <c r="R469" s="1488">
        <f t="shared" si="82"/>
        <v>0</v>
      </c>
      <c r="S469" s="1427">
        <f t="shared" si="84"/>
        <v>0</v>
      </c>
    </row>
    <row r="470" ht="13" spans="1:19">
      <c r="A470" s="1437"/>
      <c r="B470" s="1432"/>
      <c r="C470" s="1428">
        <f t="shared" si="74"/>
        <v>1</v>
      </c>
      <c r="D470" s="1435"/>
      <c r="E470" s="1428">
        <f t="shared" si="75"/>
        <v>1</v>
      </c>
      <c r="F470" s="1435"/>
      <c r="G470" s="1428">
        <f t="shared" si="76"/>
        <v>1</v>
      </c>
      <c r="H470" s="1435"/>
      <c r="I470" s="1428">
        <f t="shared" si="77"/>
        <v>1</v>
      </c>
      <c r="J470" s="1435"/>
      <c r="K470" s="1428">
        <f t="shared" si="78"/>
        <v>1</v>
      </c>
      <c r="L470" s="1435"/>
      <c r="M470" s="1428">
        <f t="shared" si="79"/>
        <v>1</v>
      </c>
      <c r="N470" s="1435"/>
      <c r="O470" s="1428">
        <f t="shared" si="80"/>
        <v>1</v>
      </c>
      <c r="P470" s="1435"/>
      <c r="Q470" s="1428">
        <f t="shared" si="81"/>
        <v>0</v>
      </c>
      <c r="R470" s="1488">
        <f t="shared" si="82"/>
        <v>0</v>
      </c>
      <c r="S470" s="1427">
        <f t="shared" si="84"/>
        <v>0</v>
      </c>
    </row>
    <row r="471" ht="13" spans="1:19">
      <c r="A471" s="1437"/>
      <c r="B471" s="1432"/>
      <c r="C471" s="1428">
        <f t="shared" si="74"/>
        <v>1</v>
      </c>
      <c r="D471" s="1435"/>
      <c r="E471" s="1428">
        <f t="shared" si="75"/>
        <v>1</v>
      </c>
      <c r="F471" s="1435"/>
      <c r="G471" s="1428">
        <f t="shared" si="76"/>
        <v>1</v>
      </c>
      <c r="H471" s="1435"/>
      <c r="I471" s="1428">
        <f t="shared" si="77"/>
        <v>1</v>
      </c>
      <c r="J471" s="1435"/>
      <c r="K471" s="1428">
        <f t="shared" si="78"/>
        <v>1</v>
      </c>
      <c r="L471" s="1435"/>
      <c r="M471" s="1428">
        <f t="shared" si="79"/>
        <v>1</v>
      </c>
      <c r="N471" s="1435"/>
      <c r="O471" s="1428">
        <f t="shared" si="80"/>
        <v>1</v>
      </c>
      <c r="P471" s="1435"/>
      <c r="Q471" s="1428">
        <f t="shared" si="81"/>
        <v>0</v>
      </c>
      <c r="R471" s="1488">
        <f t="shared" si="82"/>
        <v>0</v>
      </c>
      <c r="S471" s="1427">
        <f t="shared" si="84"/>
        <v>0</v>
      </c>
    </row>
    <row r="472" ht="13" spans="1:19">
      <c r="A472" s="1437"/>
      <c r="B472" s="1432"/>
      <c r="C472" s="1428">
        <f t="shared" si="74"/>
        <v>1</v>
      </c>
      <c r="D472" s="1435"/>
      <c r="E472" s="1428">
        <f t="shared" si="75"/>
        <v>1</v>
      </c>
      <c r="F472" s="1435"/>
      <c r="G472" s="1428">
        <f t="shared" si="76"/>
        <v>1</v>
      </c>
      <c r="H472" s="1435"/>
      <c r="I472" s="1428">
        <f t="shared" si="77"/>
        <v>1</v>
      </c>
      <c r="J472" s="1435"/>
      <c r="K472" s="1428">
        <f t="shared" si="78"/>
        <v>1</v>
      </c>
      <c r="L472" s="1435"/>
      <c r="M472" s="1428">
        <f t="shared" si="79"/>
        <v>1</v>
      </c>
      <c r="N472" s="1435"/>
      <c r="O472" s="1428">
        <f t="shared" si="80"/>
        <v>1</v>
      </c>
      <c r="P472" s="1435"/>
      <c r="Q472" s="1428">
        <f t="shared" si="81"/>
        <v>0</v>
      </c>
      <c r="R472" s="1488">
        <f t="shared" si="82"/>
        <v>0</v>
      </c>
      <c r="S472" s="1427">
        <f t="shared" si="84"/>
        <v>0</v>
      </c>
    </row>
    <row r="473" ht="13" spans="1:19">
      <c r="A473" s="1437"/>
      <c r="B473" s="1432"/>
      <c r="C473" s="1428">
        <f t="shared" si="74"/>
        <v>1</v>
      </c>
      <c r="D473" s="1435"/>
      <c r="E473" s="1428">
        <f t="shared" si="75"/>
        <v>1</v>
      </c>
      <c r="F473" s="1435"/>
      <c r="G473" s="1428">
        <f t="shared" si="76"/>
        <v>1</v>
      </c>
      <c r="H473" s="1435"/>
      <c r="I473" s="1428">
        <f t="shared" si="77"/>
        <v>1</v>
      </c>
      <c r="J473" s="1435"/>
      <c r="K473" s="1428">
        <f t="shared" si="78"/>
        <v>1</v>
      </c>
      <c r="L473" s="1435"/>
      <c r="M473" s="1428">
        <f t="shared" si="79"/>
        <v>1</v>
      </c>
      <c r="N473" s="1435"/>
      <c r="O473" s="1428">
        <f t="shared" si="80"/>
        <v>1</v>
      </c>
      <c r="P473" s="1435"/>
      <c r="Q473" s="1428">
        <f t="shared" si="81"/>
        <v>0</v>
      </c>
      <c r="R473" s="1488">
        <f t="shared" si="82"/>
        <v>0</v>
      </c>
      <c r="S473" s="1427">
        <f t="shared" si="84"/>
        <v>0</v>
      </c>
    </row>
    <row r="474" ht="13" spans="1:19">
      <c r="A474" s="1437"/>
      <c r="B474" s="1432"/>
      <c r="C474" s="1428">
        <f t="shared" ref="C474:C524" si="85">IF(B474="",1,(LOOKUP(B474,$3:$3,$4:$4)-LOOKUP($B$24,$3:$3,$4:$4)+100)/100)</f>
        <v>1</v>
      </c>
      <c r="D474" s="1435"/>
      <c r="E474" s="1428">
        <f t="shared" ref="E474:E524" si="86">(SUMIF($5:$5,D474,$6:$6)-SUMIF($5:$5,$D$24,$6:$6)+100)/100</f>
        <v>1</v>
      </c>
      <c r="F474" s="1435"/>
      <c r="G474" s="1428">
        <f t="shared" ref="G474:G524" si="87">(SUMIF($7:$7,F474,$8:$8)-SUMIF($7:$7,$F$24,$8:$8)+100)/100</f>
        <v>1</v>
      </c>
      <c r="H474" s="1435"/>
      <c r="I474" s="1428">
        <f t="shared" ref="I474:I524" si="88">(SUMIF($9:$9,H474,$10:$10)-SUMIF($9:$9,$H$24,$10:$10)+100)/100</f>
        <v>1</v>
      </c>
      <c r="J474" s="1435"/>
      <c r="K474" s="1428">
        <f t="shared" ref="K474:K524" si="89">(SUMIF($11:$11,J474,$12:$12)-SUMIF($11:$11,$J$24,$12:$12)+100)/100</f>
        <v>1</v>
      </c>
      <c r="L474" s="1435"/>
      <c r="M474" s="1428">
        <f t="shared" ref="M474:M524" si="90">(SUMIF($13:$13,L474,$14:$14)-SUMIF($13:$13,$L$24,$14:$14)+100)/100</f>
        <v>1</v>
      </c>
      <c r="N474" s="1435"/>
      <c r="O474" s="1428">
        <f t="shared" ref="O474:O524" si="91">(SUMIF($15:$15,N474,$16:$16)-SUMIF($15:$15,$N$24,$16:$16)+100)/100</f>
        <v>1</v>
      </c>
      <c r="P474" s="1435"/>
      <c r="Q474" s="1428">
        <f t="shared" ref="Q474:Q524" si="92">(SUMIF($17:$17,P474,$18:$18)-SUMIF($17:$17,$P$24,$18:$18)+100)/100</f>
        <v>0</v>
      </c>
      <c r="R474" s="1488">
        <f t="shared" ref="R474:R524" si="93">IF(B474="",0,ROUND($R$24*C474*E474*G474*I474*K474*M474*O474*Q474,0))</f>
        <v>0</v>
      </c>
      <c r="S474" s="1427">
        <f t="shared" si="84"/>
        <v>0</v>
      </c>
    </row>
    <row r="475" ht="13" spans="1:19">
      <c r="A475" s="1437"/>
      <c r="B475" s="1432"/>
      <c r="C475" s="1428">
        <f t="shared" si="85"/>
        <v>1</v>
      </c>
      <c r="D475" s="1435"/>
      <c r="E475" s="1428">
        <f t="shared" si="86"/>
        <v>1</v>
      </c>
      <c r="F475" s="1435"/>
      <c r="G475" s="1428">
        <f t="shared" si="87"/>
        <v>1</v>
      </c>
      <c r="H475" s="1435"/>
      <c r="I475" s="1428">
        <f t="shared" si="88"/>
        <v>1</v>
      </c>
      <c r="J475" s="1435"/>
      <c r="K475" s="1428">
        <f t="shared" si="89"/>
        <v>1</v>
      </c>
      <c r="L475" s="1435"/>
      <c r="M475" s="1428">
        <f t="shared" si="90"/>
        <v>1</v>
      </c>
      <c r="N475" s="1435"/>
      <c r="O475" s="1428">
        <f t="shared" si="91"/>
        <v>1</v>
      </c>
      <c r="P475" s="1435"/>
      <c r="Q475" s="1428">
        <f t="shared" si="92"/>
        <v>0</v>
      </c>
      <c r="R475" s="1488">
        <f t="shared" si="93"/>
        <v>0</v>
      </c>
      <c r="S475" s="1427">
        <f t="shared" si="84"/>
        <v>0</v>
      </c>
    </row>
    <row r="476" ht="13" spans="1:19">
      <c r="A476" s="1437"/>
      <c r="B476" s="1432"/>
      <c r="C476" s="1428">
        <f t="shared" si="85"/>
        <v>1</v>
      </c>
      <c r="D476" s="1435"/>
      <c r="E476" s="1428">
        <f t="shared" si="86"/>
        <v>1</v>
      </c>
      <c r="F476" s="1435"/>
      <c r="G476" s="1428">
        <f t="shared" si="87"/>
        <v>1</v>
      </c>
      <c r="H476" s="1435"/>
      <c r="I476" s="1428">
        <f t="shared" si="88"/>
        <v>1</v>
      </c>
      <c r="J476" s="1435"/>
      <c r="K476" s="1428">
        <f t="shared" si="89"/>
        <v>1</v>
      </c>
      <c r="L476" s="1435"/>
      <c r="M476" s="1428">
        <f t="shared" si="90"/>
        <v>1</v>
      </c>
      <c r="N476" s="1435"/>
      <c r="O476" s="1428">
        <f t="shared" si="91"/>
        <v>1</v>
      </c>
      <c r="P476" s="1435"/>
      <c r="Q476" s="1428">
        <f t="shared" si="92"/>
        <v>0</v>
      </c>
      <c r="R476" s="1488">
        <f t="shared" si="93"/>
        <v>0</v>
      </c>
      <c r="S476" s="1427">
        <f t="shared" si="84"/>
        <v>0</v>
      </c>
    </row>
    <row r="477" ht="13" spans="1:19">
      <c r="A477" s="1437"/>
      <c r="B477" s="1432"/>
      <c r="C477" s="1428">
        <f t="shared" si="85"/>
        <v>1</v>
      </c>
      <c r="D477" s="1435"/>
      <c r="E477" s="1428">
        <f t="shared" si="86"/>
        <v>1</v>
      </c>
      <c r="F477" s="1435"/>
      <c r="G477" s="1428">
        <f t="shared" si="87"/>
        <v>1</v>
      </c>
      <c r="H477" s="1435"/>
      <c r="I477" s="1428">
        <f t="shared" si="88"/>
        <v>1</v>
      </c>
      <c r="J477" s="1435"/>
      <c r="K477" s="1428">
        <f t="shared" si="89"/>
        <v>1</v>
      </c>
      <c r="L477" s="1435"/>
      <c r="M477" s="1428">
        <f t="shared" si="90"/>
        <v>1</v>
      </c>
      <c r="N477" s="1435"/>
      <c r="O477" s="1428">
        <f t="shared" si="91"/>
        <v>1</v>
      </c>
      <c r="P477" s="1435"/>
      <c r="Q477" s="1428">
        <f t="shared" si="92"/>
        <v>0</v>
      </c>
      <c r="R477" s="1488">
        <f t="shared" si="93"/>
        <v>0</v>
      </c>
      <c r="S477" s="1427">
        <f t="shared" si="84"/>
        <v>0</v>
      </c>
    </row>
    <row r="478" ht="13" spans="1:19">
      <c r="A478" s="1437"/>
      <c r="B478" s="1432"/>
      <c r="C478" s="1428">
        <f t="shared" si="85"/>
        <v>1</v>
      </c>
      <c r="D478" s="1435"/>
      <c r="E478" s="1428">
        <f t="shared" si="86"/>
        <v>1</v>
      </c>
      <c r="F478" s="1435"/>
      <c r="G478" s="1428">
        <f t="shared" si="87"/>
        <v>1</v>
      </c>
      <c r="H478" s="1435"/>
      <c r="I478" s="1428">
        <f t="shared" si="88"/>
        <v>1</v>
      </c>
      <c r="J478" s="1435"/>
      <c r="K478" s="1428">
        <f t="shared" si="89"/>
        <v>1</v>
      </c>
      <c r="L478" s="1435"/>
      <c r="M478" s="1428">
        <f t="shared" si="90"/>
        <v>1</v>
      </c>
      <c r="N478" s="1435"/>
      <c r="O478" s="1428">
        <f t="shared" si="91"/>
        <v>1</v>
      </c>
      <c r="P478" s="1435"/>
      <c r="Q478" s="1428">
        <f t="shared" si="92"/>
        <v>0</v>
      </c>
      <c r="R478" s="1488">
        <f t="shared" si="93"/>
        <v>0</v>
      </c>
      <c r="S478" s="1427">
        <f t="shared" si="84"/>
        <v>0</v>
      </c>
    </row>
    <row r="479" ht="13" spans="1:19">
      <c r="A479" s="1437"/>
      <c r="B479" s="1432"/>
      <c r="C479" s="1428">
        <f t="shared" si="85"/>
        <v>1</v>
      </c>
      <c r="D479" s="1435"/>
      <c r="E479" s="1428">
        <f t="shared" si="86"/>
        <v>1</v>
      </c>
      <c r="F479" s="1435"/>
      <c r="G479" s="1428">
        <f t="shared" si="87"/>
        <v>1</v>
      </c>
      <c r="H479" s="1435"/>
      <c r="I479" s="1428">
        <f t="shared" si="88"/>
        <v>1</v>
      </c>
      <c r="J479" s="1435"/>
      <c r="K479" s="1428">
        <f t="shared" si="89"/>
        <v>1</v>
      </c>
      <c r="L479" s="1435"/>
      <c r="M479" s="1428">
        <f t="shared" si="90"/>
        <v>1</v>
      </c>
      <c r="N479" s="1435"/>
      <c r="O479" s="1428">
        <f t="shared" si="91"/>
        <v>1</v>
      </c>
      <c r="P479" s="1435"/>
      <c r="Q479" s="1428">
        <f t="shared" si="92"/>
        <v>0</v>
      </c>
      <c r="R479" s="1488">
        <f t="shared" si="93"/>
        <v>0</v>
      </c>
      <c r="S479" s="1427">
        <f t="shared" si="84"/>
        <v>0</v>
      </c>
    </row>
    <row r="480" ht="13" spans="1:19">
      <c r="A480" s="1437"/>
      <c r="B480" s="1432"/>
      <c r="C480" s="1428">
        <f t="shared" si="85"/>
        <v>1</v>
      </c>
      <c r="D480" s="1435"/>
      <c r="E480" s="1428">
        <f t="shared" si="86"/>
        <v>1</v>
      </c>
      <c r="F480" s="1435"/>
      <c r="G480" s="1428">
        <f t="shared" si="87"/>
        <v>1</v>
      </c>
      <c r="H480" s="1435"/>
      <c r="I480" s="1428">
        <f t="shared" si="88"/>
        <v>1</v>
      </c>
      <c r="J480" s="1435"/>
      <c r="K480" s="1428">
        <f t="shared" si="89"/>
        <v>1</v>
      </c>
      <c r="L480" s="1435"/>
      <c r="M480" s="1428">
        <f t="shared" si="90"/>
        <v>1</v>
      </c>
      <c r="N480" s="1435"/>
      <c r="O480" s="1428">
        <f t="shared" si="91"/>
        <v>1</v>
      </c>
      <c r="P480" s="1435"/>
      <c r="Q480" s="1428">
        <f t="shared" si="92"/>
        <v>0</v>
      </c>
      <c r="R480" s="1488">
        <f t="shared" si="93"/>
        <v>0</v>
      </c>
      <c r="S480" s="1427">
        <f t="shared" si="84"/>
        <v>0</v>
      </c>
    </row>
    <row r="481" ht="13" spans="1:19">
      <c r="A481" s="1437"/>
      <c r="B481" s="1432"/>
      <c r="C481" s="1428">
        <f t="shared" si="85"/>
        <v>1</v>
      </c>
      <c r="D481" s="1435"/>
      <c r="E481" s="1428">
        <f t="shared" si="86"/>
        <v>1</v>
      </c>
      <c r="F481" s="1435"/>
      <c r="G481" s="1428">
        <f t="shared" si="87"/>
        <v>1</v>
      </c>
      <c r="H481" s="1435"/>
      <c r="I481" s="1428">
        <f t="shared" si="88"/>
        <v>1</v>
      </c>
      <c r="J481" s="1435"/>
      <c r="K481" s="1428">
        <f t="shared" si="89"/>
        <v>1</v>
      </c>
      <c r="L481" s="1435"/>
      <c r="M481" s="1428">
        <f t="shared" si="90"/>
        <v>1</v>
      </c>
      <c r="N481" s="1435"/>
      <c r="O481" s="1428">
        <f t="shared" si="91"/>
        <v>1</v>
      </c>
      <c r="P481" s="1435"/>
      <c r="Q481" s="1428">
        <f t="shared" si="92"/>
        <v>0</v>
      </c>
      <c r="R481" s="1488">
        <f t="shared" si="93"/>
        <v>0</v>
      </c>
      <c r="S481" s="1427">
        <f t="shared" si="84"/>
        <v>0</v>
      </c>
    </row>
    <row r="482" ht="13" spans="1:19">
      <c r="A482" s="1437"/>
      <c r="B482" s="1432"/>
      <c r="C482" s="1428">
        <f t="shared" si="85"/>
        <v>1</v>
      </c>
      <c r="D482" s="1435"/>
      <c r="E482" s="1428">
        <f t="shared" si="86"/>
        <v>1</v>
      </c>
      <c r="F482" s="1435"/>
      <c r="G482" s="1428">
        <f t="shared" si="87"/>
        <v>1</v>
      </c>
      <c r="H482" s="1435"/>
      <c r="I482" s="1428">
        <f t="shared" si="88"/>
        <v>1</v>
      </c>
      <c r="J482" s="1435"/>
      <c r="K482" s="1428">
        <f t="shared" si="89"/>
        <v>1</v>
      </c>
      <c r="L482" s="1435"/>
      <c r="M482" s="1428">
        <f t="shared" si="90"/>
        <v>1</v>
      </c>
      <c r="N482" s="1435"/>
      <c r="O482" s="1428">
        <f t="shared" si="91"/>
        <v>1</v>
      </c>
      <c r="P482" s="1435"/>
      <c r="Q482" s="1428">
        <f t="shared" si="92"/>
        <v>0</v>
      </c>
      <c r="R482" s="1488">
        <f t="shared" si="93"/>
        <v>0</v>
      </c>
      <c r="S482" s="1427">
        <f t="shared" si="84"/>
        <v>0</v>
      </c>
    </row>
    <row r="483" ht="13" spans="1:19">
      <c r="A483" s="1437"/>
      <c r="B483" s="1432"/>
      <c r="C483" s="1428">
        <f t="shared" si="85"/>
        <v>1</v>
      </c>
      <c r="D483" s="1435"/>
      <c r="E483" s="1428">
        <f t="shared" si="86"/>
        <v>1</v>
      </c>
      <c r="F483" s="1435"/>
      <c r="G483" s="1428">
        <f t="shared" si="87"/>
        <v>1</v>
      </c>
      <c r="H483" s="1435"/>
      <c r="I483" s="1428">
        <f t="shared" si="88"/>
        <v>1</v>
      </c>
      <c r="J483" s="1435"/>
      <c r="K483" s="1428">
        <f t="shared" si="89"/>
        <v>1</v>
      </c>
      <c r="L483" s="1435"/>
      <c r="M483" s="1428">
        <f t="shared" si="90"/>
        <v>1</v>
      </c>
      <c r="N483" s="1435"/>
      <c r="O483" s="1428">
        <f t="shared" si="91"/>
        <v>1</v>
      </c>
      <c r="P483" s="1435"/>
      <c r="Q483" s="1428">
        <f t="shared" si="92"/>
        <v>0</v>
      </c>
      <c r="R483" s="1488">
        <f t="shared" si="93"/>
        <v>0</v>
      </c>
      <c r="S483" s="1427">
        <f t="shared" si="84"/>
        <v>0</v>
      </c>
    </row>
    <row r="484" ht="13" spans="1:19">
      <c r="A484" s="1437"/>
      <c r="B484" s="1432"/>
      <c r="C484" s="1428">
        <f t="shared" si="85"/>
        <v>1</v>
      </c>
      <c r="D484" s="1435"/>
      <c r="E484" s="1428">
        <f t="shared" si="86"/>
        <v>1</v>
      </c>
      <c r="F484" s="1435"/>
      <c r="G484" s="1428">
        <f t="shared" si="87"/>
        <v>1</v>
      </c>
      <c r="H484" s="1435"/>
      <c r="I484" s="1428">
        <f t="shared" si="88"/>
        <v>1</v>
      </c>
      <c r="J484" s="1435"/>
      <c r="K484" s="1428">
        <f t="shared" si="89"/>
        <v>1</v>
      </c>
      <c r="L484" s="1435"/>
      <c r="M484" s="1428">
        <f t="shared" si="90"/>
        <v>1</v>
      </c>
      <c r="N484" s="1435"/>
      <c r="O484" s="1428">
        <f t="shared" si="91"/>
        <v>1</v>
      </c>
      <c r="P484" s="1435"/>
      <c r="Q484" s="1428">
        <f t="shared" si="92"/>
        <v>0</v>
      </c>
      <c r="R484" s="1488">
        <f t="shared" si="93"/>
        <v>0</v>
      </c>
      <c r="S484" s="1427">
        <f t="shared" si="84"/>
        <v>0</v>
      </c>
    </row>
    <row r="485" ht="13" spans="1:19">
      <c r="A485" s="1437"/>
      <c r="B485" s="1432"/>
      <c r="C485" s="1428">
        <f t="shared" si="85"/>
        <v>1</v>
      </c>
      <c r="D485" s="1435"/>
      <c r="E485" s="1428">
        <f t="shared" si="86"/>
        <v>1</v>
      </c>
      <c r="F485" s="1435"/>
      <c r="G485" s="1428">
        <f t="shared" si="87"/>
        <v>1</v>
      </c>
      <c r="H485" s="1435"/>
      <c r="I485" s="1428">
        <f t="shared" si="88"/>
        <v>1</v>
      </c>
      <c r="J485" s="1435"/>
      <c r="K485" s="1428">
        <f t="shared" si="89"/>
        <v>1</v>
      </c>
      <c r="L485" s="1435"/>
      <c r="M485" s="1428">
        <f t="shared" si="90"/>
        <v>1</v>
      </c>
      <c r="N485" s="1435"/>
      <c r="O485" s="1428">
        <f t="shared" si="91"/>
        <v>1</v>
      </c>
      <c r="P485" s="1435"/>
      <c r="Q485" s="1428">
        <f t="shared" si="92"/>
        <v>0</v>
      </c>
      <c r="R485" s="1488">
        <f t="shared" si="93"/>
        <v>0</v>
      </c>
      <c r="S485" s="1427">
        <f t="shared" si="84"/>
        <v>0</v>
      </c>
    </row>
    <row r="486" ht="13" spans="1:19">
      <c r="A486" s="1437"/>
      <c r="B486" s="1432"/>
      <c r="C486" s="1428">
        <f t="shared" si="85"/>
        <v>1</v>
      </c>
      <c r="D486" s="1435"/>
      <c r="E486" s="1428">
        <f t="shared" si="86"/>
        <v>1</v>
      </c>
      <c r="F486" s="1435"/>
      <c r="G486" s="1428">
        <f t="shared" si="87"/>
        <v>1</v>
      </c>
      <c r="H486" s="1435"/>
      <c r="I486" s="1428">
        <f t="shared" si="88"/>
        <v>1</v>
      </c>
      <c r="J486" s="1435"/>
      <c r="K486" s="1428">
        <f t="shared" si="89"/>
        <v>1</v>
      </c>
      <c r="L486" s="1435"/>
      <c r="M486" s="1428">
        <f t="shared" si="90"/>
        <v>1</v>
      </c>
      <c r="N486" s="1435"/>
      <c r="O486" s="1428">
        <f t="shared" si="91"/>
        <v>1</v>
      </c>
      <c r="P486" s="1435"/>
      <c r="Q486" s="1428">
        <f t="shared" si="92"/>
        <v>0</v>
      </c>
      <c r="R486" s="1488">
        <f t="shared" si="93"/>
        <v>0</v>
      </c>
      <c r="S486" s="1427">
        <f t="shared" si="84"/>
        <v>0</v>
      </c>
    </row>
    <row r="487" ht="13" spans="1:19">
      <c r="A487" s="1437"/>
      <c r="B487" s="1432"/>
      <c r="C487" s="1428">
        <f t="shared" si="85"/>
        <v>1</v>
      </c>
      <c r="D487" s="1435"/>
      <c r="E487" s="1428">
        <f t="shared" si="86"/>
        <v>1</v>
      </c>
      <c r="F487" s="1435"/>
      <c r="G487" s="1428">
        <f t="shared" si="87"/>
        <v>1</v>
      </c>
      <c r="H487" s="1435"/>
      <c r="I487" s="1428">
        <f t="shared" si="88"/>
        <v>1</v>
      </c>
      <c r="J487" s="1435"/>
      <c r="K487" s="1428">
        <f t="shared" si="89"/>
        <v>1</v>
      </c>
      <c r="L487" s="1435"/>
      <c r="M487" s="1428">
        <f t="shared" si="90"/>
        <v>1</v>
      </c>
      <c r="N487" s="1435"/>
      <c r="O487" s="1428">
        <f t="shared" si="91"/>
        <v>1</v>
      </c>
      <c r="P487" s="1435"/>
      <c r="Q487" s="1428">
        <f t="shared" si="92"/>
        <v>0</v>
      </c>
      <c r="R487" s="1488">
        <f t="shared" si="93"/>
        <v>0</v>
      </c>
      <c r="S487" s="1427">
        <f t="shared" si="84"/>
        <v>0</v>
      </c>
    </row>
    <row r="488" ht="13" spans="1:19">
      <c r="A488" s="1437"/>
      <c r="B488" s="1432"/>
      <c r="C488" s="1428">
        <f t="shared" si="85"/>
        <v>1</v>
      </c>
      <c r="D488" s="1435"/>
      <c r="E488" s="1428">
        <f t="shared" si="86"/>
        <v>1</v>
      </c>
      <c r="F488" s="1435"/>
      <c r="G488" s="1428">
        <f t="shared" si="87"/>
        <v>1</v>
      </c>
      <c r="H488" s="1435"/>
      <c r="I488" s="1428">
        <f t="shared" si="88"/>
        <v>1</v>
      </c>
      <c r="J488" s="1435"/>
      <c r="K488" s="1428">
        <f t="shared" si="89"/>
        <v>1</v>
      </c>
      <c r="L488" s="1435"/>
      <c r="M488" s="1428">
        <f t="shared" si="90"/>
        <v>1</v>
      </c>
      <c r="N488" s="1435"/>
      <c r="O488" s="1428">
        <f t="shared" si="91"/>
        <v>1</v>
      </c>
      <c r="P488" s="1435"/>
      <c r="Q488" s="1428">
        <f t="shared" si="92"/>
        <v>0</v>
      </c>
      <c r="R488" s="1488">
        <f t="shared" si="93"/>
        <v>0</v>
      </c>
      <c r="S488" s="1427">
        <f t="shared" si="84"/>
        <v>0</v>
      </c>
    </row>
    <row r="489" ht="13" spans="1:19">
      <c r="A489" s="1437"/>
      <c r="B489" s="1432"/>
      <c r="C489" s="1428">
        <f t="shared" si="85"/>
        <v>1</v>
      </c>
      <c r="D489" s="1435"/>
      <c r="E489" s="1428">
        <f t="shared" si="86"/>
        <v>1</v>
      </c>
      <c r="F489" s="1435"/>
      <c r="G489" s="1428">
        <f t="shared" si="87"/>
        <v>1</v>
      </c>
      <c r="H489" s="1435"/>
      <c r="I489" s="1428">
        <f t="shared" si="88"/>
        <v>1</v>
      </c>
      <c r="J489" s="1435"/>
      <c r="K489" s="1428">
        <f t="shared" si="89"/>
        <v>1</v>
      </c>
      <c r="L489" s="1435"/>
      <c r="M489" s="1428">
        <f t="shared" si="90"/>
        <v>1</v>
      </c>
      <c r="N489" s="1435"/>
      <c r="O489" s="1428">
        <f t="shared" si="91"/>
        <v>1</v>
      </c>
      <c r="P489" s="1435"/>
      <c r="Q489" s="1428">
        <f t="shared" si="92"/>
        <v>0</v>
      </c>
      <c r="R489" s="1488">
        <f t="shared" si="93"/>
        <v>0</v>
      </c>
      <c r="S489" s="1427">
        <f t="shared" si="84"/>
        <v>0</v>
      </c>
    </row>
    <row r="490" ht="13" spans="1:19">
      <c r="A490" s="1437"/>
      <c r="B490" s="1432"/>
      <c r="C490" s="1428">
        <f t="shared" si="85"/>
        <v>1</v>
      </c>
      <c r="D490" s="1435"/>
      <c r="E490" s="1428">
        <f t="shared" si="86"/>
        <v>1</v>
      </c>
      <c r="F490" s="1435"/>
      <c r="G490" s="1428">
        <f t="shared" si="87"/>
        <v>1</v>
      </c>
      <c r="H490" s="1435"/>
      <c r="I490" s="1428">
        <f t="shared" si="88"/>
        <v>1</v>
      </c>
      <c r="J490" s="1435"/>
      <c r="K490" s="1428">
        <f t="shared" si="89"/>
        <v>1</v>
      </c>
      <c r="L490" s="1435"/>
      <c r="M490" s="1428">
        <f t="shared" si="90"/>
        <v>1</v>
      </c>
      <c r="N490" s="1435"/>
      <c r="O490" s="1428">
        <f t="shared" si="91"/>
        <v>1</v>
      </c>
      <c r="P490" s="1435"/>
      <c r="Q490" s="1428">
        <f t="shared" si="92"/>
        <v>0</v>
      </c>
      <c r="R490" s="1488">
        <f t="shared" si="93"/>
        <v>0</v>
      </c>
      <c r="S490" s="1427">
        <f t="shared" si="84"/>
        <v>0</v>
      </c>
    </row>
    <row r="491" ht="13" spans="1:19">
      <c r="A491" s="1437"/>
      <c r="B491" s="1432"/>
      <c r="C491" s="1428">
        <f t="shared" si="85"/>
        <v>1</v>
      </c>
      <c r="D491" s="1435"/>
      <c r="E491" s="1428">
        <f t="shared" si="86"/>
        <v>1</v>
      </c>
      <c r="F491" s="1435"/>
      <c r="G491" s="1428">
        <f t="shared" si="87"/>
        <v>1</v>
      </c>
      <c r="H491" s="1435"/>
      <c r="I491" s="1428">
        <f t="shared" si="88"/>
        <v>1</v>
      </c>
      <c r="J491" s="1435"/>
      <c r="K491" s="1428">
        <f t="shared" si="89"/>
        <v>1</v>
      </c>
      <c r="L491" s="1435"/>
      <c r="M491" s="1428">
        <f t="shared" si="90"/>
        <v>1</v>
      </c>
      <c r="N491" s="1435"/>
      <c r="O491" s="1428">
        <f t="shared" si="91"/>
        <v>1</v>
      </c>
      <c r="P491" s="1435"/>
      <c r="Q491" s="1428">
        <f t="shared" si="92"/>
        <v>0</v>
      </c>
      <c r="R491" s="1488">
        <f t="shared" si="93"/>
        <v>0</v>
      </c>
      <c r="S491" s="1427">
        <f t="shared" si="84"/>
        <v>0</v>
      </c>
    </row>
    <row r="492" ht="13" spans="1:19">
      <c r="A492" s="1437"/>
      <c r="B492" s="1432"/>
      <c r="C492" s="1428">
        <f t="shared" si="85"/>
        <v>1</v>
      </c>
      <c r="D492" s="1435"/>
      <c r="E492" s="1428">
        <f t="shared" si="86"/>
        <v>1</v>
      </c>
      <c r="F492" s="1435"/>
      <c r="G492" s="1428">
        <f t="shared" si="87"/>
        <v>1</v>
      </c>
      <c r="H492" s="1435"/>
      <c r="I492" s="1428">
        <f t="shared" si="88"/>
        <v>1</v>
      </c>
      <c r="J492" s="1435"/>
      <c r="K492" s="1428">
        <f t="shared" si="89"/>
        <v>1</v>
      </c>
      <c r="L492" s="1435"/>
      <c r="M492" s="1428">
        <f t="shared" si="90"/>
        <v>1</v>
      </c>
      <c r="N492" s="1435"/>
      <c r="O492" s="1428">
        <f t="shared" si="91"/>
        <v>1</v>
      </c>
      <c r="P492" s="1435"/>
      <c r="Q492" s="1428">
        <f t="shared" si="92"/>
        <v>0</v>
      </c>
      <c r="R492" s="1488">
        <f t="shared" si="93"/>
        <v>0</v>
      </c>
      <c r="S492" s="1427">
        <f t="shared" si="84"/>
        <v>0</v>
      </c>
    </row>
    <row r="493" ht="13" spans="1:19">
      <c r="A493" s="1437"/>
      <c r="B493" s="1432"/>
      <c r="C493" s="1428">
        <f t="shared" si="85"/>
        <v>1</v>
      </c>
      <c r="D493" s="1435"/>
      <c r="E493" s="1428">
        <f t="shared" si="86"/>
        <v>1</v>
      </c>
      <c r="F493" s="1435"/>
      <c r="G493" s="1428">
        <f t="shared" si="87"/>
        <v>1</v>
      </c>
      <c r="H493" s="1435"/>
      <c r="I493" s="1428">
        <f t="shared" si="88"/>
        <v>1</v>
      </c>
      <c r="J493" s="1435"/>
      <c r="K493" s="1428">
        <f t="shared" si="89"/>
        <v>1</v>
      </c>
      <c r="L493" s="1435"/>
      <c r="M493" s="1428">
        <f t="shared" si="90"/>
        <v>1</v>
      </c>
      <c r="N493" s="1435"/>
      <c r="O493" s="1428">
        <f t="shared" si="91"/>
        <v>1</v>
      </c>
      <c r="P493" s="1435"/>
      <c r="Q493" s="1428">
        <f t="shared" si="92"/>
        <v>0</v>
      </c>
      <c r="R493" s="1488">
        <f t="shared" si="93"/>
        <v>0</v>
      </c>
      <c r="S493" s="1427">
        <f t="shared" si="84"/>
        <v>0</v>
      </c>
    </row>
    <row r="494" ht="13" spans="1:19">
      <c r="A494" s="1437"/>
      <c r="B494" s="1432"/>
      <c r="C494" s="1428">
        <f t="shared" si="85"/>
        <v>1</v>
      </c>
      <c r="D494" s="1435"/>
      <c r="E494" s="1428">
        <f t="shared" si="86"/>
        <v>1</v>
      </c>
      <c r="F494" s="1435"/>
      <c r="G494" s="1428">
        <f t="shared" si="87"/>
        <v>1</v>
      </c>
      <c r="H494" s="1435"/>
      <c r="I494" s="1428">
        <f t="shared" si="88"/>
        <v>1</v>
      </c>
      <c r="J494" s="1435"/>
      <c r="K494" s="1428">
        <f t="shared" si="89"/>
        <v>1</v>
      </c>
      <c r="L494" s="1435"/>
      <c r="M494" s="1428">
        <f t="shared" si="90"/>
        <v>1</v>
      </c>
      <c r="N494" s="1435"/>
      <c r="O494" s="1428">
        <f t="shared" si="91"/>
        <v>1</v>
      </c>
      <c r="P494" s="1435"/>
      <c r="Q494" s="1428">
        <f t="shared" si="92"/>
        <v>0</v>
      </c>
      <c r="R494" s="1488">
        <f t="shared" si="93"/>
        <v>0</v>
      </c>
      <c r="S494" s="1427">
        <f t="shared" si="84"/>
        <v>0</v>
      </c>
    </row>
    <row r="495" ht="13" spans="1:19">
      <c r="A495" s="1437"/>
      <c r="B495" s="1432"/>
      <c r="C495" s="1428">
        <f t="shared" si="85"/>
        <v>1</v>
      </c>
      <c r="D495" s="1435"/>
      <c r="E495" s="1428">
        <f t="shared" si="86"/>
        <v>1</v>
      </c>
      <c r="F495" s="1435"/>
      <c r="G495" s="1428">
        <f t="shared" si="87"/>
        <v>1</v>
      </c>
      <c r="H495" s="1435"/>
      <c r="I495" s="1428">
        <f t="shared" si="88"/>
        <v>1</v>
      </c>
      <c r="J495" s="1435"/>
      <c r="K495" s="1428">
        <f t="shared" si="89"/>
        <v>1</v>
      </c>
      <c r="L495" s="1435"/>
      <c r="M495" s="1428">
        <f t="shared" si="90"/>
        <v>1</v>
      </c>
      <c r="N495" s="1435"/>
      <c r="O495" s="1428">
        <f t="shared" si="91"/>
        <v>1</v>
      </c>
      <c r="P495" s="1435"/>
      <c r="Q495" s="1428">
        <f t="shared" si="92"/>
        <v>0</v>
      </c>
      <c r="R495" s="1488">
        <f t="shared" si="93"/>
        <v>0</v>
      </c>
      <c r="S495" s="1427">
        <f t="shared" si="84"/>
        <v>0</v>
      </c>
    </row>
    <row r="496" ht="13" spans="1:19">
      <c r="A496" s="1437"/>
      <c r="B496" s="1432"/>
      <c r="C496" s="1428">
        <f t="shared" si="85"/>
        <v>1</v>
      </c>
      <c r="D496" s="1435"/>
      <c r="E496" s="1428">
        <f t="shared" si="86"/>
        <v>1</v>
      </c>
      <c r="F496" s="1435"/>
      <c r="G496" s="1428">
        <f t="shared" si="87"/>
        <v>1</v>
      </c>
      <c r="H496" s="1435"/>
      <c r="I496" s="1428">
        <f t="shared" si="88"/>
        <v>1</v>
      </c>
      <c r="J496" s="1435"/>
      <c r="K496" s="1428">
        <f t="shared" si="89"/>
        <v>1</v>
      </c>
      <c r="L496" s="1435"/>
      <c r="M496" s="1428">
        <f t="shared" si="90"/>
        <v>1</v>
      </c>
      <c r="N496" s="1435"/>
      <c r="O496" s="1428">
        <f t="shared" si="91"/>
        <v>1</v>
      </c>
      <c r="P496" s="1435"/>
      <c r="Q496" s="1428">
        <f t="shared" si="92"/>
        <v>0</v>
      </c>
      <c r="R496" s="1488">
        <f t="shared" si="93"/>
        <v>0</v>
      </c>
      <c r="S496" s="1427">
        <f t="shared" si="84"/>
        <v>0</v>
      </c>
    </row>
    <row r="497" ht="13" spans="1:19">
      <c r="A497" s="1437"/>
      <c r="B497" s="1432"/>
      <c r="C497" s="1428">
        <f t="shared" si="85"/>
        <v>1</v>
      </c>
      <c r="D497" s="1435"/>
      <c r="E497" s="1428">
        <f t="shared" si="86"/>
        <v>1</v>
      </c>
      <c r="F497" s="1435"/>
      <c r="G497" s="1428">
        <f t="shared" si="87"/>
        <v>1</v>
      </c>
      <c r="H497" s="1435"/>
      <c r="I497" s="1428">
        <f t="shared" si="88"/>
        <v>1</v>
      </c>
      <c r="J497" s="1435"/>
      <c r="K497" s="1428">
        <f t="shared" si="89"/>
        <v>1</v>
      </c>
      <c r="L497" s="1435"/>
      <c r="M497" s="1428">
        <f t="shared" si="90"/>
        <v>1</v>
      </c>
      <c r="N497" s="1435"/>
      <c r="O497" s="1428">
        <f t="shared" si="91"/>
        <v>1</v>
      </c>
      <c r="P497" s="1435"/>
      <c r="Q497" s="1428">
        <f t="shared" si="92"/>
        <v>0</v>
      </c>
      <c r="R497" s="1488">
        <f t="shared" si="93"/>
        <v>0</v>
      </c>
      <c r="S497" s="1427">
        <f t="shared" si="84"/>
        <v>0</v>
      </c>
    </row>
    <row r="498" ht="13" spans="1:19">
      <c r="A498" s="1437"/>
      <c r="B498" s="1432"/>
      <c r="C498" s="1428">
        <f t="shared" si="85"/>
        <v>1</v>
      </c>
      <c r="D498" s="1435"/>
      <c r="E498" s="1428">
        <f t="shared" si="86"/>
        <v>1</v>
      </c>
      <c r="F498" s="1435"/>
      <c r="G498" s="1428">
        <f t="shared" si="87"/>
        <v>1</v>
      </c>
      <c r="H498" s="1435"/>
      <c r="I498" s="1428">
        <f t="shared" si="88"/>
        <v>1</v>
      </c>
      <c r="J498" s="1435"/>
      <c r="K498" s="1428">
        <f t="shared" si="89"/>
        <v>1</v>
      </c>
      <c r="L498" s="1435"/>
      <c r="M498" s="1428">
        <f t="shared" si="90"/>
        <v>1</v>
      </c>
      <c r="N498" s="1435"/>
      <c r="O498" s="1428">
        <f t="shared" si="91"/>
        <v>1</v>
      </c>
      <c r="P498" s="1435"/>
      <c r="Q498" s="1428">
        <f t="shared" si="92"/>
        <v>0</v>
      </c>
      <c r="R498" s="1488">
        <f t="shared" si="93"/>
        <v>0</v>
      </c>
      <c r="S498" s="1427">
        <f t="shared" ref="S498:S524" si="94">ROUND(R498*B498/10000,0)</f>
        <v>0</v>
      </c>
    </row>
    <row r="499" ht="13" spans="1:19">
      <c r="A499" s="1437"/>
      <c r="B499" s="1432"/>
      <c r="C499" s="1428">
        <f t="shared" si="85"/>
        <v>1</v>
      </c>
      <c r="D499" s="1435"/>
      <c r="E499" s="1428">
        <f t="shared" si="86"/>
        <v>1</v>
      </c>
      <c r="F499" s="1435"/>
      <c r="G499" s="1428">
        <f t="shared" si="87"/>
        <v>1</v>
      </c>
      <c r="H499" s="1435"/>
      <c r="I499" s="1428">
        <f t="shared" si="88"/>
        <v>1</v>
      </c>
      <c r="J499" s="1435"/>
      <c r="K499" s="1428">
        <f t="shared" si="89"/>
        <v>1</v>
      </c>
      <c r="L499" s="1435"/>
      <c r="M499" s="1428">
        <f t="shared" si="90"/>
        <v>1</v>
      </c>
      <c r="N499" s="1435"/>
      <c r="O499" s="1428">
        <f t="shared" si="91"/>
        <v>1</v>
      </c>
      <c r="P499" s="1435"/>
      <c r="Q499" s="1428">
        <f t="shared" si="92"/>
        <v>0</v>
      </c>
      <c r="R499" s="1488">
        <f t="shared" si="93"/>
        <v>0</v>
      </c>
      <c r="S499" s="1427">
        <f t="shared" si="94"/>
        <v>0</v>
      </c>
    </row>
    <row r="500" ht="13" spans="1:19">
      <c r="A500" s="1437"/>
      <c r="B500" s="1432"/>
      <c r="C500" s="1428">
        <f t="shared" si="85"/>
        <v>1</v>
      </c>
      <c r="D500" s="1435"/>
      <c r="E500" s="1428">
        <f t="shared" si="86"/>
        <v>1</v>
      </c>
      <c r="F500" s="1435"/>
      <c r="G500" s="1428">
        <f t="shared" si="87"/>
        <v>1</v>
      </c>
      <c r="H500" s="1435"/>
      <c r="I500" s="1428">
        <f t="shared" si="88"/>
        <v>1</v>
      </c>
      <c r="J500" s="1435"/>
      <c r="K500" s="1428">
        <f t="shared" si="89"/>
        <v>1</v>
      </c>
      <c r="L500" s="1435"/>
      <c r="M500" s="1428">
        <f t="shared" si="90"/>
        <v>1</v>
      </c>
      <c r="N500" s="1435"/>
      <c r="O500" s="1428">
        <f t="shared" si="91"/>
        <v>1</v>
      </c>
      <c r="P500" s="1435"/>
      <c r="Q500" s="1428">
        <f t="shared" si="92"/>
        <v>0</v>
      </c>
      <c r="R500" s="1488">
        <f t="shared" si="93"/>
        <v>0</v>
      </c>
      <c r="S500" s="1427">
        <f t="shared" si="94"/>
        <v>0</v>
      </c>
    </row>
    <row r="501" ht="13" spans="1:19">
      <c r="A501" s="1437"/>
      <c r="B501" s="1432"/>
      <c r="C501" s="1428">
        <f t="shared" si="85"/>
        <v>1</v>
      </c>
      <c r="D501" s="1435"/>
      <c r="E501" s="1428">
        <f t="shared" si="86"/>
        <v>1</v>
      </c>
      <c r="F501" s="1435"/>
      <c r="G501" s="1428">
        <f t="shared" si="87"/>
        <v>1</v>
      </c>
      <c r="H501" s="1435"/>
      <c r="I501" s="1428">
        <f t="shared" si="88"/>
        <v>1</v>
      </c>
      <c r="J501" s="1435"/>
      <c r="K501" s="1428">
        <f t="shared" si="89"/>
        <v>1</v>
      </c>
      <c r="L501" s="1435"/>
      <c r="M501" s="1428">
        <f t="shared" si="90"/>
        <v>1</v>
      </c>
      <c r="N501" s="1435"/>
      <c r="O501" s="1428">
        <f t="shared" si="91"/>
        <v>1</v>
      </c>
      <c r="P501" s="1435"/>
      <c r="Q501" s="1428">
        <f t="shared" si="92"/>
        <v>0</v>
      </c>
      <c r="R501" s="1488">
        <f t="shared" si="93"/>
        <v>0</v>
      </c>
      <c r="S501" s="1427">
        <f t="shared" si="94"/>
        <v>0</v>
      </c>
    </row>
    <row r="502" ht="13" spans="1:19">
      <c r="A502" s="1437"/>
      <c r="B502" s="1432"/>
      <c r="C502" s="1428">
        <f t="shared" si="85"/>
        <v>1</v>
      </c>
      <c r="D502" s="1435"/>
      <c r="E502" s="1428">
        <f t="shared" si="86"/>
        <v>1</v>
      </c>
      <c r="F502" s="1435"/>
      <c r="G502" s="1428">
        <f t="shared" si="87"/>
        <v>1</v>
      </c>
      <c r="H502" s="1435"/>
      <c r="I502" s="1428">
        <f t="shared" si="88"/>
        <v>1</v>
      </c>
      <c r="J502" s="1435"/>
      <c r="K502" s="1428">
        <f t="shared" si="89"/>
        <v>1</v>
      </c>
      <c r="L502" s="1435"/>
      <c r="M502" s="1428">
        <f t="shared" si="90"/>
        <v>1</v>
      </c>
      <c r="N502" s="1435"/>
      <c r="O502" s="1428">
        <f t="shared" si="91"/>
        <v>1</v>
      </c>
      <c r="P502" s="1435"/>
      <c r="Q502" s="1428">
        <f t="shared" si="92"/>
        <v>0</v>
      </c>
      <c r="R502" s="1488">
        <f t="shared" si="93"/>
        <v>0</v>
      </c>
      <c r="S502" s="1427">
        <f t="shared" si="94"/>
        <v>0</v>
      </c>
    </row>
    <row r="503" ht="13" spans="1:19">
      <c r="A503" s="1437"/>
      <c r="B503" s="1432"/>
      <c r="C503" s="1428">
        <f t="shared" si="85"/>
        <v>1</v>
      </c>
      <c r="D503" s="1435"/>
      <c r="E503" s="1428">
        <f t="shared" si="86"/>
        <v>1</v>
      </c>
      <c r="F503" s="1435"/>
      <c r="G503" s="1428">
        <f t="shared" si="87"/>
        <v>1</v>
      </c>
      <c r="H503" s="1435"/>
      <c r="I503" s="1428">
        <f t="shared" si="88"/>
        <v>1</v>
      </c>
      <c r="J503" s="1435"/>
      <c r="K503" s="1428">
        <f t="shared" si="89"/>
        <v>1</v>
      </c>
      <c r="L503" s="1435"/>
      <c r="M503" s="1428">
        <f t="shared" si="90"/>
        <v>1</v>
      </c>
      <c r="N503" s="1435"/>
      <c r="O503" s="1428">
        <f t="shared" si="91"/>
        <v>1</v>
      </c>
      <c r="P503" s="1435"/>
      <c r="Q503" s="1428">
        <f t="shared" si="92"/>
        <v>0</v>
      </c>
      <c r="R503" s="1488">
        <f t="shared" si="93"/>
        <v>0</v>
      </c>
      <c r="S503" s="1427">
        <f t="shared" si="94"/>
        <v>0</v>
      </c>
    </row>
    <row r="504" ht="13" spans="1:19">
      <c r="A504" s="1437"/>
      <c r="B504" s="1432"/>
      <c r="C504" s="1428">
        <f t="shared" si="85"/>
        <v>1</v>
      </c>
      <c r="D504" s="1435"/>
      <c r="E504" s="1428">
        <f t="shared" si="86"/>
        <v>1</v>
      </c>
      <c r="F504" s="1435"/>
      <c r="G504" s="1428">
        <f t="shared" si="87"/>
        <v>1</v>
      </c>
      <c r="H504" s="1435"/>
      <c r="I504" s="1428">
        <f t="shared" si="88"/>
        <v>1</v>
      </c>
      <c r="J504" s="1435"/>
      <c r="K504" s="1428">
        <f t="shared" si="89"/>
        <v>1</v>
      </c>
      <c r="L504" s="1435"/>
      <c r="M504" s="1428">
        <f t="shared" si="90"/>
        <v>1</v>
      </c>
      <c r="N504" s="1435"/>
      <c r="O504" s="1428">
        <f t="shared" si="91"/>
        <v>1</v>
      </c>
      <c r="P504" s="1435"/>
      <c r="Q504" s="1428">
        <f t="shared" si="92"/>
        <v>0</v>
      </c>
      <c r="R504" s="1488">
        <f t="shared" si="93"/>
        <v>0</v>
      </c>
      <c r="S504" s="1427">
        <f t="shared" si="94"/>
        <v>0</v>
      </c>
    </row>
    <row r="505" ht="13" spans="1:19">
      <c r="A505" s="1437"/>
      <c r="B505" s="1432"/>
      <c r="C505" s="1428">
        <f t="shared" si="85"/>
        <v>1</v>
      </c>
      <c r="D505" s="1435"/>
      <c r="E505" s="1428">
        <f t="shared" si="86"/>
        <v>1</v>
      </c>
      <c r="F505" s="1435"/>
      <c r="G505" s="1428">
        <f t="shared" si="87"/>
        <v>1</v>
      </c>
      <c r="H505" s="1435"/>
      <c r="I505" s="1428">
        <f t="shared" si="88"/>
        <v>1</v>
      </c>
      <c r="J505" s="1435"/>
      <c r="K505" s="1428">
        <f t="shared" si="89"/>
        <v>1</v>
      </c>
      <c r="L505" s="1435"/>
      <c r="M505" s="1428">
        <f t="shared" si="90"/>
        <v>1</v>
      </c>
      <c r="N505" s="1435"/>
      <c r="O505" s="1428">
        <f t="shared" si="91"/>
        <v>1</v>
      </c>
      <c r="P505" s="1435"/>
      <c r="Q505" s="1428">
        <f t="shared" si="92"/>
        <v>0</v>
      </c>
      <c r="R505" s="1488">
        <f t="shared" si="93"/>
        <v>0</v>
      </c>
      <c r="S505" s="1427">
        <f t="shared" si="94"/>
        <v>0</v>
      </c>
    </row>
    <row r="506" ht="13" spans="1:19">
      <c r="A506" s="1437"/>
      <c r="B506" s="1432"/>
      <c r="C506" s="1428">
        <f t="shared" si="85"/>
        <v>1</v>
      </c>
      <c r="D506" s="1435"/>
      <c r="E506" s="1428">
        <f t="shared" si="86"/>
        <v>1</v>
      </c>
      <c r="F506" s="1435"/>
      <c r="G506" s="1428">
        <f t="shared" si="87"/>
        <v>1</v>
      </c>
      <c r="H506" s="1435"/>
      <c r="I506" s="1428">
        <f t="shared" si="88"/>
        <v>1</v>
      </c>
      <c r="J506" s="1435"/>
      <c r="K506" s="1428">
        <f t="shared" si="89"/>
        <v>1</v>
      </c>
      <c r="L506" s="1435"/>
      <c r="M506" s="1428">
        <f t="shared" si="90"/>
        <v>1</v>
      </c>
      <c r="N506" s="1435"/>
      <c r="O506" s="1428">
        <f t="shared" si="91"/>
        <v>1</v>
      </c>
      <c r="P506" s="1435"/>
      <c r="Q506" s="1428">
        <f t="shared" si="92"/>
        <v>0</v>
      </c>
      <c r="R506" s="1488">
        <f t="shared" si="93"/>
        <v>0</v>
      </c>
      <c r="S506" s="1427">
        <f t="shared" si="94"/>
        <v>0</v>
      </c>
    </row>
    <row r="507" ht="13" spans="1:19">
      <c r="A507" s="1437"/>
      <c r="B507" s="1432"/>
      <c r="C507" s="1428">
        <f t="shared" si="85"/>
        <v>1</v>
      </c>
      <c r="D507" s="1435"/>
      <c r="E507" s="1428">
        <f t="shared" si="86"/>
        <v>1</v>
      </c>
      <c r="F507" s="1435"/>
      <c r="G507" s="1428">
        <f t="shared" si="87"/>
        <v>1</v>
      </c>
      <c r="H507" s="1435"/>
      <c r="I507" s="1428">
        <f t="shared" si="88"/>
        <v>1</v>
      </c>
      <c r="J507" s="1435"/>
      <c r="K507" s="1428">
        <f t="shared" si="89"/>
        <v>1</v>
      </c>
      <c r="L507" s="1435"/>
      <c r="M507" s="1428">
        <f t="shared" si="90"/>
        <v>1</v>
      </c>
      <c r="N507" s="1435"/>
      <c r="O507" s="1428">
        <f t="shared" si="91"/>
        <v>1</v>
      </c>
      <c r="P507" s="1435"/>
      <c r="Q507" s="1428">
        <f t="shared" si="92"/>
        <v>0</v>
      </c>
      <c r="R507" s="1488">
        <f t="shared" si="93"/>
        <v>0</v>
      </c>
      <c r="S507" s="1427">
        <f t="shared" si="94"/>
        <v>0</v>
      </c>
    </row>
    <row r="508" ht="13" spans="1:19">
      <c r="A508" s="1437"/>
      <c r="B508" s="1432"/>
      <c r="C508" s="1428">
        <f t="shared" si="85"/>
        <v>1</v>
      </c>
      <c r="D508" s="1435"/>
      <c r="E508" s="1428">
        <f t="shared" si="86"/>
        <v>1</v>
      </c>
      <c r="F508" s="1435"/>
      <c r="G508" s="1428">
        <f t="shared" si="87"/>
        <v>1</v>
      </c>
      <c r="H508" s="1435"/>
      <c r="I508" s="1428">
        <f t="shared" si="88"/>
        <v>1</v>
      </c>
      <c r="J508" s="1435"/>
      <c r="K508" s="1428">
        <f t="shared" si="89"/>
        <v>1</v>
      </c>
      <c r="L508" s="1435"/>
      <c r="M508" s="1428">
        <f t="shared" si="90"/>
        <v>1</v>
      </c>
      <c r="N508" s="1435"/>
      <c r="O508" s="1428">
        <f t="shared" si="91"/>
        <v>1</v>
      </c>
      <c r="P508" s="1435"/>
      <c r="Q508" s="1428">
        <f t="shared" si="92"/>
        <v>0</v>
      </c>
      <c r="R508" s="1488">
        <f t="shared" si="93"/>
        <v>0</v>
      </c>
      <c r="S508" s="1427">
        <f t="shared" si="94"/>
        <v>0</v>
      </c>
    </row>
    <row r="509" ht="13" spans="1:19">
      <c r="A509" s="1437"/>
      <c r="B509" s="1432"/>
      <c r="C509" s="1428">
        <f t="shared" si="85"/>
        <v>1</v>
      </c>
      <c r="D509" s="1435"/>
      <c r="E509" s="1428">
        <f t="shared" si="86"/>
        <v>1</v>
      </c>
      <c r="F509" s="1435"/>
      <c r="G509" s="1428">
        <f t="shared" si="87"/>
        <v>1</v>
      </c>
      <c r="H509" s="1435"/>
      <c r="I509" s="1428">
        <f t="shared" si="88"/>
        <v>1</v>
      </c>
      <c r="J509" s="1435"/>
      <c r="K509" s="1428">
        <f t="shared" si="89"/>
        <v>1</v>
      </c>
      <c r="L509" s="1435"/>
      <c r="M509" s="1428">
        <f t="shared" si="90"/>
        <v>1</v>
      </c>
      <c r="N509" s="1435"/>
      <c r="O509" s="1428">
        <f t="shared" si="91"/>
        <v>1</v>
      </c>
      <c r="P509" s="1435"/>
      <c r="Q509" s="1428">
        <f t="shared" si="92"/>
        <v>0</v>
      </c>
      <c r="R509" s="1488">
        <f t="shared" si="93"/>
        <v>0</v>
      </c>
      <c r="S509" s="1427">
        <f t="shared" si="94"/>
        <v>0</v>
      </c>
    </row>
    <row r="510" ht="13" spans="1:19">
      <c r="A510" s="1437"/>
      <c r="B510" s="1432"/>
      <c r="C510" s="1428">
        <f t="shared" si="85"/>
        <v>1</v>
      </c>
      <c r="D510" s="1435"/>
      <c r="E510" s="1428">
        <f t="shared" si="86"/>
        <v>1</v>
      </c>
      <c r="F510" s="1435"/>
      <c r="G510" s="1428">
        <f t="shared" si="87"/>
        <v>1</v>
      </c>
      <c r="H510" s="1435"/>
      <c r="I510" s="1428">
        <f t="shared" si="88"/>
        <v>1</v>
      </c>
      <c r="J510" s="1435"/>
      <c r="K510" s="1428">
        <f t="shared" si="89"/>
        <v>1</v>
      </c>
      <c r="L510" s="1435"/>
      <c r="M510" s="1428">
        <f t="shared" si="90"/>
        <v>1</v>
      </c>
      <c r="N510" s="1435"/>
      <c r="O510" s="1428">
        <f t="shared" si="91"/>
        <v>1</v>
      </c>
      <c r="P510" s="1435"/>
      <c r="Q510" s="1428">
        <f t="shared" si="92"/>
        <v>0</v>
      </c>
      <c r="R510" s="1488">
        <f t="shared" si="93"/>
        <v>0</v>
      </c>
      <c r="S510" s="1427">
        <f t="shared" si="94"/>
        <v>0</v>
      </c>
    </row>
    <row r="511" ht="13" spans="1:19">
      <c r="A511" s="1437"/>
      <c r="B511" s="1432"/>
      <c r="C511" s="1428">
        <f t="shared" si="85"/>
        <v>1</v>
      </c>
      <c r="D511" s="1435"/>
      <c r="E511" s="1428">
        <f t="shared" si="86"/>
        <v>1</v>
      </c>
      <c r="F511" s="1435"/>
      <c r="G511" s="1428">
        <f t="shared" si="87"/>
        <v>1</v>
      </c>
      <c r="H511" s="1435"/>
      <c r="I511" s="1428">
        <f t="shared" si="88"/>
        <v>1</v>
      </c>
      <c r="J511" s="1435"/>
      <c r="K511" s="1428">
        <f t="shared" si="89"/>
        <v>1</v>
      </c>
      <c r="L511" s="1435"/>
      <c r="M511" s="1428">
        <f t="shared" si="90"/>
        <v>1</v>
      </c>
      <c r="N511" s="1435"/>
      <c r="O511" s="1428">
        <f t="shared" si="91"/>
        <v>1</v>
      </c>
      <c r="P511" s="1435"/>
      <c r="Q511" s="1428">
        <f t="shared" si="92"/>
        <v>0</v>
      </c>
      <c r="R511" s="1488">
        <f t="shared" si="93"/>
        <v>0</v>
      </c>
      <c r="S511" s="1427">
        <f t="shared" si="94"/>
        <v>0</v>
      </c>
    </row>
    <row r="512" ht="13" spans="1:19">
      <c r="A512" s="1437"/>
      <c r="B512" s="1432"/>
      <c r="C512" s="1428">
        <f t="shared" si="85"/>
        <v>1</v>
      </c>
      <c r="D512" s="1435"/>
      <c r="E512" s="1428">
        <f t="shared" si="86"/>
        <v>1</v>
      </c>
      <c r="F512" s="1435"/>
      <c r="G512" s="1428">
        <f t="shared" si="87"/>
        <v>1</v>
      </c>
      <c r="H512" s="1435"/>
      <c r="I512" s="1428">
        <f t="shared" si="88"/>
        <v>1</v>
      </c>
      <c r="J512" s="1435"/>
      <c r="K512" s="1428">
        <f t="shared" si="89"/>
        <v>1</v>
      </c>
      <c r="L512" s="1435"/>
      <c r="M512" s="1428">
        <f t="shared" si="90"/>
        <v>1</v>
      </c>
      <c r="N512" s="1435"/>
      <c r="O512" s="1428">
        <f t="shared" si="91"/>
        <v>1</v>
      </c>
      <c r="P512" s="1435"/>
      <c r="Q512" s="1428">
        <f t="shared" si="92"/>
        <v>0</v>
      </c>
      <c r="R512" s="1488">
        <f t="shared" si="93"/>
        <v>0</v>
      </c>
      <c r="S512" s="1427">
        <f t="shared" si="94"/>
        <v>0</v>
      </c>
    </row>
    <row r="513" ht="13" spans="1:19">
      <c r="A513" s="1437"/>
      <c r="B513" s="1432"/>
      <c r="C513" s="1428">
        <f t="shared" si="85"/>
        <v>1</v>
      </c>
      <c r="D513" s="1435"/>
      <c r="E513" s="1428">
        <f t="shared" si="86"/>
        <v>1</v>
      </c>
      <c r="F513" s="1435"/>
      <c r="G513" s="1428">
        <f t="shared" si="87"/>
        <v>1</v>
      </c>
      <c r="H513" s="1435"/>
      <c r="I513" s="1428">
        <f t="shared" si="88"/>
        <v>1</v>
      </c>
      <c r="J513" s="1435"/>
      <c r="K513" s="1428">
        <f t="shared" si="89"/>
        <v>1</v>
      </c>
      <c r="L513" s="1435"/>
      <c r="M513" s="1428">
        <f t="shared" si="90"/>
        <v>1</v>
      </c>
      <c r="N513" s="1435"/>
      <c r="O513" s="1428">
        <f t="shared" si="91"/>
        <v>1</v>
      </c>
      <c r="P513" s="1435"/>
      <c r="Q513" s="1428">
        <f t="shared" si="92"/>
        <v>0</v>
      </c>
      <c r="R513" s="1488">
        <f t="shared" si="93"/>
        <v>0</v>
      </c>
      <c r="S513" s="1427">
        <f t="shared" si="94"/>
        <v>0</v>
      </c>
    </row>
    <row r="514" ht="13" spans="1:19">
      <c r="A514" s="1437"/>
      <c r="B514" s="1432"/>
      <c r="C514" s="1428">
        <f t="shared" si="85"/>
        <v>1</v>
      </c>
      <c r="D514" s="1435"/>
      <c r="E514" s="1428">
        <f t="shared" si="86"/>
        <v>1</v>
      </c>
      <c r="F514" s="1435"/>
      <c r="G514" s="1428">
        <f t="shared" si="87"/>
        <v>1</v>
      </c>
      <c r="H514" s="1435"/>
      <c r="I514" s="1428">
        <f t="shared" si="88"/>
        <v>1</v>
      </c>
      <c r="J514" s="1435"/>
      <c r="K514" s="1428">
        <f t="shared" si="89"/>
        <v>1</v>
      </c>
      <c r="L514" s="1435"/>
      <c r="M514" s="1428">
        <f t="shared" si="90"/>
        <v>1</v>
      </c>
      <c r="N514" s="1435"/>
      <c r="O514" s="1428">
        <f t="shared" si="91"/>
        <v>1</v>
      </c>
      <c r="P514" s="1435"/>
      <c r="Q514" s="1428">
        <f t="shared" si="92"/>
        <v>0</v>
      </c>
      <c r="R514" s="1488">
        <f t="shared" si="93"/>
        <v>0</v>
      </c>
      <c r="S514" s="1427">
        <f t="shared" si="94"/>
        <v>0</v>
      </c>
    </row>
    <row r="515" ht="13" spans="1:19">
      <c r="A515" s="1437"/>
      <c r="B515" s="1432"/>
      <c r="C515" s="1428">
        <f t="shared" si="85"/>
        <v>1</v>
      </c>
      <c r="D515" s="1435"/>
      <c r="E515" s="1428">
        <f t="shared" si="86"/>
        <v>1</v>
      </c>
      <c r="F515" s="1435"/>
      <c r="G515" s="1428">
        <f t="shared" si="87"/>
        <v>1</v>
      </c>
      <c r="H515" s="1435"/>
      <c r="I515" s="1428">
        <f t="shared" si="88"/>
        <v>1</v>
      </c>
      <c r="J515" s="1435"/>
      <c r="K515" s="1428">
        <f t="shared" si="89"/>
        <v>1</v>
      </c>
      <c r="L515" s="1435"/>
      <c r="M515" s="1428">
        <f t="shared" si="90"/>
        <v>1</v>
      </c>
      <c r="N515" s="1435"/>
      <c r="O515" s="1428">
        <f t="shared" si="91"/>
        <v>1</v>
      </c>
      <c r="P515" s="1435"/>
      <c r="Q515" s="1428">
        <f t="shared" si="92"/>
        <v>0</v>
      </c>
      <c r="R515" s="1488">
        <f t="shared" si="93"/>
        <v>0</v>
      </c>
      <c r="S515" s="1427">
        <f t="shared" si="94"/>
        <v>0</v>
      </c>
    </row>
    <row r="516" ht="13" spans="1:19">
      <c r="A516" s="1437"/>
      <c r="B516" s="1432"/>
      <c r="C516" s="1428">
        <f t="shared" si="85"/>
        <v>1</v>
      </c>
      <c r="D516" s="1435"/>
      <c r="E516" s="1428">
        <f t="shared" si="86"/>
        <v>1</v>
      </c>
      <c r="F516" s="1435"/>
      <c r="G516" s="1428">
        <f t="shared" si="87"/>
        <v>1</v>
      </c>
      <c r="H516" s="1435"/>
      <c r="I516" s="1428">
        <f t="shared" si="88"/>
        <v>1</v>
      </c>
      <c r="J516" s="1435"/>
      <c r="K516" s="1428">
        <f t="shared" si="89"/>
        <v>1</v>
      </c>
      <c r="L516" s="1435"/>
      <c r="M516" s="1428">
        <f t="shared" si="90"/>
        <v>1</v>
      </c>
      <c r="N516" s="1435"/>
      <c r="O516" s="1428">
        <f t="shared" si="91"/>
        <v>1</v>
      </c>
      <c r="P516" s="1435"/>
      <c r="Q516" s="1428">
        <f t="shared" si="92"/>
        <v>0</v>
      </c>
      <c r="R516" s="1488">
        <f t="shared" si="93"/>
        <v>0</v>
      </c>
      <c r="S516" s="1427">
        <f t="shared" si="94"/>
        <v>0</v>
      </c>
    </row>
    <row r="517" ht="13" spans="1:19">
      <c r="A517" s="1437"/>
      <c r="B517" s="1432"/>
      <c r="C517" s="1428">
        <f t="shared" si="85"/>
        <v>1</v>
      </c>
      <c r="D517" s="1435"/>
      <c r="E517" s="1428">
        <f t="shared" si="86"/>
        <v>1</v>
      </c>
      <c r="F517" s="1435"/>
      <c r="G517" s="1428">
        <f t="shared" si="87"/>
        <v>1</v>
      </c>
      <c r="H517" s="1435"/>
      <c r="I517" s="1428">
        <f t="shared" si="88"/>
        <v>1</v>
      </c>
      <c r="J517" s="1435"/>
      <c r="K517" s="1428">
        <f t="shared" si="89"/>
        <v>1</v>
      </c>
      <c r="L517" s="1435"/>
      <c r="M517" s="1428">
        <f t="shared" si="90"/>
        <v>1</v>
      </c>
      <c r="N517" s="1435"/>
      <c r="O517" s="1428">
        <f t="shared" si="91"/>
        <v>1</v>
      </c>
      <c r="P517" s="1435"/>
      <c r="Q517" s="1428">
        <f t="shared" si="92"/>
        <v>0</v>
      </c>
      <c r="R517" s="1488">
        <f t="shared" si="93"/>
        <v>0</v>
      </c>
      <c r="S517" s="1427">
        <f t="shared" si="94"/>
        <v>0</v>
      </c>
    </row>
    <row r="518" ht="13" spans="1:19">
      <c r="A518" s="1437"/>
      <c r="B518" s="1432"/>
      <c r="C518" s="1428">
        <f t="shared" si="85"/>
        <v>1</v>
      </c>
      <c r="D518" s="1435"/>
      <c r="E518" s="1428">
        <f t="shared" si="86"/>
        <v>1</v>
      </c>
      <c r="F518" s="1435"/>
      <c r="G518" s="1428">
        <f t="shared" si="87"/>
        <v>1</v>
      </c>
      <c r="H518" s="1435"/>
      <c r="I518" s="1428">
        <f t="shared" si="88"/>
        <v>1</v>
      </c>
      <c r="J518" s="1435"/>
      <c r="K518" s="1428">
        <f t="shared" si="89"/>
        <v>1</v>
      </c>
      <c r="L518" s="1435"/>
      <c r="M518" s="1428">
        <f t="shared" si="90"/>
        <v>1</v>
      </c>
      <c r="N518" s="1435"/>
      <c r="O518" s="1428">
        <f t="shared" si="91"/>
        <v>1</v>
      </c>
      <c r="P518" s="1435"/>
      <c r="Q518" s="1428">
        <f t="shared" si="92"/>
        <v>0</v>
      </c>
      <c r="R518" s="1488">
        <f t="shared" si="93"/>
        <v>0</v>
      </c>
      <c r="S518" s="1427">
        <f t="shared" si="94"/>
        <v>0</v>
      </c>
    </row>
    <row r="519" ht="13" spans="1:19">
      <c r="A519" s="1437"/>
      <c r="B519" s="1432"/>
      <c r="C519" s="1428">
        <f t="shared" si="85"/>
        <v>1</v>
      </c>
      <c r="D519" s="1435"/>
      <c r="E519" s="1428">
        <f t="shared" si="86"/>
        <v>1</v>
      </c>
      <c r="F519" s="1435"/>
      <c r="G519" s="1428">
        <f t="shared" si="87"/>
        <v>1</v>
      </c>
      <c r="H519" s="1435"/>
      <c r="I519" s="1428">
        <f t="shared" si="88"/>
        <v>1</v>
      </c>
      <c r="J519" s="1435"/>
      <c r="K519" s="1428">
        <f t="shared" si="89"/>
        <v>1</v>
      </c>
      <c r="L519" s="1435"/>
      <c r="M519" s="1428">
        <f t="shared" si="90"/>
        <v>1</v>
      </c>
      <c r="N519" s="1435"/>
      <c r="O519" s="1428">
        <f t="shared" si="91"/>
        <v>1</v>
      </c>
      <c r="P519" s="1435"/>
      <c r="Q519" s="1428">
        <f t="shared" si="92"/>
        <v>0</v>
      </c>
      <c r="R519" s="1488">
        <f t="shared" si="93"/>
        <v>0</v>
      </c>
      <c r="S519" s="1427">
        <f t="shared" si="94"/>
        <v>0</v>
      </c>
    </row>
    <row r="520" ht="13" spans="1:19">
      <c r="A520" s="1437"/>
      <c r="B520" s="1432"/>
      <c r="C520" s="1428">
        <f t="shared" si="85"/>
        <v>1</v>
      </c>
      <c r="D520" s="1435"/>
      <c r="E520" s="1428">
        <f t="shared" si="86"/>
        <v>1</v>
      </c>
      <c r="F520" s="1435"/>
      <c r="G520" s="1428">
        <f t="shared" si="87"/>
        <v>1</v>
      </c>
      <c r="H520" s="1435"/>
      <c r="I520" s="1428">
        <f t="shared" si="88"/>
        <v>1</v>
      </c>
      <c r="J520" s="1435"/>
      <c r="K520" s="1428">
        <f t="shared" si="89"/>
        <v>1</v>
      </c>
      <c r="L520" s="1435"/>
      <c r="M520" s="1428">
        <f t="shared" si="90"/>
        <v>1</v>
      </c>
      <c r="N520" s="1435"/>
      <c r="O520" s="1428">
        <f t="shared" si="91"/>
        <v>1</v>
      </c>
      <c r="P520" s="1435"/>
      <c r="Q520" s="1428">
        <f t="shared" si="92"/>
        <v>0</v>
      </c>
      <c r="R520" s="1488">
        <f t="shared" si="93"/>
        <v>0</v>
      </c>
      <c r="S520" s="1427">
        <f t="shared" si="94"/>
        <v>0</v>
      </c>
    </row>
    <row r="521" ht="13" spans="1:19">
      <c r="A521" s="1437"/>
      <c r="B521" s="1432"/>
      <c r="C521" s="1428">
        <f t="shared" si="85"/>
        <v>1</v>
      </c>
      <c r="D521" s="1435"/>
      <c r="E521" s="1428">
        <f t="shared" si="86"/>
        <v>1</v>
      </c>
      <c r="F521" s="1435"/>
      <c r="G521" s="1428">
        <f t="shared" si="87"/>
        <v>1</v>
      </c>
      <c r="H521" s="1435"/>
      <c r="I521" s="1428">
        <f t="shared" si="88"/>
        <v>1</v>
      </c>
      <c r="J521" s="1435"/>
      <c r="K521" s="1428">
        <f t="shared" si="89"/>
        <v>1</v>
      </c>
      <c r="L521" s="1435"/>
      <c r="M521" s="1428">
        <f t="shared" si="90"/>
        <v>1</v>
      </c>
      <c r="N521" s="1435"/>
      <c r="O521" s="1428">
        <f t="shared" si="91"/>
        <v>1</v>
      </c>
      <c r="P521" s="1435"/>
      <c r="Q521" s="1428">
        <f t="shared" si="92"/>
        <v>0</v>
      </c>
      <c r="R521" s="1488">
        <f t="shared" si="93"/>
        <v>0</v>
      </c>
      <c r="S521" s="1427">
        <f t="shared" si="94"/>
        <v>0</v>
      </c>
    </row>
    <row r="522" ht="13" spans="1:19">
      <c r="A522" s="1437"/>
      <c r="B522" s="1432"/>
      <c r="C522" s="1428">
        <f t="shared" si="85"/>
        <v>1</v>
      </c>
      <c r="D522" s="1435"/>
      <c r="E522" s="1428">
        <f t="shared" si="86"/>
        <v>1</v>
      </c>
      <c r="F522" s="1435"/>
      <c r="G522" s="1428">
        <f t="shared" si="87"/>
        <v>1</v>
      </c>
      <c r="H522" s="1435"/>
      <c r="I522" s="1428">
        <f t="shared" si="88"/>
        <v>1</v>
      </c>
      <c r="J522" s="1435"/>
      <c r="K522" s="1428">
        <f t="shared" si="89"/>
        <v>1</v>
      </c>
      <c r="L522" s="1435"/>
      <c r="M522" s="1428">
        <f t="shared" si="90"/>
        <v>1</v>
      </c>
      <c r="N522" s="1435"/>
      <c r="O522" s="1428">
        <f t="shared" si="91"/>
        <v>1</v>
      </c>
      <c r="P522" s="1435"/>
      <c r="Q522" s="1428">
        <f t="shared" si="92"/>
        <v>0</v>
      </c>
      <c r="R522" s="1488">
        <f t="shared" si="93"/>
        <v>0</v>
      </c>
      <c r="S522" s="1427">
        <f t="shared" si="94"/>
        <v>0</v>
      </c>
    </row>
    <row r="523" ht="13" spans="1:19">
      <c r="A523" s="1437"/>
      <c r="B523" s="1432"/>
      <c r="C523" s="1428">
        <f t="shared" si="85"/>
        <v>1</v>
      </c>
      <c r="D523" s="1435"/>
      <c r="E523" s="1428">
        <f t="shared" si="86"/>
        <v>1</v>
      </c>
      <c r="F523" s="1435"/>
      <c r="G523" s="1428">
        <f t="shared" si="87"/>
        <v>1</v>
      </c>
      <c r="H523" s="1435"/>
      <c r="I523" s="1428">
        <f t="shared" si="88"/>
        <v>1</v>
      </c>
      <c r="J523" s="1435"/>
      <c r="K523" s="1428">
        <f t="shared" si="89"/>
        <v>1</v>
      </c>
      <c r="L523" s="1435"/>
      <c r="M523" s="1428">
        <f t="shared" si="90"/>
        <v>1</v>
      </c>
      <c r="N523" s="1435"/>
      <c r="O523" s="1428">
        <f t="shared" si="91"/>
        <v>1</v>
      </c>
      <c r="P523" s="1435"/>
      <c r="Q523" s="1428">
        <f t="shared" si="92"/>
        <v>0</v>
      </c>
      <c r="R523" s="1488">
        <f t="shared" si="93"/>
        <v>0</v>
      </c>
      <c r="S523" s="1427">
        <f t="shared" si="94"/>
        <v>0</v>
      </c>
    </row>
    <row r="524" ht="13" spans="1:19">
      <c r="A524" s="1437"/>
      <c r="B524" s="1432"/>
      <c r="C524" s="1428">
        <f t="shared" si="85"/>
        <v>1</v>
      </c>
      <c r="D524" s="1435"/>
      <c r="E524" s="1428">
        <f t="shared" si="86"/>
        <v>1</v>
      </c>
      <c r="F524" s="1435"/>
      <c r="G524" s="1428">
        <f t="shared" si="87"/>
        <v>1</v>
      </c>
      <c r="H524" s="1435"/>
      <c r="I524" s="1428">
        <f t="shared" si="88"/>
        <v>1</v>
      </c>
      <c r="J524" s="1435"/>
      <c r="K524" s="1428">
        <f t="shared" si="89"/>
        <v>1</v>
      </c>
      <c r="L524" s="1435"/>
      <c r="M524" s="1428">
        <f t="shared" si="90"/>
        <v>1</v>
      </c>
      <c r="N524" s="1435"/>
      <c r="O524" s="1428">
        <f t="shared" si="91"/>
        <v>1</v>
      </c>
      <c r="P524" s="1435"/>
      <c r="Q524" s="1428">
        <f t="shared" si="92"/>
        <v>0</v>
      </c>
      <c r="R524" s="1488">
        <f t="shared" si="93"/>
        <v>0</v>
      </c>
      <c r="S524" s="142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
  <cols>
    <col min="1" max="1" width="23.3727272727273" style="1352" customWidth="1"/>
    <col min="2" max="2" width="12.5" style="1352" customWidth="1"/>
    <col min="3" max="3" width="12.1272727272727" style="1352" customWidth="1"/>
    <col min="4" max="4" width="14.1272727272727" style="1352" customWidth="1"/>
    <col min="5" max="5" width="12.5" style="1352" customWidth="1"/>
    <col min="6" max="16384" width="9" style="1352"/>
  </cols>
  <sheetData>
    <row r="1" ht="21" spans="1:16">
      <c r="A1" s="1353" t="s">
        <v>1703</v>
      </c>
      <c r="B1" s="1354"/>
      <c r="C1" s="1354"/>
      <c r="D1" s="1354"/>
      <c r="E1" s="1354"/>
      <c r="F1" s="1355"/>
      <c r="G1" s="1355"/>
      <c r="H1" s="1355"/>
      <c r="I1" s="1355"/>
      <c r="J1" s="1355"/>
      <c r="K1" s="1355"/>
      <c r="L1" s="1355"/>
      <c r="M1" s="1355"/>
      <c r="N1" s="1355"/>
      <c r="O1" s="1355"/>
      <c r="P1" s="1355"/>
    </row>
    <row r="2" ht="15" spans="1:16">
      <c r="A2" s="1356" t="s">
        <v>97</v>
      </c>
      <c r="B2" s="1357">
        <f ca="1">SUMIF(B6:B13,"&lt;&gt;#ref!",B6:B13)</f>
        <v>0</v>
      </c>
      <c r="C2" s="1356" t="s">
        <v>1704</v>
      </c>
      <c r="D2" s="1356" t="s">
        <v>1705</v>
      </c>
      <c r="E2" s="1358">
        <f ca="1">SUMIF(E6:E13,"&lt;&gt;#ref!",E6:E13)</f>
        <v>3013</v>
      </c>
      <c r="F2" s="1355"/>
      <c r="G2" s="1355"/>
      <c r="H2" s="1355"/>
      <c r="I2" s="1355"/>
      <c r="J2" s="1355"/>
      <c r="K2" s="1355"/>
      <c r="L2" s="1355"/>
      <c r="M2" s="1355"/>
      <c r="N2" s="1355"/>
      <c r="O2" s="1355"/>
      <c r="P2" s="1355"/>
    </row>
    <row r="3" ht="15.5" spans="1:16">
      <c r="A3" s="1356" t="s">
        <v>1706</v>
      </c>
      <c r="B3" s="1357">
        <f ca="1">ROUND(B2*10000/E2,0)</f>
        <v>0</v>
      </c>
      <c r="C3" s="1356" t="s">
        <v>1707</v>
      </c>
      <c r="D3" s="1355"/>
      <c r="E3" s="1355"/>
      <c r="F3" s="1355"/>
      <c r="G3" s="1355"/>
      <c r="H3" s="1355"/>
      <c r="I3" s="1355"/>
      <c r="J3" s="1355"/>
      <c r="K3" s="1355"/>
      <c r="L3" s="1355"/>
      <c r="M3" s="1355"/>
      <c r="N3" s="1355"/>
      <c r="O3" s="1355"/>
      <c r="P3" s="1355"/>
    </row>
    <row r="4" ht="15.5" spans="1:16">
      <c r="A4" s="1359"/>
      <c r="B4" s="1355"/>
      <c r="C4" s="1355"/>
      <c r="D4" s="1355"/>
      <c r="E4" s="1355"/>
      <c r="F4" s="1355"/>
      <c r="G4" s="1355"/>
      <c r="H4" s="1355"/>
      <c r="I4" s="1355"/>
      <c r="J4" s="1355"/>
      <c r="K4" s="1355"/>
      <c r="L4" s="1355"/>
      <c r="M4" s="1355"/>
      <c r="N4" s="1355"/>
      <c r="O4" s="1355"/>
      <c r="P4" s="1355"/>
    </row>
    <row r="5" ht="30" spans="1:16">
      <c r="A5" s="1360" t="s">
        <v>1708</v>
      </c>
      <c r="B5" s="1361" t="s">
        <v>1709</v>
      </c>
      <c r="C5" s="1362"/>
      <c r="D5" s="1355"/>
      <c r="E5" s="1363" t="s">
        <v>1710</v>
      </c>
      <c r="F5" s="1355"/>
      <c r="G5" s="1355"/>
      <c r="H5" s="1355"/>
      <c r="I5" s="1355"/>
      <c r="J5" s="1355"/>
      <c r="K5" s="1355"/>
      <c r="L5" s="1355"/>
      <c r="M5" s="1355"/>
      <c r="N5" s="1355"/>
      <c r="O5" s="1355"/>
      <c r="P5" s="1355"/>
    </row>
    <row r="6" ht="15" spans="1:16">
      <c r="A6" s="1364" t="s">
        <v>1711</v>
      </c>
      <c r="B6" s="1357">
        <f ca="1">SUMIF(INDIRECT("'"&amp;A6&amp;"'"&amp;"!A:A"),"总价",INDIRECT("'"&amp;A6&amp;"'"&amp;"!B:B"))</f>
        <v>0</v>
      </c>
      <c r="C6" s="1356" t="s">
        <v>1704</v>
      </c>
      <c r="D6" s="1355"/>
      <c r="E6" s="1358">
        <f ca="1">SUMIF(INDIRECT("'"&amp;A6&amp;"'"&amp;"!C:C"),"建筑面积",INDIRECT("'"&amp;A6&amp;"'"&amp;"!D:D"))</f>
        <v>3013</v>
      </c>
      <c r="F6" s="1355"/>
      <c r="G6" s="1355"/>
      <c r="H6" s="1355"/>
      <c r="I6" s="1355"/>
      <c r="J6" s="1355"/>
      <c r="K6" s="1355"/>
      <c r="L6" s="1355"/>
      <c r="M6" s="1355"/>
      <c r="N6" s="1355"/>
      <c r="O6" s="1355"/>
      <c r="P6" s="1355"/>
    </row>
    <row r="7" ht="15.5" spans="1:16">
      <c r="A7" s="1364"/>
      <c r="B7" s="1357" t="e">
        <f ca="1">SUMIF(INDIRECT("'"&amp;A7&amp;"'"&amp;"!A:A"),"总价",INDIRECT("'"&amp;A7&amp;"'"&amp;"!B:B"))</f>
        <v>#REF!</v>
      </c>
      <c r="C7" s="1356" t="s">
        <v>1704</v>
      </c>
      <c r="D7" s="1355"/>
      <c r="E7" s="1358" t="e">
        <f ca="1" t="shared" ref="E7:E13" si="0">SUMIF(INDIRECT("'"&amp;A7&amp;"'"&amp;"!C:C"),"建筑面积",INDIRECT("'"&amp;A7&amp;"'"&amp;"!D:D"))</f>
        <v>#REF!</v>
      </c>
      <c r="F7" s="1355"/>
      <c r="G7" s="1355"/>
      <c r="H7" s="1355"/>
      <c r="I7" s="1355"/>
      <c r="J7" s="1355"/>
      <c r="K7" s="1355"/>
      <c r="L7" s="1355"/>
      <c r="M7" s="1355"/>
      <c r="N7" s="1355"/>
      <c r="O7" s="1355"/>
      <c r="P7" s="1355"/>
    </row>
    <row r="8" ht="15.5" spans="1:16">
      <c r="A8" s="1364"/>
      <c r="B8" s="1357" t="e">
        <f ca="1" t="shared" ref="B8:B13" si="1">SUMIF(INDIRECT("'"&amp;A8&amp;"'"&amp;"!A:A"),"总价",INDIRECT("'"&amp;A8&amp;"'"&amp;"!B:B"))</f>
        <v>#REF!</v>
      </c>
      <c r="C8" s="1356" t="s">
        <v>1704</v>
      </c>
      <c r="D8" s="1355"/>
      <c r="E8" s="1358" t="e">
        <f ca="1" t="shared" si="0"/>
        <v>#REF!</v>
      </c>
      <c r="F8" s="1355"/>
      <c r="G8" s="1355"/>
      <c r="H8" s="1355"/>
      <c r="I8" s="1355"/>
      <c r="J8" s="1355"/>
      <c r="K8" s="1355"/>
      <c r="L8" s="1355"/>
      <c r="M8" s="1355"/>
      <c r="N8" s="1355"/>
      <c r="O8" s="1355"/>
      <c r="P8" s="1355"/>
    </row>
    <row r="9" ht="15.5" spans="1:16">
      <c r="A9" s="1364"/>
      <c r="B9" s="1357" t="e">
        <f ca="1" t="shared" si="1"/>
        <v>#REF!</v>
      </c>
      <c r="C9" s="1356" t="s">
        <v>1704</v>
      </c>
      <c r="D9" s="1355"/>
      <c r="E9" s="1358" t="e">
        <f ca="1" t="shared" si="0"/>
        <v>#REF!</v>
      </c>
      <c r="F9" s="1355"/>
      <c r="G9" s="1355"/>
      <c r="H9" s="1355"/>
      <c r="I9" s="1355"/>
      <c r="J9" s="1355"/>
      <c r="K9" s="1355"/>
      <c r="L9" s="1355"/>
      <c r="M9" s="1355"/>
      <c r="N9" s="1355"/>
      <c r="O9" s="1355"/>
      <c r="P9" s="1355"/>
    </row>
    <row r="10" ht="15.5" spans="1:16">
      <c r="A10" s="1364"/>
      <c r="B10" s="1357" t="e">
        <f ca="1" t="shared" si="1"/>
        <v>#REF!</v>
      </c>
      <c r="C10" s="1356" t="s">
        <v>1704</v>
      </c>
      <c r="D10" s="1355"/>
      <c r="E10" s="1358" t="e">
        <f ca="1" t="shared" si="0"/>
        <v>#REF!</v>
      </c>
      <c r="F10" s="1355"/>
      <c r="G10" s="1355"/>
      <c r="H10" s="1355"/>
      <c r="I10" s="1355"/>
      <c r="J10" s="1355"/>
      <c r="K10" s="1355"/>
      <c r="L10" s="1355"/>
      <c r="M10" s="1355"/>
      <c r="N10" s="1355"/>
      <c r="O10" s="1355"/>
      <c r="P10" s="1355"/>
    </row>
    <row r="11" ht="15.5" spans="1:16">
      <c r="A11" s="1364"/>
      <c r="B11" s="1357" t="e">
        <f ca="1" t="shared" si="1"/>
        <v>#REF!</v>
      </c>
      <c r="C11" s="1356" t="s">
        <v>1704</v>
      </c>
      <c r="D11" s="1355"/>
      <c r="E11" s="1358" t="e">
        <f ca="1" t="shared" si="0"/>
        <v>#REF!</v>
      </c>
      <c r="F11" s="1355"/>
      <c r="G11" s="1355"/>
      <c r="H11" s="1355"/>
      <c r="I11" s="1355"/>
      <c r="J11" s="1355"/>
      <c r="K11" s="1355"/>
      <c r="L11" s="1355"/>
      <c r="M11" s="1355"/>
      <c r="N11" s="1355"/>
      <c r="O11" s="1355"/>
      <c r="P11" s="1355"/>
    </row>
    <row r="12" ht="15.5" spans="1:16">
      <c r="A12" s="1364"/>
      <c r="B12" s="1357" t="e">
        <f ca="1" t="shared" si="1"/>
        <v>#REF!</v>
      </c>
      <c r="C12" s="1356" t="s">
        <v>1704</v>
      </c>
      <c r="D12" s="1355"/>
      <c r="E12" s="1358" t="e">
        <f ca="1" t="shared" si="0"/>
        <v>#REF!</v>
      </c>
      <c r="F12" s="1355"/>
      <c r="G12" s="1355"/>
      <c r="H12" s="1355"/>
      <c r="I12" s="1355"/>
      <c r="J12" s="1355"/>
      <c r="K12" s="1355"/>
      <c r="L12" s="1355"/>
      <c r="M12" s="1355"/>
      <c r="N12" s="1355"/>
      <c r="O12" s="1355"/>
      <c r="P12" s="1355"/>
    </row>
    <row r="13" ht="15.5" spans="1:16">
      <c r="A13" s="1364"/>
      <c r="B13" s="1357" t="e">
        <f ca="1" t="shared" si="1"/>
        <v>#REF!</v>
      </c>
      <c r="C13" s="1356" t="s">
        <v>1704</v>
      </c>
      <c r="D13" s="1355"/>
      <c r="E13" s="1358" t="e">
        <f ca="1" t="shared" si="0"/>
        <v>#REF!</v>
      </c>
      <c r="F13" s="1355"/>
      <c r="G13" s="1355"/>
      <c r="H13" s="1355"/>
      <c r="I13" s="1355"/>
      <c r="J13" s="1355"/>
      <c r="K13" s="1355"/>
      <c r="L13" s="1355"/>
      <c r="M13" s="1355"/>
      <c r="N13" s="1355"/>
      <c r="O13" s="1355"/>
      <c r="P13" s="1355"/>
    </row>
    <row r="14" spans="1:16">
      <c r="A14" s="1355"/>
      <c r="B14" s="1355"/>
      <c r="C14" s="1355"/>
      <c r="D14" s="1355"/>
      <c r="E14" s="1355"/>
      <c r="F14" s="1355"/>
      <c r="G14" s="1355"/>
      <c r="H14" s="1355"/>
      <c r="I14" s="1355"/>
      <c r="J14" s="1355"/>
      <c r="K14" s="1355"/>
      <c r="L14" s="1355"/>
      <c r="M14" s="1355"/>
      <c r="N14" s="1355"/>
      <c r="O14" s="1355"/>
      <c r="P14" s="1355"/>
    </row>
    <row r="15" spans="1:16">
      <c r="A15" s="1355"/>
      <c r="B15" s="1355"/>
      <c r="C15" s="1355"/>
      <c r="D15" s="1355"/>
      <c r="E15" s="1355"/>
      <c r="F15" s="1355"/>
      <c r="G15" s="1355"/>
      <c r="H15" s="1355"/>
      <c r="I15" s="1355"/>
      <c r="J15" s="1355"/>
      <c r="K15" s="1355"/>
      <c r="L15" s="1355"/>
      <c r="M15" s="1355"/>
      <c r="N15" s="1355"/>
      <c r="O15" s="1355"/>
      <c r="P15" s="1355"/>
    </row>
    <row r="16" spans="1:16">
      <c r="A16" s="1355"/>
      <c r="B16" s="1355"/>
      <c r="C16" s="1355"/>
      <c r="D16" s="1355"/>
      <c r="E16" s="1355"/>
      <c r="F16" s="1355"/>
      <c r="G16" s="1355"/>
      <c r="H16" s="1355"/>
      <c r="I16" s="1355"/>
      <c r="J16" s="1355"/>
      <c r="K16" s="1355"/>
      <c r="L16" s="1355"/>
      <c r="M16" s="1355"/>
      <c r="N16" s="1355"/>
      <c r="O16" s="1355"/>
      <c r="P16" s="1355"/>
    </row>
    <row r="17" spans="1:16">
      <c r="A17" s="1355"/>
      <c r="B17" s="1355"/>
      <c r="C17" s="1355"/>
      <c r="D17" s="1355"/>
      <c r="E17" s="1355"/>
      <c r="F17" s="1355"/>
      <c r="G17" s="1355"/>
      <c r="H17" s="1355"/>
      <c r="I17" s="1355"/>
      <c r="J17" s="1355"/>
      <c r="K17" s="1355"/>
      <c r="L17" s="1355"/>
      <c r="M17" s="1355"/>
      <c r="N17" s="1355"/>
      <c r="O17" s="1355"/>
      <c r="P17" s="1355"/>
    </row>
    <row r="18" spans="1:16">
      <c r="A18" s="1355"/>
      <c r="B18" s="1355"/>
      <c r="C18" s="1355"/>
      <c r="D18" s="1355"/>
      <c r="E18" s="1355"/>
      <c r="F18" s="1355"/>
      <c r="G18" s="1355"/>
      <c r="H18" s="1355"/>
      <c r="I18" s="1355"/>
      <c r="J18" s="1355"/>
      <c r="K18" s="1355"/>
      <c r="L18" s="1355"/>
      <c r="M18" s="1355"/>
      <c r="N18" s="1355"/>
      <c r="O18" s="1355"/>
      <c r="P18" s="1355"/>
    </row>
    <row r="19" spans="1:16">
      <c r="A19" s="1355"/>
      <c r="B19" s="1355"/>
      <c r="C19" s="1355"/>
      <c r="D19" s="1355"/>
      <c r="E19" s="1355"/>
      <c r="F19" s="1355"/>
      <c r="G19" s="1355"/>
      <c r="H19" s="1355"/>
      <c r="I19" s="1355"/>
      <c r="J19" s="1355"/>
      <c r="K19" s="1355"/>
      <c r="L19" s="1355"/>
      <c r="M19" s="1355"/>
      <c r="N19" s="1355"/>
      <c r="O19" s="1355"/>
      <c r="P19" s="1355"/>
    </row>
    <row r="20" spans="1:16">
      <c r="A20" s="1355"/>
      <c r="B20" s="1355"/>
      <c r="C20" s="1355"/>
      <c r="D20" s="1355"/>
      <c r="E20" s="1355"/>
      <c r="F20" s="1355"/>
      <c r="G20" s="1355"/>
      <c r="H20" s="1355"/>
      <c r="I20" s="1355"/>
      <c r="J20" s="1355"/>
      <c r="K20" s="1355"/>
      <c r="L20" s="1355"/>
      <c r="M20" s="1355"/>
      <c r="N20" s="1355"/>
      <c r="O20" s="1355"/>
      <c r="P20" s="1355"/>
    </row>
    <row r="21" spans="1:16">
      <c r="A21" s="1355"/>
      <c r="B21" s="1355"/>
      <c r="C21" s="1355"/>
      <c r="D21" s="1355"/>
      <c r="E21" s="1355"/>
      <c r="F21" s="1355"/>
      <c r="G21" s="1355"/>
      <c r="H21" s="1355"/>
      <c r="I21" s="1355"/>
      <c r="J21" s="1355"/>
      <c r="K21" s="1355"/>
      <c r="L21" s="1355"/>
      <c r="M21" s="1355"/>
      <c r="N21" s="1355"/>
      <c r="O21" s="1355"/>
      <c r="P21" s="135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3" workbookViewId="0">
      <selection activeCell="D34" sqref="D34"/>
    </sheetView>
  </sheetViews>
  <sheetFormatPr defaultColWidth="12" defaultRowHeight="12.5"/>
  <cols>
    <col min="1" max="1" width="9.75454545454545" style="954" customWidth="1"/>
    <col min="2" max="2" width="22.5" style="955" customWidth="1"/>
    <col min="3" max="3" width="12" style="956"/>
    <col min="4" max="4" width="14.8727272727273" style="956" customWidth="1"/>
    <col min="5" max="5" width="14.6272727272727" style="956" customWidth="1"/>
    <col min="6" max="8" width="12" style="956"/>
    <col min="9" max="9" width="12.2545454545455" style="956" customWidth="1"/>
    <col min="10" max="10" width="12" style="956"/>
    <col min="11" max="11" width="8.12727272727273" style="957" customWidth="1"/>
    <col min="12" max="12" width="19.5" style="956" customWidth="1"/>
    <col min="13" max="13" width="8.5" style="956" customWidth="1"/>
    <col min="14" max="14" width="9.75454545454545" style="956" customWidth="1"/>
    <col min="15" max="25" width="12" style="956"/>
    <col min="26" max="26" width="9.37272727272727" style="954" customWidth="1"/>
    <col min="27" max="32" width="9.37272727272727" style="958" customWidth="1"/>
    <col min="33" max="36" width="9.37272727272727" style="954" customWidth="1"/>
    <col min="37" max="38" width="9.37272727272727" style="956" customWidth="1"/>
    <col min="39" max="16384" width="12" style="956"/>
  </cols>
  <sheetData>
    <row r="1" ht="30" spans="1:36">
      <c r="A1" s="389" t="s">
        <v>1712</v>
      </c>
      <c r="B1" s="390"/>
      <c r="C1" s="393" t="s">
        <v>1158</v>
      </c>
      <c r="D1" s="959">
        <f>SUM(D33:D34,D37:D42)</f>
        <v>3013</v>
      </c>
      <c r="E1" s="960"/>
      <c r="F1" s="960"/>
      <c r="G1" s="960"/>
      <c r="H1" s="960"/>
      <c r="I1" s="960"/>
      <c r="J1" s="960"/>
      <c r="K1" s="952"/>
      <c r="L1" s="1169" t="s">
        <v>1713</v>
      </c>
      <c r="M1" s="1170">
        <f>SUMPRODUCT((区片价!B5:B9=I2)*(区片价!C3:G3=E2)*(区片价!C5:G9))</f>
        <v>0</v>
      </c>
      <c r="N1" s="1171">
        <f>SUMPRODUCT((因素修正幅度!B5:B9=I2)*(因素修正幅度!C3:G3=E2)*(因素修正幅度!C5:G9))</f>
        <v>0</v>
      </c>
      <c r="O1" s="953"/>
      <c r="P1" s="953"/>
      <c r="Q1" s="952"/>
      <c r="R1" s="1263" t="s">
        <v>1714</v>
      </c>
      <c r="S1" s="1263" t="s">
        <v>1715</v>
      </c>
      <c r="T1" s="1263" t="s">
        <v>1716</v>
      </c>
      <c r="U1" s="1263" t="s">
        <v>1717</v>
      </c>
      <c r="V1" s="1263" t="s">
        <v>1718</v>
      </c>
      <c r="W1" s="1264"/>
      <c r="X1" s="1264"/>
      <c r="Y1" s="1264"/>
      <c r="Z1" s="1264"/>
      <c r="AA1" s="1264"/>
      <c r="AB1" s="1264"/>
      <c r="AC1" s="1277"/>
      <c r="AD1" s="1278"/>
      <c r="AE1" s="1278"/>
      <c r="AF1" s="1278"/>
      <c r="AG1" s="1278"/>
      <c r="AH1" s="1278"/>
      <c r="AI1" s="1278"/>
      <c r="AJ1" s="1287"/>
    </row>
    <row r="2" ht="15.5" spans="1:36">
      <c r="A2" s="393" t="s">
        <v>995</v>
      </c>
      <c r="B2" s="397">
        <f>C30</f>
        <v>0</v>
      </c>
      <c r="C2" s="961" t="s">
        <v>996</v>
      </c>
      <c r="D2" s="962" t="s">
        <v>1719</v>
      </c>
      <c r="E2" s="963" t="s">
        <v>408</v>
      </c>
      <c r="F2" s="962" t="s">
        <v>1720</v>
      </c>
      <c r="G2" s="964" t="str">
        <f>IF(E2="商业",项目基本情况!B37,IF(E2="办公",项目基本情况!C37,IF(E2="住宅",项目基本情况!D37,IF(E2="工业",项目基本情况!E37,项目基本情况!F37))))</f>
        <v>四级</v>
      </c>
      <c r="H2" s="962" t="s">
        <v>1721</v>
      </c>
      <c r="I2" s="964" t="str">
        <f>IF(E2="商业",项目基本情况!B38,IF(E2="办公",项目基本情况!C38,IF(E2="住宅",项目基本情况!D38,IF(E2="工业",项目基本情况!E38,项目基本情况!F38))))</f>
        <v>Ⅳ-电子城东</v>
      </c>
      <c r="J2" s="1172"/>
      <c r="K2" s="952"/>
      <c r="L2" s="1173" t="s">
        <v>1722</v>
      </c>
      <c r="M2" s="1174">
        <f>SUMPRODUCT((区片价!B10:B29=I2)*(区片价!C3:G3=E2)*(区片价!C10:G29))</f>
        <v>0</v>
      </c>
      <c r="N2" s="1171">
        <f>SUMPRODUCT((因素修正幅度!B10:B29=I2)*(因素修正幅度!C3:G3=E2)*(因素修正幅度!C10:G29))</f>
        <v>0</v>
      </c>
      <c r="O2" s="952"/>
      <c r="P2" s="952"/>
      <c r="Q2" s="952"/>
      <c r="R2" s="1263">
        <v>1</v>
      </c>
      <c r="S2" s="1265">
        <f>ROUND(SUMPRODUCT((B106:B110=R2)*(C105:N105=G2)*(C106:N110)),4)</f>
        <v>1.5019</v>
      </c>
      <c r="T2" s="1265">
        <f t="shared" ref="T2:T16" si="0">ROUND($C$5*$C$22*$C$23*$C$24*S2*$C$28,0)</f>
        <v>6541</v>
      </c>
      <c r="U2" s="1266">
        <f>'数据-基础表'!I14</f>
        <v>0</v>
      </c>
      <c r="V2" s="1265">
        <f>ROUND(T2*U2/10000,0)</f>
        <v>0</v>
      </c>
      <c r="W2" s="1264"/>
      <c r="X2" s="1264"/>
      <c r="Y2" s="1264"/>
      <c r="Z2" s="1264"/>
      <c r="AA2" s="1264"/>
      <c r="AB2" s="1264"/>
      <c r="AC2" s="1277"/>
      <c r="AD2" s="1278"/>
      <c r="AE2" s="1278"/>
      <c r="AF2" s="1278"/>
      <c r="AG2" s="1278"/>
      <c r="AH2" s="1278"/>
      <c r="AI2" s="1278"/>
      <c r="AJ2" s="1287"/>
    </row>
    <row r="3" ht="15.5" spans="1:36">
      <c r="A3" s="396" t="s">
        <v>997</v>
      </c>
      <c r="B3" s="397">
        <f>ROUND(B2*10000/D1,0)</f>
        <v>0</v>
      </c>
      <c r="C3" s="961" t="s">
        <v>998</v>
      </c>
      <c r="D3" s="962" t="s">
        <v>1723</v>
      </c>
      <c r="E3" s="965" t="s">
        <v>1724</v>
      </c>
      <c r="F3" s="966" t="s">
        <v>1725</v>
      </c>
      <c r="G3" s="967">
        <f>IF(F3="宗地容积率",'数据-汇总表'!I4,IF(F3="估价对象容积率",'数据-汇总表'!I6,'数据-汇总表'!I7))</f>
        <v>2.5</v>
      </c>
      <c r="H3" s="968" t="s">
        <v>1726</v>
      </c>
      <c r="I3" s="1175">
        <v>1</v>
      </c>
      <c r="J3" s="1172" t="s">
        <v>1727</v>
      </c>
      <c r="K3" s="952"/>
      <c r="L3" s="1173" t="s">
        <v>1728</v>
      </c>
      <c r="M3" s="1174">
        <f>SUMPRODUCT((区片价!B30:B54=I2)*(区片价!C3:G3=E2)*(区片价!C30:G54))</f>
        <v>0</v>
      </c>
      <c r="N3" s="1171">
        <f>SUMPRODUCT((因素修正幅度!B30:B54=I2)*(因素修正幅度!C3:G3=E2)*(因素修正幅度!C30:G54))</f>
        <v>0</v>
      </c>
      <c r="O3" s="952"/>
      <c r="P3" s="952"/>
      <c r="Q3" s="952"/>
      <c r="R3" s="1263">
        <v>2</v>
      </c>
      <c r="S3" s="1265">
        <f>ROUND(SUMPRODUCT((B106:B110=R3)*(C105:N105=G2)*(C106:N110)),4)</f>
        <v>1.1838</v>
      </c>
      <c r="T3" s="1265">
        <f t="shared" si="0"/>
        <v>5156</v>
      </c>
      <c r="U3" s="1266">
        <f>'数据-基础表'!I15</f>
        <v>0</v>
      </c>
      <c r="V3" s="1265">
        <f t="shared" ref="V3:V16" si="1">ROUND(T3*U3/10000,0)</f>
        <v>0</v>
      </c>
      <c r="W3" s="1264"/>
      <c r="X3" s="1264"/>
      <c r="Y3" s="1264"/>
      <c r="Z3" s="1264"/>
      <c r="AA3" s="1264"/>
      <c r="AB3" s="1264"/>
      <c r="AC3" s="1277"/>
      <c r="AD3" s="1278"/>
      <c r="AE3" s="1278"/>
      <c r="AF3" s="1278"/>
      <c r="AG3" s="1278"/>
      <c r="AH3" s="1278"/>
      <c r="AI3" s="1278"/>
      <c r="AJ3" s="1287"/>
    </row>
    <row r="4" ht="15.5" spans="1:36">
      <c r="A4" s="969"/>
      <c r="B4" s="970"/>
      <c r="C4" s="970"/>
      <c r="D4" s="971"/>
      <c r="E4" s="971"/>
      <c r="F4" s="971"/>
      <c r="G4" s="971"/>
      <c r="H4" s="971"/>
      <c r="I4" s="971"/>
      <c r="J4" s="1176"/>
      <c r="K4" s="952"/>
      <c r="L4" s="1173" t="s">
        <v>1729</v>
      </c>
      <c r="M4" s="1174">
        <f>SUMPRODUCT((区片价!B55:B86=I2)*(区片价!C3:G3=E2)*(区片价!C55:G86))</f>
        <v>4770</v>
      </c>
      <c r="N4" s="1171">
        <f>SUMPRODUCT((因素修正幅度!B55:B86=I2)*(因素修正幅度!C3:G3=E2)*(因素修正幅度!C55:G86))</f>
        <v>0.1</v>
      </c>
      <c r="O4" s="952"/>
      <c r="P4" s="952"/>
      <c r="Q4" s="952"/>
      <c r="R4" s="1263">
        <v>3</v>
      </c>
      <c r="S4" s="1265">
        <f>ROUND(SUMPRODUCT((B106:B110=R4)*(C105:N105=G2)*(C106:N110)),4)</f>
        <v>1.0005</v>
      </c>
      <c r="T4" s="1265">
        <f t="shared" si="0"/>
        <v>4357</v>
      </c>
      <c r="U4" s="1266">
        <f>'数据-基础表'!I16</f>
        <v>0</v>
      </c>
      <c r="V4" s="1265">
        <f t="shared" si="1"/>
        <v>0</v>
      </c>
      <c r="W4" s="1264"/>
      <c r="X4" s="1264"/>
      <c r="Y4" s="1264"/>
      <c r="Z4" s="1264"/>
      <c r="AA4" s="1264"/>
      <c r="AB4" s="1264"/>
      <c r="AC4" s="1277"/>
      <c r="AD4" s="1278"/>
      <c r="AE4" s="1278"/>
      <c r="AF4" s="1278"/>
      <c r="AG4" s="1278"/>
      <c r="AH4" s="1278"/>
      <c r="AI4" s="1278"/>
      <c r="AJ4" s="1287"/>
    </row>
    <row r="5" s="951" customFormat="1" ht="16.25" spans="1:36">
      <c r="A5" s="972" t="s">
        <v>899</v>
      </c>
      <c r="B5" s="973" t="s">
        <v>1730</v>
      </c>
      <c r="C5" s="974">
        <f>ROUND(IF(E2="商业",C6*C7*C17+C20,(IF(E2="住宅",C6*C13*C17+C20,IF(E2="办公",C6*C12*C17+C20,C6+C20)))),0)</f>
        <v>4770</v>
      </c>
      <c r="D5" s="975">
        <f>ROUND(C6*C17+C20,0)</f>
        <v>4770</v>
      </c>
      <c r="E5" s="975"/>
      <c r="F5" s="976"/>
      <c r="G5" s="977"/>
      <c r="H5" s="977"/>
      <c r="I5" s="977"/>
      <c r="J5" s="1177"/>
      <c r="K5" s="1178"/>
      <c r="L5" s="1173" t="s">
        <v>1731</v>
      </c>
      <c r="M5" s="1174">
        <f>SUMPRODUCT((区片价!B87:B126=I2)*(区片价!C3:G3=E2)*(区片价!C87:G126))</f>
        <v>0</v>
      </c>
      <c r="N5" s="1171">
        <f>SUMPRODUCT((因素修正幅度!B87:B126=I2)*(因素修正幅度!C3:G3=E2)*(因素修正幅度!C87:G126))</f>
        <v>0</v>
      </c>
      <c r="O5" s="952"/>
      <c r="P5" s="952"/>
      <c r="Q5" s="952"/>
      <c r="R5" s="1263">
        <v>4</v>
      </c>
      <c r="S5" s="1265">
        <f>ROUND(SUMPRODUCT((B106:B110=R5)*(C105:N105=G2)*(C106:N110)),4)</f>
        <v>0.8824</v>
      </c>
      <c r="T5" s="1265">
        <f t="shared" si="0"/>
        <v>3843</v>
      </c>
      <c r="U5" s="1266"/>
      <c r="V5" s="1265">
        <f t="shared" si="1"/>
        <v>0</v>
      </c>
      <c r="W5" s="1264"/>
      <c r="X5" s="1264"/>
      <c r="Y5" s="1264"/>
      <c r="Z5" s="1264"/>
      <c r="AA5" s="1264"/>
      <c r="AB5" s="1264"/>
      <c r="AC5" s="1279"/>
      <c r="AD5" s="1280"/>
      <c r="AE5" s="1280"/>
      <c r="AF5" s="1280"/>
      <c r="AG5" s="1280"/>
      <c r="AH5" s="1280"/>
      <c r="AI5" s="1280"/>
      <c r="AJ5" s="1288"/>
    </row>
    <row r="6" ht="16.25" spans="1:36">
      <c r="A6" s="978" t="s">
        <v>1000</v>
      </c>
      <c r="B6" s="979" t="s">
        <v>1732</v>
      </c>
      <c r="C6" s="980">
        <f>SUMIF(L1:L12,G2,M1:M12)</f>
        <v>4770</v>
      </c>
      <c r="D6" s="981"/>
      <c r="E6" s="982"/>
      <c r="F6" s="982"/>
      <c r="G6" s="983"/>
      <c r="H6" s="983"/>
      <c r="I6" s="983"/>
      <c r="J6" s="1179"/>
      <c r="K6" s="1180"/>
      <c r="L6" s="1173" t="s">
        <v>1733</v>
      </c>
      <c r="M6" s="1174">
        <f>SUMPRODUCT((区片价!B127:B189=I2)*(区片价!C3:G3=E2)*(区片价!C127:G189))</f>
        <v>0</v>
      </c>
      <c r="N6" s="1171">
        <f>SUMPRODUCT((因素修正幅度!B127:B189=I2)*(因素修正幅度!C3:G3=E2)*(因素修正幅度!C127:G189))</f>
        <v>0</v>
      </c>
      <c r="O6" s="952"/>
      <c r="P6" s="952"/>
      <c r="Q6" s="952"/>
      <c r="R6" s="1263">
        <v>5</v>
      </c>
      <c r="S6" s="1265">
        <f>ROUND(SUMPRODUCT((B106:B110=R6)*(C105:N105=G2)*(C106:N110)),4)</f>
        <v>0.848</v>
      </c>
      <c r="T6" s="1265">
        <f t="shared" si="0"/>
        <v>3693</v>
      </c>
      <c r="U6" s="1266"/>
      <c r="V6" s="1265">
        <f t="shared" si="1"/>
        <v>0</v>
      </c>
      <c r="W6" s="1264"/>
      <c r="X6" s="1264"/>
      <c r="Y6" s="1264"/>
      <c r="Z6" s="1264"/>
      <c r="AA6" s="1264"/>
      <c r="AB6" s="1264"/>
      <c r="AC6" s="1279"/>
      <c r="AD6" s="1280"/>
      <c r="AE6" s="1280"/>
      <c r="AF6" s="1280"/>
      <c r="AG6" s="1280"/>
      <c r="AH6" s="1280"/>
      <c r="AI6" s="1280"/>
      <c r="AJ6" s="1288"/>
    </row>
    <row r="7" ht="26.75" spans="1:36">
      <c r="A7" s="984" t="s">
        <v>1734</v>
      </c>
      <c r="B7" s="985" t="s">
        <v>1735</v>
      </c>
      <c r="C7" s="986">
        <f>IF(C8="不临65条商业街",1,ROUND(1+(1.6*E8+1.2*E9+0.8*E10+0.4*E11)*C9,4))</f>
        <v>1</v>
      </c>
      <c r="D7" s="987" t="s">
        <v>1736</v>
      </c>
      <c r="E7" s="988"/>
      <c r="F7" s="989"/>
      <c r="G7" s="990"/>
      <c r="H7" s="990"/>
      <c r="I7" s="990"/>
      <c r="J7" s="1181"/>
      <c r="K7" s="1180"/>
      <c r="L7" s="1173" t="s">
        <v>1737</v>
      </c>
      <c r="M7" s="1174">
        <f>SUMPRODUCT((区片价!B190:B233=I2)*(区片价!C3:G3=E2)*(区片价!C190:G233))</f>
        <v>0</v>
      </c>
      <c r="N7" s="1171">
        <f>SUMPRODUCT((因素修正幅度!B190:B233=I2)*(因素修正幅度!C3:G3=E2)*(因素修正幅度!C190:G233))</f>
        <v>0</v>
      </c>
      <c r="O7" s="952"/>
      <c r="P7" s="952"/>
      <c r="Q7" s="952"/>
      <c r="R7" s="1263">
        <v>6</v>
      </c>
      <c r="S7" s="1267"/>
      <c r="T7" s="1265">
        <f t="shared" si="0"/>
        <v>0</v>
      </c>
      <c r="U7" s="1266"/>
      <c r="V7" s="1265">
        <f t="shared" si="1"/>
        <v>0</v>
      </c>
      <c r="W7" s="1268" t="s">
        <v>1738</v>
      </c>
      <c r="X7" s="1269" t="str">
        <f>G2</f>
        <v>四级</v>
      </c>
      <c r="Y7" s="1269" t="s">
        <v>1739</v>
      </c>
      <c r="Z7" s="1281">
        <f>G3</f>
        <v>2.5</v>
      </c>
      <c r="AA7" s="1264"/>
      <c r="AB7" s="1264"/>
      <c r="AC7" s="1277"/>
      <c r="AD7" s="1278"/>
      <c r="AE7" s="1278"/>
      <c r="AF7" s="1278"/>
      <c r="AG7" s="1278"/>
      <c r="AH7" s="1278"/>
      <c r="AI7" s="1278"/>
      <c r="AJ7" s="1287"/>
    </row>
    <row r="8" ht="26" spans="1:36">
      <c r="A8" s="991"/>
      <c r="B8" s="968" t="s">
        <v>1740</v>
      </c>
      <c r="C8" s="992" t="s">
        <v>1741</v>
      </c>
      <c r="D8" s="993" t="s">
        <v>1742</v>
      </c>
      <c r="E8" s="994" t="e">
        <f>ROUND(C11/E7,4)</f>
        <v>#DIV/0!</v>
      </c>
      <c r="F8" s="995" t="s">
        <v>1743</v>
      </c>
      <c r="G8" s="996"/>
      <c r="H8" s="996"/>
      <c r="I8" s="996"/>
      <c r="J8" s="1182"/>
      <c r="K8" s="952"/>
      <c r="L8" s="1173" t="s">
        <v>1744</v>
      </c>
      <c r="M8" s="1174">
        <f>SUMPRODUCT((区片价!B234:B276=I2)*(区片价!C3:G3=E2)*(区片价!C234:G276))</f>
        <v>0</v>
      </c>
      <c r="N8" s="1171">
        <f>SUMPRODUCT((因素修正幅度!B234:B276=I2)*(因素修正幅度!C3:G3=E2)*(因素修正幅度!C234:G276))</f>
        <v>0</v>
      </c>
      <c r="O8" s="952"/>
      <c r="P8" s="952"/>
      <c r="Q8" s="952"/>
      <c r="R8" s="1263">
        <v>7</v>
      </c>
      <c r="S8" s="1266"/>
      <c r="T8" s="1265">
        <f t="shared" si="0"/>
        <v>0</v>
      </c>
      <c r="U8" s="1266"/>
      <c r="V8" s="1265">
        <f t="shared" si="1"/>
        <v>0</v>
      </c>
      <c r="W8" s="1270" t="s">
        <v>1745</v>
      </c>
      <c r="X8" s="1271"/>
      <c r="Y8" s="1282" t="s">
        <v>1746</v>
      </c>
      <c r="Z8" s="1282" t="s">
        <v>1747</v>
      </c>
      <c r="AA8" s="1282" t="s">
        <v>1748</v>
      </c>
      <c r="AB8" s="1282" t="s">
        <v>1749</v>
      </c>
      <c r="AC8" s="1282" t="s">
        <v>1750</v>
      </c>
      <c r="AD8" s="1282" t="s">
        <v>1751</v>
      </c>
      <c r="AE8" s="1282" t="s">
        <v>1752</v>
      </c>
      <c r="AF8" s="1282" t="s">
        <v>1753</v>
      </c>
      <c r="AG8" s="1282" t="s">
        <v>1754</v>
      </c>
      <c r="AH8" s="1282" t="s">
        <v>1755</v>
      </c>
      <c r="AI8" s="1282" t="s">
        <v>1756</v>
      </c>
      <c r="AJ8" s="1282" t="s">
        <v>1757</v>
      </c>
    </row>
    <row r="9" ht="15.5" spans="1:36">
      <c r="A9" s="991"/>
      <c r="B9" s="968" t="s">
        <v>1758</v>
      </c>
      <c r="C9" s="997">
        <f>SUMIF(修正!C71:C138,C8,修正!E71:E138)</f>
        <v>0</v>
      </c>
      <c r="D9" s="998" t="s">
        <v>1759</v>
      </c>
      <c r="E9" s="998" t="e">
        <f>ROUND(C11/E7,4)</f>
        <v>#DIV/0!</v>
      </c>
      <c r="F9" s="995" t="s">
        <v>1760</v>
      </c>
      <c r="G9" s="996"/>
      <c r="H9" s="996"/>
      <c r="I9" s="996"/>
      <c r="J9" s="1182"/>
      <c r="K9" s="952"/>
      <c r="L9" s="1173" t="s">
        <v>1761</v>
      </c>
      <c r="M9" s="1174">
        <f>SUMPRODUCT((区片价!B277:B326=I2)*(区片价!C3:G3=E2)*(区片价!C277:G326))</f>
        <v>0</v>
      </c>
      <c r="N9" s="1171">
        <f>SUMPRODUCT((因素修正幅度!B277:B326=I2)*(因素修正幅度!C3:G3=E2)*(因素修正幅度!C277:G326))</f>
        <v>0</v>
      </c>
      <c r="O9" s="952"/>
      <c r="P9" s="952"/>
      <c r="Q9" s="952"/>
      <c r="R9" s="1263">
        <v>8</v>
      </c>
      <c r="S9" s="1266"/>
      <c r="T9" s="1265">
        <f t="shared" si="0"/>
        <v>0</v>
      </c>
      <c r="U9" s="1266"/>
      <c r="V9" s="1265">
        <f t="shared" si="1"/>
        <v>0</v>
      </c>
      <c r="W9" s="1268"/>
      <c r="X9" s="1272" t="s">
        <v>1762</v>
      </c>
      <c r="Y9" s="1283">
        <v>6</v>
      </c>
      <c r="Z9" s="1284">
        <f>$Y$9</f>
        <v>6</v>
      </c>
      <c r="AA9" s="1284">
        <f t="shared" ref="AA9:AJ9" si="2">$Y$9</f>
        <v>6</v>
      </c>
      <c r="AB9" s="1284">
        <f t="shared" si="2"/>
        <v>6</v>
      </c>
      <c r="AC9" s="1284">
        <f t="shared" si="2"/>
        <v>6</v>
      </c>
      <c r="AD9" s="1284">
        <f t="shared" si="2"/>
        <v>6</v>
      </c>
      <c r="AE9" s="1284">
        <f t="shared" si="2"/>
        <v>6</v>
      </c>
      <c r="AF9" s="1284">
        <f t="shared" si="2"/>
        <v>6</v>
      </c>
      <c r="AG9" s="1284">
        <f t="shared" si="2"/>
        <v>6</v>
      </c>
      <c r="AH9" s="1284">
        <f t="shared" si="2"/>
        <v>6</v>
      </c>
      <c r="AI9" s="1284">
        <f t="shared" si="2"/>
        <v>6</v>
      </c>
      <c r="AJ9" s="1284">
        <f t="shared" si="2"/>
        <v>6</v>
      </c>
    </row>
    <row r="10" ht="15.5" spans="1:36">
      <c r="A10" s="991"/>
      <c r="B10" s="968" t="s">
        <v>1763</v>
      </c>
      <c r="C10" s="998">
        <f>SUMIF(修正!C71:C138,C8,修正!F71:F138)</f>
        <v>0</v>
      </c>
      <c r="D10" s="998" t="s">
        <v>1764</v>
      </c>
      <c r="E10" s="998" t="e">
        <f>ROUND(C11/E7,4)</f>
        <v>#DIV/0!</v>
      </c>
      <c r="F10" s="995" t="s">
        <v>1765</v>
      </c>
      <c r="G10" s="996"/>
      <c r="H10" s="996"/>
      <c r="I10" s="996"/>
      <c r="J10" s="1182"/>
      <c r="K10" s="952"/>
      <c r="L10" s="1173" t="s">
        <v>1766</v>
      </c>
      <c r="M10" s="1174">
        <f>SUMPRODUCT((区片价!B327:B357=I2)*(区片价!C3:G3=E2)*(区片价!C327:G357))</f>
        <v>0</v>
      </c>
      <c r="N10" s="1171">
        <f>SUMPRODUCT((因素修正幅度!B327:B357=I2)*(因素修正幅度!C3:G3=E2)*(因素修正幅度!C327:G357))</f>
        <v>0</v>
      </c>
      <c r="O10" s="952"/>
      <c r="P10" s="952"/>
      <c r="Q10" s="952"/>
      <c r="R10" s="1263">
        <v>9</v>
      </c>
      <c r="S10" s="1266"/>
      <c r="T10" s="1265">
        <f t="shared" si="0"/>
        <v>0</v>
      </c>
      <c r="U10" s="1266"/>
      <c r="V10" s="1265">
        <f t="shared" si="1"/>
        <v>0</v>
      </c>
      <c r="W10" s="1268"/>
      <c r="X10" s="1272">
        <v>6</v>
      </c>
      <c r="Y10" s="1285">
        <f>ROUND((-0.5556*(Y9^2)-0.2719*Y9+8944)*(10^(-4)),4)</f>
        <v>0.8922</v>
      </c>
      <c r="Z10" s="1285">
        <f>ROUND((-0.5556*(Z9^2)-0.2719*Z9+8944)*(10^(-4)),4)</f>
        <v>0.8922</v>
      </c>
      <c r="AA10" s="1285">
        <f>ROUND((-0.7912*(AA9^2)-11.3794*AA9+8482)*(10^(-4)),4)</f>
        <v>0.8385</v>
      </c>
      <c r="AB10" s="1285">
        <f>ROUND((-0.7912*(AB9^2)-11.3794*AB9+8482)*(10^(-4)),4)</f>
        <v>0.8385</v>
      </c>
      <c r="AC10" s="1285">
        <f>ROUND((-0.7912*(AC9^2)-11.3794*AC9+8482)*(10^(-4)),4)</f>
        <v>0.8385</v>
      </c>
      <c r="AD10" s="1285">
        <f>ROUND((-0.7912*(AD9^2)-11.3794*AD9+8482)*(10^(-4)),4)</f>
        <v>0.8385</v>
      </c>
      <c r="AE10" s="1285">
        <f>ROUND((-0.7912*(AE9^2)-11.3794*AE9+8482)*(10^(-4)),4)</f>
        <v>0.8385</v>
      </c>
      <c r="AF10" s="1285">
        <f>ROUND((-0.989*(AF9^2)-63.78*AF9+7771)*(10^(-4)),4)</f>
        <v>0.7353</v>
      </c>
      <c r="AG10" s="1285">
        <f>ROUND((-0.989*(AG9^2)-63.78*AG9+7771)*(10^(-4)),4)</f>
        <v>0.7353</v>
      </c>
      <c r="AH10" s="1285">
        <f>ROUND((-0.989*(AH9^2)-63.78*AH9+7771)*(10^(-4)),4)</f>
        <v>0.7353</v>
      </c>
      <c r="AI10" s="1285">
        <f>ROUND((-0.989*(AI9^2)-63.78*AI9+7771)*(10^(-4)),4)</f>
        <v>0.7353</v>
      </c>
      <c r="AJ10" s="1285">
        <f>ROUND((-0.989*(AJ9^2)-63.78*AJ9+7771)*(10^(-4)),4)</f>
        <v>0.7353</v>
      </c>
    </row>
    <row r="11" ht="16.25" spans="1:36">
      <c r="A11" s="999"/>
      <c r="B11" s="1000" t="s">
        <v>1767</v>
      </c>
      <c r="C11" s="1001">
        <f>C10/4</f>
        <v>0</v>
      </c>
      <c r="D11" s="1001" t="s">
        <v>1768</v>
      </c>
      <c r="E11" s="1001" t="e">
        <f>ROUND(C11/E7,4)</f>
        <v>#DIV/0!</v>
      </c>
      <c r="F11" s="1002" t="s">
        <v>1769</v>
      </c>
      <c r="G11" s="1003"/>
      <c r="H11" s="1003"/>
      <c r="I11" s="1003"/>
      <c r="J11" s="1183"/>
      <c r="K11" s="952"/>
      <c r="L11" s="1173" t="s">
        <v>1770</v>
      </c>
      <c r="M11" s="1174">
        <f>SUMPRODUCT((区片价!B358:B377=I2)*(区片价!C3:G3=E2)*(区片价!C358:G377))</f>
        <v>0</v>
      </c>
      <c r="N11" s="1171">
        <f>SUMPRODUCT((因素修正幅度!B358:B377=I2)*(因素修正幅度!C3:G3=E2)*(因素修正幅度!C358:G377))</f>
        <v>0</v>
      </c>
      <c r="O11" s="952"/>
      <c r="P11" s="952"/>
      <c r="Q11" s="952"/>
      <c r="R11" s="1263">
        <v>10</v>
      </c>
      <c r="S11" s="1266"/>
      <c r="T11" s="1265">
        <f t="shared" si="0"/>
        <v>0</v>
      </c>
      <c r="U11" s="1266"/>
      <c r="V11" s="1265">
        <f t="shared" si="1"/>
        <v>0</v>
      </c>
      <c r="W11" s="1264"/>
      <c r="X11" s="1264"/>
      <c r="Y11" s="1264"/>
      <c r="Z11" s="1264"/>
      <c r="AA11" s="1264"/>
      <c r="AB11" s="1264"/>
      <c r="AC11" s="1277"/>
      <c r="AD11" s="1286"/>
      <c r="AE11" s="1286"/>
      <c r="AF11" s="1286"/>
      <c r="AG11" s="1286"/>
      <c r="AH11" s="1286"/>
      <c r="AI11" s="1286"/>
      <c r="AJ11" s="1289"/>
    </row>
    <row r="12" ht="26.75" spans="1:36">
      <c r="A12" s="984" t="s">
        <v>1771</v>
      </c>
      <c r="B12" s="1004" t="s">
        <v>1772</v>
      </c>
      <c r="C12" s="1005"/>
      <c r="D12" s="1006" t="s">
        <v>1773</v>
      </c>
      <c r="E12" s="1007" t="s">
        <v>1774</v>
      </c>
      <c r="F12" s="1008"/>
      <c r="G12" s="1009"/>
      <c r="H12" s="1009"/>
      <c r="I12" s="1009"/>
      <c r="J12" s="1184"/>
      <c r="K12" s="952"/>
      <c r="L12" s="1185" t="s">
        <v>1775</v>
      </c>
      <c r="M12" s="1186">
        <f>SUMPRODUCT((区片价!B378:B384=I2)*(区片价!C3:G3=E2)*(区片价!C378:G384))</f>
        <v>0</v>
      </c>
      <c r="N12" s="1171">
        <f>SUMPRODUCT((因素修正幅度!B378:B384=I2)*(因素修正幅度!C3:G3=E2)*(因素修正幅度!C378:G384))</f>
        <v>0</v>
      </c>
      <c r="O12" s="952"/>
      <c r="P12" s="952"/>
      <c r="Q12" s="952"/>
      <c r="R12" s="1263">
        <v>11</v>
      </c>
      <c r="S12" s="1266"/>
      <c r="T12" s="1265">
        <f t="shared" si="0"/>
        <v>0</v>
      </c>
      <c r="U12" s="1266"/>
      <c r="V12" s="1265">
        <f t="shared" si="1"/>
        <v>0</v>
      </c>
      <c r="W12" s="1264"/>
      <c r="X12" s="1264"/>
      <c r="Y12" s="1264"/>
      <c r="Z12" s="1264"/>
      <c r="AA12" s="1264"/>
      <c r="AB12" s="1264"/>
      <c r="AC12" s="1277"/>
      <c r="AD12" s="1286"/>
      <c r="AE12" s="1286"/>
      <c r="AF12" s="1286"/>
      <c r="AG12" s="1286"/>
      <c r="AH12" s="1286"/>
      <c r="AI12" s="1286"/>
      <c r="AJ12" s="1289"/>
    </row>
    <row r="13" ht="26.75" spans="1:36">
      <c r="A13" s="984" t="s">
        <v>1776</v>
      </c>
      <c r="B13" s="1010" t="s">
        <v>1777</v>
      </c>
      <c r="C13" s="986">
        <f>ROUND(C16*D16*E16*F16*G16*H16*I16*J16,4)</f>
        <v>0</v>
      </c>
      <c r="D13" s="1011" t="s">
        <v>1778</v>
      </c>
      <c r="E13" s="1012"/>
      <c r="F13" s="1012"/>
      <c r="G13" s="1013"/>
      <c r="H13" s="1013"/>
      <c r="I13" s="1013"/>
      <c r="J13" s="1187"/>
      <c r="K13" s="952"/>
      <c r="L13" s="1188"/>
      <c r="M13" s="1189"/>
      <c r="N13" s="1190"/>
      <c r="O13" s="952"/>
      <c r="P13" s="952"/>
      <c r="Q13" s="952"/>
      <c r="R13" s="1263">
        <v>12</v>
      </c>
      <c r="S13" s="1266"/>
      <c r="T13" s="1265">
        <f t="shared" si="0"/>
        <v>0</v>
      </c>
      <c r="U13" s="1266"/>
      <c r="V13" s="1265">
        <f t="shared" si="1"/>
        <v>0</v>
      </c>
      <c r="W13" s="1264"/>
      <c r="X13" s="1264"/>
      <c r="Y13" s="1264"/>
      <c r="Z13" s="1264"/>
      <c r="AA13" s="1264"/>
      <c r="AB13" s="1264"/>
      <c r="AC13" s="1277"/>
      <c r="AD13" s="1286"/>
      <c r="AE13" s="1286"/>
      <c r="AF13" s="1286"/>
      <c r="AG13" s="1286"/>
      <c r="AH13" s="1286"/>
      <c r="AI13" s="1286"/>
      <c r="AJ13" s="1289"/>
    </row>
    <row r="14" ht="26" spans="1:36">
      <c r="A14" s="1014"/>
      <c r="B14" s="1015" t="s">
        <v>1779</v>
      </c>
      <c r="C14" s="1016" t="s">
        <v>1780</v>
      </c>
      <c r="D14" s="1017" t="s">
        <v>1781</v>
      </c>
      <c r="E14" s="1018" t="s">
        <v>1782</v>
      </c>
      <c r="F14" s="1019" t="s">
        <v>1783</v>
      </c>
      <c r="G14" s="1019" t="s">
        <v>1783</v>
      </c>
      <c r="H14" s="1019" t="s">
        <v>1783</v>
      </c>
      <c r="I14" s="1019" t="s">
        <v>1783</v>
      </c>
      <c r="J14" s="1019" t="s">
        <v>1783</v>
      </c>
      <c r="K14" s="952"/>
      <c r="L14" s="952"/>
      <c r="M14" s="952"/>
      <c r="N14" s="952"/>
      <c r="O14" s="952"/>
      <c r="P14" s="952"/>
      <c r="Q14" s="952"/>
      <c r="R14" s="1263">
        <v>13</v>
      </c>
      <c r="S14" s="1266"/>
      <c r="T14" s="1265">
        <f t="shared" si="0"/>
        <v>0</v>
      </c>
      <c r="U14" s="1266"/>
      <c r="V14" s="1265">
        <f t="shared" si="1"/>
        <v>0</v>
      </c>
      <c r="W14" s="1264"/>
      <c r="X14" s="1264"/>
      <c r="Y14" s="1264"/>
      <c r="Z14" s="1264"/>
      <c r="AA14" s="1264"/>
      <c r="AB14" s="1264"/>
      <c r="AC14" s="1277"/>
      <c r="AD14" s="1286"/>
      <c r="AE14" s="1286"/>
      <c r="AF14" s="1286"/>
      <c r="AG14" s="1286"/>
      <c r="AH14" s="1286"/>
      <c r="AI14" s="1286"/>
      <c r="AJ14" s="1289"/>
    </row>
    <row r="15" ht="15.5" spans="1:36">
      <c r="A15" s="1014"/>
      <c r="B15" s="1020"/>
      <c r="C15" s="1021"/>
      <c r="D15" s="1022"/>
      <c r="E15" s="1023"/>
      <c r="F15" s="1024" t="s">
        <v>1784</v>
      </c>
      <c r="G15" s="1025"/>
      <c r="H15" s="1026"/>
      <c r="I15" s="1191"/>
      <c r="J15" s="1192"/>
      <c r="K15" s="952"/>
      <c r="L15" s="952"/>
      <c r="M15" s="952"/>
      <c r="N15" s="952"/>
      <c r="O15" s="952"/>
      <c r="P15" s="952"/>
      <c r="Q15" s="952"/>
      <c r="R15" s="1263">
        <v>14</v>
      </c>
      <c r="S15" s="1266"/>
      <c r="T15" s="1265">
        <f t="shared" si="0"/>
        <v>0</v>
      </c>
      <c r="U15" s="1266"/>
      <c r="V15" s="1265">
        <f t="shared" si="1"/>
        <v>0</v>
      </c>
      <c r="W15" s="1264"/>
      <c r="X15" s="1264"/>
      <c r="Y15" s="1264"/>
      <c r="Z15" s="1264"/>
      <c r="AA15" s="1264"/>
      <c r="AB15" s="1264"/>
      <c r="AC15" s="1277"/>
      <c r="AD15" s="1286"/>
      <c r="AE15" s="1286"/>
      <c r="AF15" s="1286"/>
      <c r="AG15" s="1286"/>
      <c r="AH15" s="1286"/>
      <c r="AI15" s="1286"/>
      <c r="AJ15" s="1289"/>
    </row>
    <row r="16" ht="16.25" spans="1:36">
      <c r="A16" s="1014"/>
      <c r="B16" s="1027" t="s">
        <v>1683</v>
      </c>
      <c r="C16" s="1028"/>
      <c r="D16" s="1028"/>
      <c r="E16" s="1028"/>
      <c r="F16" s="1028">
        <v>1</v>
      </c>
      <c r="G16" s="1028">
        <v>1</v>
      </c>
      <c r="H16" s="1028">
        <v>1</v>
      </c>
      <c r="I16" s="1028">
        <v>1</v>
      </c>
      <c r="J16" s="1193">
        <v>1</v>
      </c>
      <c r="K16" s="952"/>
      <c r="L16" s="953"/>
      <c r="M16" s="953"/>
      <c r="N16" s="953"/>
      <c r="O16" s="953"/>
      <c r="P16" s="953"/>
      <c r="Q16" s="952"/>
      <c r="R16" s="1263">
        <v>15</v>
      </c>
      <c r="S16" s="1266"/>
      <c r="T16" s="1265">
        <f t="shared" si="0"/>
        <v>0</v>
      </c>
      <c r="U16" s="1266"/>
      <c r="V16" s="1265">
        <f t="shared" si="1"/>
        <v>0</v>
      </c>
      <c r="W16" s="1264"/>
      <c r="X16" s="1264"/>
      <c r="Y16" s="1264"/>
      <c r="Z16" s="1264"/>
      <c r="AA16" s="1264"/>
      <c r="AB16" s="1264"/>
      <c r="AC16" s="1277"/>
      <c r="AD16" s="1286"/>
      <c r="AE16" s="1286"/>
      <c r="AF16" s="1286"/>
      <c r="AG16" s="1286"/>
      <c r="AH16" s="1286"/>
      <c r="AI16" s="1286"/>
      <c r="AJ16" s="1289"/>
    </row>
    <row r="17" ht="26" spans="1:36">
      <c r="A17" s="1029" t="s">
        <v>1785</v>
      </c>
      <c r="B17" s="1030" t="s">
        <v>1786</v>
      </c>
      <c r="C17" s="1031">
        <f>ROUND(IF(OR(E2="工业",E2="公共服务"),1,IF(AND(E18=0,E19=0),1,IF(AND(E18=J24,E19=G19),0.8,IF(E19=0,1+E17*(-0.2),1+E17*G17*(-0.2))))),4)</f>
        <v>1</v>
      </c>
      <c r="D17" s="1032" t="s">
        <v>1787</v>
      </c>
      <c r="E17" s="1031">
        <f>ROUND(G18/I18,2)</f>
        <v>0</v>
      </c>
      <c r="F17" s="1032" t="s">
        <v>1788</v>
      </c>
      <c r="G17" s="1031" t="e">
        <f>ROUND(E19/G19,2)</f>
        <v>#DIV/0!</v>
      </c>
      <c r="H17" s="1031"/>
      <c r="I17" s="1031"/>
      <c r="J17" s="1194"/>
      <c r="K17" s="952"/>
      <c r="L17" s="953"/>
      <c r="M17" s="953"/>
      <c r="N17" s="953"/>
      <c r="O17" s="953"/>
      <c r="P17" s="953"/>
      <c r="Q17" s="952"/>
      <c r="R17" s="952"/>
      <c r="S17" s="952"/>
      <c r="T17" s="952"/>
      <c r="U17" s="952"/>
      <c r="V17" s="952"/>
      <c r="W17" s="952"/>
      <c r="X17" s="952"/>
      <c r="Y17" s="952"/>
      <c r="Z17" s="1133"/>
      <c r="AA17" s="1133"/>
      <c r="AB17" s="1133"/>
      <c r="AC17" s="1133"/>
      <c r="AD17" s="1133"/>
      <c r="AE17" s="952"/>
      <c r="AF17" s="952"/>
      <c r="AG17" s="953"/>
      <c r="AH17" s="953"/>
      <c r="AI17" s="953"/>
      <c r="AJ17" s="953"/>
    </row>
    <row r="18" s="951" customFormat="1" ht="14" spans="1:36">
      <c r="A18" s="1033"/>
      <c r="B18" s="1034"/>
      <c r="C18" s="1035"/>
      <c r="D18" s="1036" t="s">
        <v>1789</v>
      </c>
      <c r="E18" s="1037"/>
      <c r="F18" s="1038" t="s">
        <v>1790</v>
      </c>
      <c r="G18" s="1035">
        <f>ROUND(1-(1/(POWER(1+G24,E18))),4)</f>
        <v>0</v>
      </c>
      <c r="H18" s="1038" t="s">
        <v>1791</v>
      </c>
      <c r="I18" s="1035">
        <f>ROUND(1-(1/(POWER(1+G24,J24))),4)</f>
        <v>0.9128</v>
      </c>
      <c r="J18" s="1195"/>
      <c r="K18" s="952"/>
      <c r="L18" s="953"/>
      <c r="M18" s="953"/>
      <c r="N18" s="953"/>
      <c r="O18" s="953"/>
      <c r="P18" s="953"/>
      <c r="Q18" s="952"/>
      <c r="R18" s="1273"/>
      <c r="S18" s="1273"/>
      <c r="T18" s="1133"/>
      <c r="U18" s="1133"/>
      <c r="V18" s="1133"/>
      <c r="W18" s="952"/>
      <c r="X18" s="952"/>
      <c r="Y18" s="952"/>
      <c r="Z18" s="1203"/>
      <c r="AA18" s="1203"/>
      <c r="AB18" s="1203"/>
      <c r="AC18" s="1203"/>
      <c r="AD18" s="1203"/>
      <c r="AE18" s="1133"/>
      <c r="AF18" s="1133"/>
      <c r="AG18" s="1290"/>
      <c r="AH18" s="1290"/>
      <c r="AI18" s="1290"/>
      <c r="AJ18" s="1204"/>
    </row>
    <row r="19" s="951" customFormat="1" ht="14.75" spans="1:37">
      <c r="A19" s="1039"/>
      <c r="B19" s="1040"/>
      <c r="C19" s="1041"/>
      <c r="D19" s="1041" t="s">
        <v>1792</v>
      </c>
      <c r="E19" s="1042"/>
      <c r="F19" s="1043" t="s">
        <v>1793</v>
      </c>
      <c r="G19" s="1042"/>
      <c r="H19" s="1041"/>
      <c r="I19" s="1041"/>
      <c r="J19" s="1196"/>
      <c r="K19" s="952"/>
      <c r="L19" s="953"/>
      <c r="M19" s="953"/>
      <c r="N19" s="953"/>
      <c r="O19" s="953"/>
      <c r="P19" s="953"/>
      <c r="Q19" s="1273"/>
      <c r="R19" s="1273"/>
      <c r="S19" s="1273"/>
      <c r="T19" s="1133"/>
      <c r="U19" s="1133"/>
      <c r="V19" s="1133"/>
      <c r="W19" s="952"/>
      <c r="X19" s="952"/>
      <c r="Y19" s="952"/>
      <c r="Z19" s="1203"/>
      <c r="AA19" s="1203"/>
      <c r="AB19" s="1203"/>
      <c r="AC19" s="1203"/>
      <c r="AD19" s="1203"/>
      <c r="AE19" s="1203"/>
      <c r="AF19" s="1273"/>
      <c r="AG19" s="1291"/>
      <c r="AH19" s="1290"/>
      <c r="AI19" s="1292"/>
      <c r="AJ19" s="1292"/>
      <c r="AK19" s="1293"/>
    </row>
    <row r="20" s="951" customFormat="1" ht="14" spans="1:36">
      <c r="A20" s="1044" t="s">
        <v>1794</v>
      </c>
      <c r="B20" s="1045" t="s">
        <v>1795</v>
      </c>
      <c r="C20" s="1046">
        <f>ROUND(IF(F21="与级别开发程度一致",0,(G21-E21)/C21),0)</f>
        <v>0</v>
      </c>
      <c r="D20" s="1047" t="s">
        <v>1796</v>
      </c>
      <c r="E20" s="1048"/>
      <c r="F20" s="1049" t="s">
        <v>1797</v>
      </c>
      <c r="G20" s="1050"/>
      <c r="H20" s="1051"/>
      <c r="I20" s="1051"/>
      <c r="J20" s="1197"/>
      <c r="K20" s="1198"/>
      <c r="L20" s="1198"/>
      <c r="M20" s="1198"/>
      <c r="N20" s="1198"/>
      <c r="O20" s="1199"/>
      <c r="P20" s="953"/>
      <c r="Q20" s="1273"/>
      <c r="R20" s="1273"/>
      <c r="S20" s="1273"/>
      <c r="T20" s="1133"/>
      <c r="U20" s="1133"/>
      <c r="V20" s="1133"/>
      <c r="W20" s="952"/>
      <c r="X20" s="952"/>
      <c r="Y20" s="952"/>
      <c r="Z20" s="1203"/>
      <c r="AA20" s="1203"/>
      <c r="AB20" s="1203"/>
      <c r="AC20" s="1203"/>
      <c r="AD20" s="1203"/>
      <c r="AE20" s="1203"/>
      <c r="AF20" s="1203"/>
      <c r="AG20" s="1204"/>
      <c r="AH20" s="1204"/>
      <c r="AI20" s="1204"/>
      <c r="AJ20" s="1204"/>
    </row>
    <row r="21" s="951" customFormat="1" ht="26.75" spans="1:36">
      <c r="A21" s="1052"/>
      <c r="B21" s="1053" t="s">
        <v>1798</v>
      </c>
      <c r="C21" s="1054">
        <f>IF(E3="M4科研用地",SUMPRODUCT((修正!A2:A7=E3)*(修正!B1:M1=G2)*(修正!B2:M7)),SUMPRODUCT((修正!A2:A7=E2)*(修正!B1:M1=G2)*(修正!B2:M7)))</f>
        <v>1.5</v>
      </c>
      <c r="D21" s="1055" t="str">
        <f>IF(OR(G2="八级",G2="九级",G2="十级",G2="十一级",G2="十二级"),"五通一平","七通一平")</f>
        <v>七通一平</v>
      </c>
      <c r="E21" s="1056">
        <f>SUMPRODUCT((修正!B1:M1=G2)*(修正!B17:M17))</f>
        <v>315</v>
      </c>
      <c r="F21" s="1057" t="s">
        <v>1799</v>
      </c>
      <c r="G21" s="1058">
        <f>SUM(H21:O21)</f>
        <v>0</v>
      </c>
      <c r="H21" s="1054">
        <f>SUMPRODUCT((七通一平=H20)*(修正!B1:M1=G2)*(修正!B8:M16))</f>
        <v>0</v>
      </c>
      <c r="I21" s="1054">
        <f>SUMPRODUCT((七通一平=I20)*(修正!B1:M1=G2)*(修正!B8:M16))</f>
        <v>0</v>
      </c>
      <c r="J21" s="1200">
        <f>SUMPRODUCT((七通一平=J20)*(修正!B1:M1=G2)*(修正!B8:M16))</f>
        <v>0</v>
      </c>
      <c r="K21" s="1054">
        <f>SUMPRODUCT((七通一平=K20)*(修正!B1:M1=G2)*(修正!B8:M16))</f>
        <v>0</v>
      </c>
      <c r="L21" s="1054">
        <f>SUMPRODUCT((七通一平=L20)*(修正!B1:M1=G2)*(修正!B8:M16))</f>
        <v>0</v>
      </c>
      <c r="M21" s="1054">
        <f>SUMPRODUCT((七通一平=M20)*(修正!B1:M1=G2)*(修正!B8:M16))</f>
        <v>0</v>
      </c>
      <c r="N21" s="1054">
        <f>SUMPRODUCT((七通一平=N20)*(修正!B1:M1=G2)*(修正!B8:M16))</f>
        <v>0</v>
      </c>
      <c r="O21" s="1201">
        <f>SUMPRODUCT((七通一平=O20)*(修正!B1:M1=G2)*(修正!B8:M16))</f>
        <v>0</v>
      </c>
      <c r="P21" s="953"/>
      <c r="Q21" s="1204"/>
      <c r="R21" s="1273"/>
      <c r="S21" s="1273"/>
      <c r="T21" s="1133"/>
      <c r="U21" s="1133"/>
      <c r="V21" s="1133"/>
      <c r="W21" s="952"/>
      <c r="X21" s="952"/>
      <c r="Y21" s="952"/>
      <c r="Z21" s="1203"/>
      <c r="AA21" s="1203"/>
      <c r="AB21" s="1203"/>
      <c r="AC21" s="1203"/>
      <c r="AD21" s="1203"/>
      <c r="AE21" s="1203"/>
      <c r="AF21" s="1203"/>
      <c r="AG21" s="1204"/>
      <c r="AH21" s="1204"/>
      <c r="AI21" s="1204"/>
      <c r="AJ21" s="1204"/>
    </row>
    <row r="22" s="951" customFormat="1" ht="14.75" spans="1:36">
      <c r="A22" s="1059" t="s">
        <v>910</v>
      </c>
      <c r="B22" s="1060" t="s">
        <v>1800</v>
      </c>
      <c r="C22" s="1061">
        <f>SUMIF(修正!C20:C51,E3,修正!E20:E51)</f>
        <v>1</v>
      </c>
      <c r="D22" s="1062"/>
      <c r="E22" s="1063"/>
      <c r="F22" s="1063"/>
      <c r="G22" s="1063"/>
      <c r="H22" s="1063"/>
      <c r="I22" s="1063"/>
      <c r="J22" s="1202"/>
      <c r="K22" s="1203"/>
      <c r="L22" s="1204"/>
      <c r="M22" s="1204"/>
      <c r="N22" s="1204"/>
      <c r="O22" s="1205"/>
      <c r="P22" s="1205"/>
      <c r="Q22" s="1204"/>
      <c r="R22" s="1273"/>
      <c r="S22" s="1273"/>
      <c r="T22" s="1133"/>
      <c r="U22" s="1133"/>
      <c r="V22" s="1133"/>
      <c r="W22" s="952"/>
      <c r="X22" s="952"/>
      <c r="Y22" s="952"/>
      <c r="Z22" s="1203"/>
      <c r="AA22" s="1203"/>
      <c r="AB22" s="1203"/>
      <c r="AC22" s="1203"/>
      <c r="AD22" s="1203"/>
      <c r="AE22" s="1203"/>
      <c r="AF22" s="1203"/>
      <c r="AG22" s="1204"/>
      <c r="AH22" s="1204"/>
      <c r="AI22" s="1204"/>
      <c r="AJ22" s="1204"/>
    </row>
    <row r="23" ht="26.75" spans="1:37">
      <c r="A23" s="1064" t="s">
        <v>915</v>
      </c>
      <c r="B23" s="1065" t="s">
        <v>1801</v>
      </c>
      <c r="C23" s="106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1.0841</v>
      </c>
      <c r="D23" s="1067" t="s">
        <v>1802</v>
      </c>
      <c r="E23" s="1068">
        <v>44197</v>
      </c>
      <c r="F23" s="1067" t="s">
        <v>1803</v>
      </c>
      <c r="G23" s="1069">
        <f>'数据-取费表'!B2</f>
        <v>45538</v>
      </c>
      <c r="H23" s="1070" t="s">
        <v>1804</v>
      </c>
      <c r="I23" s="1206" t="str">
        <f>IF(H23="季度增幅（自定义）",SUMIF(N25:N28,E2,O25:O28),"")</f>
        <v/>
      </c>
      <c r="J23" s="1207" t="s">
        <v>1805</v>
      </c>
      <c r="K23" s="1203"/>
      <c r="L23" s="1208" t="s">
        <v>1806</v>
      </c>
      <c r="M23" s="1209">
        <f>ROUND(SUMIF(地价!B2:G2,E2,地价!B16:G16),0)</f>
        <v>318</v>
      </c>
      <c r="N23" s="1210" t="s">
        <v>1807</v>
      </c>
      <c r="O23" s="1211">
        <f>ROUNDDOWN(DATEDIF(E23,G23,"M")/3,0)</f>
        <v>14</v>
      </c>
      <c r="P23" s="1212"/>
      <c r="Q23" s="1204"/>
      <c r="R23" s="1273"/>
      <c r="S23" s="1273"/>
      <c r="T23" s="1133"/>
      <c r="U23" s="1133"/>
      <c r="V23" s="1133"/>
      <c r="W23" s="952"/>
      <c r="X23" s="952"/>
      <c r="Y23" s="952"/>
      <c r="Z23" s="1203"/>
      <c r="AA23" s="1203"/>
      <c r="AB23" s="1203"/>
      <c r="AC23" s="1203"/>
      <c r="AD23" s="1203"/>
      <c r="AE23" s="1133"/>
      <c r="AF23" s="1133"/>
      <c r="AG23" s="1290"/>
      <c r="AH23" s="1290"/>
      <c r="AI23" s="1290"/>
      <c r="AJ23" s="1290"/>
      <c r="AK23" s="954"/>
    </row>
    <row r="24" s="951" customFormat="1" ht="26.75" spans="1:36">
      <c r="A24" s="1071" t="s">
        <v>918</v>
      </c>
      <c r="B24" s="1072" t="s">
        <v>1808</v>
      </c>
      <c r="C24" s="1073">
        <f>ROUND(POWER(1+G24,J24-I24)*(POWER(1+G24,I24)-1)/(POWER(1+G24,J24)-1),4)</f>
        <v>0.8422</v>
      </c>
      <c r="D24" s="1074" t="s">
        <v>1809</v>
      </c>
      <c r="E24" s="1075">
        <f>存贷款利率!E26/100</f>
        <v>0.0435</v>
      </c>
      <c r="F24" s="1074" t="s">
        <v>1810</v>
      </c>
      <c r="G24" s="1076">
        <f>SUMIF(M30:Q30,E2,M33:Q33)</f>
        <v>0.05</v>
      </c>
      <c r="H24" s="1074" t="s">
        <v>1811</v>
      </c>
      <c r="I24" s="1213">
        <f>SUMIF('数据-取费表'!C6:C15,E2,'数据-取费表'!F6:F15)/COUNTIF('数据-取费表'!C6:C15,E2)</f>
        <v>30.01</v>
      </c>
      <c r="J24" s="1214">
        <f>IF(E2="住宅",70,IF(E2="商业",40,50))</f>
        <v>50</v>
      </c>
      <c r="K24" s="1203"/>
      <c r="L24" s="1215" t="s">
        <v>1812</v>
      </c>
      <c r="M24" s="1216">
        <f>ROUND(SUMPRODUCT((地价!A4:A16=YEAR(G23)&amp;"-"&amp;ROUNDUP(MONTH(G23)/3,0))*(地价!B2:G2=E2)*(地价!B4:G16)),0)</f>
        <v>0</v>
      </c>
      <c r="N24" s="1217" t="s">
        <v>1813</v>
      </c>
      <c r="O24" s="1218" t="s">
        <v>1814</v>
      </c>
      <c r="P24" s="1219" t="s">
        <v>1815</v>
      </c>
      <c r="Q24" s="953"/>
      <c r="R24" s="1273"/>
      <c r="S24" s="1273"/>
      <c r="T24" s="1133"/>
      <c r="U24" s="1133"/>
      <c r="V24" s="1133"/>
      <c r="W24" s="952"/>
      <c r="X24" s="952"/>
      <c r="Y24" s="952"/>
      <c r="Z24" s="1203"/>
      <c r="AA24" s="1203"/>
      <c r="AB24" s="1203"/>
      <c r="AC24" s="1203"/>
      <c r="AD24" s="1203"/>
      <c r="AE24" s="1203"/>
      <c r="AF24" s="1203"/>
      <c r="AG24" s="1204"/>
      <c r="AH24" s="1204"/>
      <c r="AI24" s="1204"/>
      <c r="AJ24" s="1204"/>
    </row>
    <row r="25" ht="14" spans="1:36">
      <c r="A25" s="1077" t="s">
        <v>942</v>
      </c>
      <c r="B25" s="1078" t="s">
        <v>1816</v>
      </c>
      <c r="C25" s="1079">
        <f>IF(B25="容积率修正",IF(G3&lt;10,D26,J26),C27)</f>
        <v>1.5019</v>
      </c>
      <c r="D25" s="1080"/>
      <c r="E25" s="1080"/>
      <c r="F25" s="1080"/>
      <c r="G25" s="1080"/>
      <c r="H25" s="1080"/>
      <c r="I25" s="1080"/>
      <c r="J25" s="1220"/>
      <c r="K25" s="1203"/>
      <c r="L25" s="1204"/>
      <c r="M25" s="1204"/>
      <c r="N25" s="1221" t="s">
        <v>1817</v>
      </c>
      <c r="O25" s="1222"/>
      <c r="P25" s="1223">
        <f>SUMPRODUCT((地价!A3:A40=YEAR(G23)&amp;"-"&amp;ROUNDUP(MONTH(G23)/3,0))*(地价!AD2:AH2=N25)*(地价!AD3:AH40))</f>
        <v>0</v>
      </c>
      <c r="Q25" s="1204"/>
      <c r="R25" s="1273"/>
      <c r="S25" s="1273"/>
      <c r="T25" s="1133"/>
      <c r="U25" s="1133"/>
      <c r="V25" s="1133"/>
      <c r="W25" s="952"/>
      <c r="X25" s="952"/>
      <c r="Y25" s="952"/>
      <c r="Z25" s="1203"/>
      <c r="AA25" s="1203"/>
      <c r="AB25" s="1203"/>
      <c r="AC25" s="1203"/>
      <c r="AD25" s="1203"/>
      <c r="AE25" s="1133"/>
      <c r="AF25" s="1133"/>
      <c r="AG25" s="1290"/>
      <c r="AH25" s="1290"/>
      <c r="AI25" s="1290"/>
      <c r="AJ25" s="1290"/>
    </row>
    <row r="26" ht="14" spans="1:36">
      <c r="A26" s="1081" t="s">
        <v>1818</v>
      </c>
      <c r="B26" s="1082" t="s">
        <v>1819</v>
      </c>
      <c r="C26" s="1083" t="s">
        <v>1820</v>
      </c>
      <c r="D26" s="831">
        <f>IF(E26=G26,F26,IF(G3&lt;10,ROUND(F26+(H26-F26)*(G3-E26)/(G26-E26),4),"——"))</f>
        <v>0.8407</v>
      </c>
      <c r="E26" s="967">
        <f>ROUNDDOWN(G3,1)</f>
        <v>2.5</v>
      </c>
      <c r="F26" s="83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0.8407</v>
      </c>
      <c r="G26" s="967">
        <f>ROUNDUP(G3,1)</f>
        <v>2.5</v>
      </c>
      <c r="H26" s="83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0.8407</v>
      </c>
      <c r="I26" s="1083" t="s">
        <v>1821</v>
      </c>
      <c r="J26" s="1224" t="str">
        <f>IF(G3&gt;=10,D115,"——")</f>
        <v>——</v>
      </c>
      <c r="K26" s="1203"/>
      <c r="L26" s="1204"/>
      <c r="M26" s="1204"/>
      <c r="N26" s="1221" t="s">
        <v>1822</v>
      </c>
      <c r="O26" s="1222"/>
      <c r="P26" s="1223">
        <f>SUMPRODUCT((地价!A3:A40=YEAR(G23)&amp;"-"&amp;ROUNDUP(MONTH(G23)/3,0))*(地价!AD2:AH2=N26)*(地价!AD3:AH40))</f>
        <v>0</v>
      </c>
      <c r="Q26" s="953"/>
      <c r="R26" s="1273"/>
      <c r="S26" s="1273"/>
      <c r="T26" s="1133"/>
      <c r="U26" s="1133"/>
      <c r="V26" s="1133"/>
      <c r="W26" s="952"/>
      <c r="X26" s="952"/>
      <c r="Y26" s="952"/>
      <c r="Z26" s="1203"/>
      <c r="AA26" s="1203"/>
      <c r="AB26" s="1203"/>
      <c r="AC26" s="1203"/>
      <c r="AD26" s="1203"/>
      <c r="AE26" s="1133"/>
      <c r="AF26" s="1133"/>
      <c r="AG26" s="1290"/>
      <c r="AH26" s="1290"/>
      <c r="AI26" s="1290"/>
      <c r="AJ26" s="1290"/>
    </row>
    <row r="27" ht="14.75" spans="1:36">
      <c r="A27" s="1081" t="s">
        <v>1823</v>
      </c>
      <c r="B27" s="1084" t="s">
        <v>1824</v>
      </c>
      <c r="C27" s="1085">
        <f>ROUND(IF(I3&lt;6,SUMPRODUCT((B106:B110=I3)*(C105:N105=G2)*(C106:N110)),SUMIF(C105:N105,G2,C112:N112)),4)</f>
        <v>1.5019</v>
      </c>
      <c r="D27" s="1086"/>
      <c r="E27" s="1086"/>
      <c r="F27" s="1087"/>
      <c r="G27" s="1088"/>
      <c r="H27" s="1089"/>
      <c r="I27" s="1225"/>
      <c r="J27" s="1226"/>
      <c r="K27" s="952"/>
      <c r="L27" s="953"/>
      <c r="M27" s="953"/>
      <c r="N27" s="1221" t="s">
        <v>1825</v>
      </c>
      <c r="O27" s="1222"/>
      <c r="P27" s="1223">
        <f>SUMPRODUCT((地价!A3:A40=YEAR(G23)&amp;"-"&amp;ROUNDUP(MONTH(G23)/3,0))*(地价!AD2:AH2=N27)*(地价!AD3:AH40))</f>
        <v>0</v>
      </c>
      <c r="Q27" s="953"/>
      <c r="R27" s="1273"/>
      <c r="S27" s="1273"/>
      <c r="T27" s="1133"/>
      <c r="U27" s="1133"/>
      <c r="V27" s="1133"/>
      <c r="W27" s="952"/>
      <c r="X27" s="952"/>
      <c r="Y27" s="952"/>
      <c r="Z27" s="1203"/>
      <c r="AA27" s="1203"/>
      <c r="AB27" s="1203"/>
      <c r="AC27" s="1203"/>
      <c r="AD27" s="1203"/>
      <c r="AE27" s="1133"/>
      <c r="AF27" s="1133"/>
      <c r="AG27" s="1290"/>
      <c r="AH27" s="1290"/>
      <c r="AI27" s="1290"/>
      <c r="AJ27" s="1290"/>
    </row>
    <row r="28" ht="14.75" spans="1:36">
      <c r="A28" s="1071" t="s">
        <v>1826</v>
      </c>
      <c r="B28" s="1065" t="s">
        <v>1827</v>
      </c>
      <c r="C28" s="1066">
        <f>SUMIF(A47:A101,E2,B47:B101)</f>
        <v>1</v>
      </c>
      <c r="D28" s="1090"/>
      <c r="E28" s="1091"/>
      <c r="F28" s="1091"/>
      <c r="G28" s="1091"/>
      <c r="H28" s="1091"/>
      <c r="I28" s="1091"/>
      <c r="J28" s="1227"/>
      <c r="K28" s="1203"/>
      <c r="L28" s="1204"/>
      <c r="M28" s="1204"/>
      <c r="N28" s="1228" t="s">
        <v>1828</v>
      </c>
      <c r="O28" s="1229"/>
      <c r="P28" s="1230">
        <f>SUMPRODUCT((地价!A3:A40=YEAR(G23)&amp;"-"&amp;ROUNDUP(MONTH(G23)/3,0))*(地价!AD2:AH2=N28)*(地价!AD3:AH40))</f>
        <v>0</v>
      </c>
      <c r="Q28" s="1273"/>
      <c r="R28" s="1273"/>
      <c r="S28" s="1273"/>
      <c r="T28" s="1133"/>
      <c r="U28" s="1133"/>
      <c r="V28" s="1133"/>
      <c r="W28" s="952"/>
      <c r="X28" s="952"/>
      <c r="Y28" s="952"/>
      <c r="Z28" s="1203"/>
      <c r="AA28" s="1203"/>
      <c r="AB28" s="1203"/>
      <c r="AC28" s="1203"/>
      <c r="AD28" s="1203"/>
      <c r="AE28" s="1133"/>
      <c r="AF28" s="1133"/>
      <c r="AG28" s="1290"/>
      <c r="AH28" s="1290"/>
      <c r="AI28" s="1290"/>
      <c r="AJ28" s="1290"/>
    </row>
    <row r="29" ht="14.75" spans="1:36">
      <c r="A29" s="1071" t="s">
        <v>1829</v>
      </c>
      <c r="B29" s="1092" t="s">
        <v>1830</v>
      </c>
      <c r="C29" s="1093"/>
      <c r="D29" s="990"/>
      <c r="E29" s="990"/>
      <c r="F29" s="1094"/>
      <c r="G29" s="990"/>
      <c r="H29" s="990"/>
      <c r="I29" s="990"/>
      <c r="J29" s="1181"/>
      <c r="K29" s="952"/>
      <c r="L29" s="953"/>
      <c r="M29" s="953"/>
      <c r="N29" s="1231" t="s">
        <v>1831</v>
      </c>
      <c r="O29" s="1232"/>
      <c r="P29" s="1233">
        <f>SUMPRODUCT((地价!A3:A40=YEAR(G23)&amp;"-"&amp;ROUNDUP(MONTH(G23)/3,0))*(地价!AD2:AH2=N29)*(地价!AD3:AH40))</f>
        <v>0</v>
      </c>
      <c r="Q29" s="1273"/>
      <c r="R29" s="1273"/>
      <c r="S29" s="1273"/>
      <c r="T29" s="1133"/>
      <c r="U29" s="1133"/>
      <c r="V29" s="1133"/>
      <c r="W29" s="952"/>
      <c r="X29" s="952"/>
      <c r="Y29" s="952"/>
      <c r="Z29" s="1203"/>
      <c r="AA29" s="1203"/>
      <c r="AB29" s="1203"/>
      <c r="AC29" s="1203"/>
      <c r="AD29" s="1203"/>
      <c r="AE29" s="952"/>
      <c r="AF29" s="952"/>
      <c r="AG29" s="953"/>
      <c r="AH29" s="953"/>
      <c r="AI29" s="953"/>
      <c r="AJ29" s="953"/>
    </row>
    <row r="30" ht="14" spans="1:36">
      <c r="A30" s="1095"/>
      <c r="B30" s="1082" t="s">
        <v>1832</v>
      </c>
      <c r="C30" s="1096">
        <f>IF(B25="容积率修正",E33+SUM(E37:E42),SUM(V2:V16)+SUM(E37:E42))</f>
        <v>0</v>
      </c>
      <c r="D30" s="1097"/>
      <c r="E30" s="1086"/>
      <c r="F30" s="1098"/>
      <c r="G30" s="1086"/>
      <c r="H30" s="1086"/>
      <c r="I30" s="1086"/>
      <c r="J30" s="1234"/>
      <c r="K30" s="952"/>
      <c r="L30" s="1235" t="s">
        <v>1719</v>
      </c>
      <c r="M30" s="1236" t="s">
        <v>1833</v>
      </c>
      <c r="N30" s="1236" t="s">
        <v>1834</v>
      </c>
      <c r="O30" s="1236" t="s">
        <v>1835</v>
      </c>
      <c r="P30" s="1236" t="s">
        <v>1836</v>
      </c>
      <c r="Q30" s="1274" t="s">
        <v>280</v>
      </c>
      <c r="R30" s="1273"/>
      <c r="S30" s="1273"/>
      <c r="T30" s="1133"/>
      <c r="U30" s="1133"/>
      <c r="V30" s="1133"/>
      <c r="W30" s="952"/>
      <c r="X30" s="952"/>
      <c r="Y30" s="952"/>
      <c r="Z30" s="1203"/>
      <c r="AA30" s="1203"/>
      <c r="AB30" s="1203"/>
      <c r="AC30" s="1203"/>
      <c r="AD30" s="1203"/>
      <c r="AE30" s="952"/>
      <c r="AF30" s="952"/>
      <c r="AG30" s="953"/>
      <c r="AH30" s="953"/>
      <c r="AI30" s="953"/>
      <c r="AJ30" s="953"/>
    </row>
    <row r="31" ht="14.75" spans="1:36">
      <c r="A31" s="1095"/>
      <c r="B31" s="1099" t="s">
        <v>1837</v>
      </c>
      <c r="C31" s="1100">
        <f>E34+SUM(I37:I42)</f>
        <v>0</v>
      </c>
      <c r="D31" s="1101"/>
      <c r="E31" s="1102"/>
      <c r="F31" s="1103"/>
      <c r="G31" s="1102"/>
      <c r="H31" s="1102"/>
      <c r="I31" s="1102"/>
      <c r="J31" s="1237"/>
      <c r="K31" s="952"/>
      <c r="L31" s="1238" t="s">
        <v>1838</v>
      </c>
      <c r="M31" s="962">
        <v>0.25</v>
      </c>
      <c r="N31" s="962">
        <v>0.2</v>
      </c>
      <c r="O31" s="962">
        <v>0.15</v>
      </c>
      <c r="P31" s="962">
        <v>0.1</v>
      </c>
      <c r="Q31" s="1275">
        <v>0.15</v>
      </c>
      <c r="R31" s="1273"/>
      <c r="S31" s="1273"/>
      <c r="T31" s="1133"/>
      <c r="U31" s="1133"/>
      <c r="V31" s="1133"/>
      <c r="W31" s="952"/>
      <c r="X31" s="952"/>
      <c r="Y31" s="952"/>
      <c r="Z31" s="1203"/>
      <c r="AA31" s="1203"/>
      <c r="AB31" s="1203"/>
      <c r="AC31" s="1203"/>
      <c r="AD31" s="1203"/>
      <c r="AE31" s="952"/>
      <c r="AF31" s="952"/>
      <c r="AG31" s="953"/>
      <c r="AH31" s="953"/>
      <c r="AI31" s="953"/>
      <c r="AJ31" s="953"/>
    </row>
    <row r="32" ht="14.75" spans="1:36">
      <c r="A32" s="1104"/>
      <c r="B32" s="1105" t="s">
        <v>1839</v>
      </c>
      <c r="C32" s="1106" t="s">
        <v>1840</v>
      </c>
      <c r="D32" s="1106" t="s">
        <v>562</v>
      </c>
      <c r="E32" s="1107" t="s">
        <v>1841</v>
      </c>
      <c r="F32" s="1108"/>
      <c r="G32" s="1013"/>
      <c r="H32" s="1013"/>
      <c r="I32" s="1013"/>
      <c r="J32" s="1187"/>
      <c r="K32" s="952"/>
      <c r="L32" s="1239" t="s">
        <v>1810</v>
      </c>
      <c r="M32" s="1240">
        <f>ROUND($E$24*(1+M31),3)</f>
        <v>0.054</v>
      </c>
      <c r="N32" s="1240">
        <f>ROUND($E$24*(1+N31),3)</f>
        <v>0.052</v>
      </c>
      <c r="O32" s="1240">
        <f>ROUND($E$24*(1+O31),3)</f>
        <v>0.05</v>
      </c>
      <c r="P32" s="1240">
        <f>ROUND($E$24*(1+P31),3)</f>
        <v>0.048</v>
      </c>
      <c r="Q32" s="1276">
        <f>ROUND($E$24*(1+Q31),3)</f>
        <v>0.05</v>
      </c>
      <c r="R32" s="1273"/>
      <c r="S32" s="1273"/>
      <c r="T32" s="1133"/>
      <c r="U32" s="1133"/>
      <c r="V32" s="1133"/>
      <c r="W32" s="952"/>
      <c r="X32" s="952"/>
      <c r="Y32" s="952"/>
      <c r="Z32" s="1203"/>
      <c r="AA32" s="1203"/>
      <c r="AB32" s="1203"/>
      <c r="AC32" s="1203"/>
      <c r="AD32" s="1203"/>
      <c r="AE32" s="952"/>
      <c r="AF32" s="952"/>
      <c r="AG32" s="953"/>
      <c r="AH32" s="953"/>
      <c r="AI32" s="953"/>
      <c r="AJ32" s="953"/>
    </row>
    <row r="33" ht="14" spans="1:36">
      <c r="A33" s="1109"/>
      <c r="B33" s="1110" t="s">
        <v>1842</v>
      </c>
      <c r="C33" s="1111">
        <f>ROUND(C5*C22*C23*C24*C25*C28,0)</f>
        <v>6541</v>
      </c>
      <c r="D33" s="1112">
        <f>'数据-汇总表'!F19</f>
        <v>3013</v>
      </c>
      <c r="E33" s="1113">
        <f>ROUND(C33*D33/10000,0)</f>
        <v>1971</v>
      </c>
      <c r="F33" s="1114" t="s">
        <v>1843</v>
      </c>
      <c r="G33" s="1115"/>
      <c r="H33" s="1115"/>
      <c r="I33" s="1115"/>
      <c r="J33" s="1241"/>
      <c r="K33" s="952"/>
      <c r="L33" s="1242" t="s">
        <v>1844</v>
      </c>
      <c r="M33" s="1243">
        <v>0.055</v>
      </c>
      <c r="N33" s="1243">
        <v>0.055</v>
      </c>
      <c r="O33" s="1243">
        <v>0.05</v>
      </c>
      <c r="P33" s="1243">
        <v>0.05</v>
      </c>
      <c r="Q33" s="1243">
        <v>0.05</v>
      </c>
      <c r="R33" s="1273"/>
      <c r="S33" s="1273"/>
      <c r="T33" s="1133"/>
      <c r="U33" s="1133"/>
      <c r="V33" s="1133"/>
      <c r="W33" s="952"/>
      <c r="X33" s="952"/>
      <c r="Y33" s="952"/>
      <c r="Z33" s="1203"/>
      <c r="AA33" s="1203"/>
      <c r="AB33" s="1203"/>
      <c r="AC33" s="1203"/>
      <c r="AD33" s="1203"/>
      <c r="AE33" s="1133"/>
      <c r="AF33" s="1133"/>
      <c r="AG33" s="1290"/>
      <c r="AH33" s="1290"/>
      <c r="AI33" s="1290"/>
      <c r="AJ33" s="1290"/>
    </row>
    <row r="34" ht="26.75" spans="1:36">
      <c r="A34" s="1116"/>
      <c r="B34" s="1117" t="s">
        <v>1845</v>
      </c>
      <c r="C34" s="1055">
        <f>ROUND(IF(E2="工业",C33*M42,IF(B25="楼层修正",SUM(V2:V16)*M41*10000/D34,C33*M41)),0)</f>
        <v>981</v>
      </c>
      <c r="D34" s="1118"/>
      <c r="E34" s="1113">
        <f>ROUND(IF(B25="楼层修正",SUM(V2:V16)*M40,C34*D34/10000),0)</f>
        <v>0</v>
      </c>
      <c r="F34" s="1119" t="s">
        <v>1846</v>
      </c>
      <c r="G34" s="1120"/>
      <c r="H34" s="1120"/>
      <c r="I34" s="1120"/>
      <c r="J34" s="1244"/>
      <c r="K34" s="952"/>
      <c r="L34" s="1242" t="s">
        <v>1847</v>
      </c>
      <c r="M34" s="1243">
        <v>0.065</v>
      </c>
      <c r="N34" s="1243">
        <v>0.065</v>
      </c>
      <c r="O34" s="1243">
        <v>0.06</v>
      </c>
      <c r="P34" s="1243">
        <v>0.06</v>
      </c>
      <c r="Q34" s="1243">
        <v>0.06</v>
      </c>
      <c r="R34" s="1273"/>
      <c r="S34" s="1273"/>
      <c r="T34" s="1133"/>
      <c r="U34" s="1133"/>
      <c r="V34" s="1133"/>
      <c r="W34" s="952"/>
      <c r="X34" s="952"/>
      <c r="Y34" s="952"/>
      <c r="Z34" s="1203"/>
      <c r="AA34" s="1203"/>
      <c r="AB34" s="1203"/>
      <c r="AC34" s="1203"/>
      <c r="AD34" s="1203"/>
      <c r="AE34" s="1133"/>
      <c r="AF34" s="1133"/>
      <c r="AG34" s="1290"/>
      <c r="AH34" s="1290"/>
      <c r="AI34" s="1290"/>
      <c r="AJ34" s="1290"/>
    </row>
    <row r="35" ht="13" spans="1:36">
      <c r="A35" s="1121"/>
      <c r="B35" s="1122" t="s">
        <v>1848</v>
      </c>
      <c r="C35" s="1123" t="s">
        <v>1849</v>
      </c>
      <c r="D35" s="1013"/>
      <c r="E35" s="1124"/>
      <c r="F35" s="1124"/>
      <c r="G35" s="1011" t="s">
        <v>1846</v>
      </c>
      <c r="H35" s="1013"/>
      <c r="I35" s="1245"/>
      <c r="J35" s="1187"/>
      <c r="K35" s="952"/>
      <c r="L35" s="952"/>
      <c r="M35" s="952"/>
      <c r="N35" s="952"/>
      <c r="O35" s="1205"/>
      <c r="P35" s="1205"/>
      <c r="Q35" s="1273"/>
      <c r="R35" s="952"/>
      <c r="S35" s="952"/>
      <c r="T35" s="952"/>
      <c r="U35" s="952"/>
      <c r="V35" s="952"/>
      <c r="W35" s="952"/>
      <c r="X35" s="952"/>
      <c r="Y35" s="952"/>
      <c r="Z35" s="1133"/>
      <c r="AA35" s="1133"/>
      <c r="AB35" s="1133"/>
      <c r="AC35" s="1133"/>
      <c r="AD35" s="1133"/>
      <c r="AE35" s="1133"/>
      <c r="AF35" s="1133"/>
      <c r="AG35" s="1290"/>
      <c r="AH35" s="1290"/>
      <c r="AI35" s="1290"/>
      <c r="AJ35" s="1290"/>
    </row>
    <row r="36" ht="26.75" spans="1:36">
      <c r="A36" s="1109"/>
      <c r="B36" s="1125"/>
      <c r="C36" s="716" t="s">
        <v>1840</v>
      </c>
      <c r="D36" s="713" t="s">
        <v>562</v>
      </c>
      <c r="E36" s="713" t="s">
        <v>1841</v>
      </c>
      <c r="F36" s="959" t="s">
        <v>1850</v>
      </c>
      <c r="G36" s="1126" t="s">
        <v>1840</v>
      </c>
      <c r="H36" s="1126" t="s">
        <v>562</v>
      </c>
      <c r="I36" s="1126" t="s">
        <v>1841</v>
      </c>
      <c r="J36" s="444"/>
      <c r="K36" s="1246" t="s">
        <v>1851</v>
      </c>
      <c r="L36" s="1247">
        <f ca="1">'数据-取费表'!B40</f>
        <v>0.0335</v>
      </c>
      <c r="M36" s="1248">
        <f ca="1">ROUND($L$36*(1+M31),3)</f>
        <v>0.042</v>
      </c>
      <c r="N36" s="1248">
        <f ca="1">ROUND($L$36*(1+N31),3)</f>
        <v>0.04</v>
      </c>
      <c r="O36" s="1248">
        <f ca="1">ROUND($L$36*(1+O31),3)</f>
        <v>0.039</v>
      </c>
      <c r="P36" s="1248">
        <f ca="1">ROUND($L$36*(1+P31),3)</f>
        <v>0.037</v>
      </c>
      <c r="Q36" s="1248">
        <f ca="1">ROUND($L$36*(1+Q31),3)</f>
        <v>0.039</v>
      </c>
      <c r="R36" s="952"/>
      <c r="S36" s="952"/>
      <c r="T36" s="952"/>
      <c r="U36" s="952"/>
      <c r="V36" s="952"/>
      <c r="W36" s="952"/>
      <c r="X36" s="952"/>
      <c r="Y36" s="952"/>
      <c r="Z36" s="1133"/>
      <c r="AA36" s="1133"/>
      <c r="AB36" s="1133"/>
      <c r="AC36" s="1133"/>
      <c r="AD36" s="1133"/>
      <c r="AE36" s="1133"/>
      <c r="AF36" s="1133"/>
      <c r="AG36" s="1290"/>
      <c r="AH36" s="1290"/>
      <c r="AI36" s="1290"/>
      <c r="AJ36" s="1290"/>
    </row>
    <row r="37" ht="26.75" spans="1:36">
      <c r="A37" s="1127"/>
      <c r="B37" s="1128" t="s">
        <v>1852</v>
      </c>
      <c r="C37" s="1111">
        <f>ROUND(D5*C22*C23*C24*C28*F37,0)</f>
        <v>2613</v>
      </c>
      <c r="D37" s="1112"/>
      <c r="E37" s="998">
        <f>ROUND(C37*D37/10000,0)</f>
        <v>0</v>
      </c>
      <c r="F37" s="998">
        <f>SUMIF(修正!A57:A68,G2,修正!B57:B68)</f>
        <v>0.6</v>
      </c>
      <c r="G37" s="998">
        <f>ROUND(IF(E2="工业",C37*$M$42,C37*$M$41),0)</f>
        <v>392</v>
      </c>
      <c r="H37" s="998">
        <f>D37</f>
        <v>0</v>
      </c>
      <c r="I37" s="998">
        <f>ROUND(G37*H37/10000,0)</f>
        <v>0</v>
      </c>
      <c r="J37" s="1249"/>
      <c r="K37" s="1250" t="s">
        <v>1853</v>
      </c>
      <c r="L37" s="1246">
        <f ca="1">L36+K38</f>
        <v>0.0385</v>
      </c>
      <c r="M37" s="1248">
        <f ca="1">ROUND($L$37*(1+M31),3)</f>
        <v>0.048</v>
      </c>
      <c r="N37" s="1248">
        <f ca="1" t="shared" ref="N37:Q37" si="3">ROUND($L$37*(1+N31),3)</f>
        <v>0.046</v>
      </c>
      <c r="O37" s="1248">
        <f ca="1" t="shared" si="3"/>
        <v>0.044</v>
      </c>
      <c r="P37" s="1248">
        <f ca="1" t="shared" si="3"/>
        <v>0.042</v>
      </c>
      <c r="Q37" s="1248">
        <f ca="1" t="shared" si="3"/>
        <v>0.044</v>
      </c>
      <c r="R37" s="952"/>
      <c r="S37" s="952"/>
      <c r="T37" s="952"/>
      <c r="U37" s="952"/>
      <c r="V37" s="952"/>
      <c r="W37" s="952"/>
      <c r="X37" s="952"/>
      <c r="Y37" s="952"/>
      <c r="Z37" s="1133"/>
      <c r="AA37" s="1133"/>
      <c r="AB37" s="1133"/>
      <c r="AC37" s="1133"/>
      <c r="AD37" s="1133"/>
      <c r="AE37" s="1133"/>
      <c r="AF37" s="1133"/>
      <c r="AG37" s="1290"/>
      <c r="AH37" s="1290"/>
      <c r="AI37" s="1290"/>
      <c r="AJ37" s="1290"/>
    </row>
    <row r="38" ht="13" spans="1:30">
      <c r="A38" s="1129"/>
      <c r="B38" s="1016" t="s">
        <v>1854</v>
      </c>
      <c r="C38" s="1111">
        <f>ROUND(D5*C22*C23*C24*C28*F38,0)</f>
        <v>1307</v>
      </c>
      <c r="D38" s="1112"/>
      <c r="E38" s="998">
        <f t="shared" ref="E38:E42" si="4">ROUND(C38*D38/10000,0)</f>
        <v>0</v>
      </c>
      <c r="F38" s="998">
        <f>SUMIF(修正!A57:A68,G2,修正!C57:C68)</f>
        <v>0.3</v>
      </c>
      <c r="G38" s="998">
        <f>ROUND(IF(E2="工业",C38*$M$42,C38*$M$41),0)</f>
        <v>196</v>
      </c>
      <c r="H38" s="998">
        <f t="shared" ref="H38:H42" si="5">D38</f>
        <v>0</v>
      </c>
      <c r="I38" s="998">
        <f t="shared" ref="I38:I42" si="6">ROUND(G38*H38/10000,0)</f>
        <v>0</v>
      </c>
      <c r="J38" s="1129"/>
      <c r="K38" s="1246">
        <v>0.005</v>
      </c>
      <c r="L38" s="1246"/>
      <c r="M38" s="1246"/>
      <c r="N38" s="1246"/>
      <c r="O38" s="1246"/>
      <c r="P38" s="1246"/>
      <c r="Q38" s="1246"/>
      <c r="R38" s="952"/>
      <c r="S38" s="952"/>
      <c r="T38" s="952"/>
      <c r="U38" s="952"/>
      <c r="V38" s="952"/>
      <c r="W38" s="952"/>
      <c r="X38" s="952"/>
      <c r="Y38" s="952"/>
      <c r="Z38" s="1133"/>
      <c r="AA38" s="1133"/>
      <c r="AB38" s="1133"/>
      <c r="AC38" s="1133"/>
      <c r="AD38" s="1133"/>
    </row>
    <row r="39" ht="13.75" spans="1:30">
      <c r="A39" s="1129"/>
      <c r="B39" s="1016" t="s">
        <v>1855</v>
      </c>
      <c r="C39" s="1111">
        <f>ROUND(D5*C22*C23*C24*C28*F39,0)</f>
        <v>1089</v>
      </c>
      <c r="D39" s="1112"/>
      <c r="E39" s="998">
        <f t="shared" si="4"/>
        <v>0</v>
      </c>
      <c r="F39" s="998">
        <f>SUMIF(修正!A57:A68,G2,修正!D57:D68)</f>
        <v>0.25</v>
      </c>
      <c r="G39" s="998">
        <f>ROUND(IF(E2="工业",C39*$M$42,C39*$M$41),0)</f>
        <v>163</v>
      </c>
      <c r="H39" s="998">
        <f t="shared" si="5"/>
        <v>0</v>
      </c>
      <c r="I39" s="998">
        <f t="shared" si="6"/>
        <v>0</v>
      </c>
      <c r="J39" s="1129"/>
      <c r="K39" s="952"/>
      <c r="L39" s="952"/>
      <c r="M39" s="952"/>
      <c r="N39" s="952"/>
      <c r="O39" s="952"/>
      <c r="P39" s="952"/>
      <c r="Q39" s="952"/>
      <c r="R39" s="952"/>
      <c r="S39" s="952"/>
      <c r="T39" s="952"/>
      <c r="U39" s="952"/>
      <c r="V39" s="952"/>
      <c r="W39" s="952"/>
      <c r="X39" s="952"/>
      <c r="Y39" s="952"/>
      <c r="Z39" s="1133"/>
      <c r="AA39" s="1133"/>
      <c r="AB39" s="1133"/>
      <c r="AC39" s="1133"/>
      <c r="AD39" s="1133"/>
    </row>
    <row r="40" s="952" customFormat="1" ht="13" spans="1:36">
      <c r="A40" s="1130"/>
      <c r="B40" s="1016" t="s">
        <v>1856</v>
      </c>
      <c r="C40" s="998">
        <f>ROUND(D5*C22*C23*C24*C28*F40,0)</f>
        <v>1089</v>
      </c>
      <c r="D40" s="1112"/>
      <c r="E40" s="998">
        <f t="shared" si="4"/>
        <v>0</v>
      </c>
      <c r="F40" s="1111">
        <f>SUMIF(修正!A57:A68,G2,修正!E57:E68)</f>
        <v>0.25</v>
      </c>
      <c r="G40" s="998">
        <f>ROUND(IF(E2="工业",C40*$M$42,C40*$M$41),0)</f>
        <v>163</v>
      </c>
      <c r="H40" s="998">
        <f t="shared" si="5"/>
        <v>0</v>
      </c>
      <c r="I40" s="998">
        <f t="shared" si="6"/>
        <v>0</v>
      </c>
      <c r="J40" s="1251"/>
      <c r="L40" s="1252" t="s">
        <v>1857</v>
      </c>
      <c r="M40" s="1253"/>
      <c r="Z40" s="1133"/>
      <c r="AA40" s="1133"/>
      <c r="AB40" s="1133"/>
      <c r="AC40" s="1133"/>
      <c r="AD40" s="1133"/>
      <c r="AE40" s="1133"/>
      <c r="AF40" s="1133"/>
      <c r="AG40" s="1133"/>
      <c r="AH40" s="1133"/>
      <c r="AI40" s="1133"/>
      <c r="AJ40" s="1133"/>
    </row>
    <row r="41" s="952" customFormat="1" ht="13" spans="1:36">
      <c r="A41" s="1130"/>
      <c r="B41" s="1016" t="s">
        <v>1858</v>
      </c>
      <c r="C41" s="998">
        <f>ROUND(D5*C22*C23*C44*C28*F41,0)</f>
        <v>0</v>
      </c>
      <c r="D41" s="1112"/>
      <c r="E41" s="998">
        <f t="shared" si="4"/>
        <v>0</v>
      </c>
      <c r="F41" s="1111">
        <f>SUMIF(修正!A57:A68,G2,修正!F57:F68)</f>
        <v>0.25</v>
      </c>
      <c r="G41" s="998">
        <f>ROUND(IF(E2="工业",C41*$M$42,C41*$M$41),0)</f>
        <v>0</v>
      </c>
      <c r="H41" s="998">
        <f t="shared" si="5"/>
        <v>0</v>
      </c>
      <c r="I41" s="998">
        <f t="shared" si="6"/>
        <v>0</v>
      </c>
      <c r="J41" s="1251"/>
      <c r="L41" s="1254" t="s">
        <v>1859</v>
      </c>
      <c r="M41" s="1255">
        <v>0.25</v>
      </c>
      <c r="Z41" s="1133"/>
      <c r="AA41" s="1133"/>
      <c r="AB41" s="1133"/>
      <c r="AC41" s="1133"/>
      <c r="AD41" s="1133"/>
      <c r="AE41" s="1133"/>
      <c r="AF41" s="1133"/>
      <c r="AG41" s="1133"/>
      <c r="AH41" s="1133"/>
      <c r="AI41" s="1133"/>
      <c r="AJ41" s="1133"/>
    </row>
    <row r="42" s="952" customFormat="1" ht="13.75" spans="1:36">
      <c r="A42" s="1116"/>
      <c r="B42" s="1131" t="s">
        <v>1860</v>
      </c>
      <c r="C42" s="1055">
        <f>ROUND(D5*C22*C23*C44*C28*F42,0)</f>
        <v>0</v>
      </c>
      <c r="D42" s="1118"/>
      <c r="E42" s="1055">
        <f t="shared" si="4"/>
        <v>0</v>
      </c>
      <c r="F42" s="1132">
        <f>SUMIF(修正!A57:A68,G2,修正!G57:G68)</f>
        <v>0.15</v>
      </c>
      <c r="G42" s="1055">
        <f>ROUND(IF(E2="工业",C42*$M$42,C42*$M$41),0)</f>
        <v>0</v>
      </c>
      <c r="H42" s="1055">
        <f t="shared" si="5"/>
        <v>0</v>
      </c>
      <c r="I42" s="1055">
        <f t="shared" si="6"/>
        <v>0</v>
      </c>
      <c r="J42" s="1256"/>
      <c r="L42" s="1257" t="s">
        <v>1836</v>
      </c>
      <c r="M42" s="1258">
        <v>0.15</v>
      </c>
      <c r="Z42" s="1133"/>
      <c r="AA42" s="1133"/>
      <c r="AB42" s="1133"/>
      <c r="AC42" s="1133"/>
      <c r="AD42" s="1133"/>
      <c r="AE42" s="1133"/>
      <c r="AF42" s="1133"/>
      <c r="AG42" s="1133"/>
      <c r="AH42" s="1133"/>
      <c r="AI42" s="1133"/>
      <c r="AJ42" s="1133"/>
    </row>
    <row r="43" s="952" customFormat="1" spans="26:36">
      <c r="Z43" s="1133"/>
      <c r="AA43" s="1133"/>
      <c r="AB43" s="1133"/>
      <c r="AC43" s="1133"/>
      <c r="AD43" s="1133"/>
      <c r="AE43" s="1133"/>
      <c r="AF43" s="1133"/>
      <c r="AG43" s="1133"/>
      <c r="AH43" s="1133"/>
      <c r="AI43" s="1133"/>
      <c r="AJ43" s="1133"/>
    </row>
    <row r="44" s="952" customFormat="1" ht="13" spans="1:36">
      <c r="A44" s="1133"/>
      <c r="B44" s="1134" t="s">
        <v>1861</v>
      </c>
      <c r="C44" s="959">
        <f>ROUND(POWER(1+E44,H44-G44)*(POWER(1+E44,G44)-1)/(POWER(1+E44,H44)-1),4)</f>
        <v>0</v>
      </c>
      <c r="D44" s="998" t="s">
        <v>1810</v>
      </c>
      <c r="E44" s="1135">
        <f>G24</f>
        <v>0.05</v>
      </c>
      <c r="F44" s="998" t="s">
        <v>1811</v>
      </c>
      <c r="G44" s="1136"/>
      <c r="H44" s="998">
        <v>50</v>
      </c>
      <c r="Z44" s="1133"/>
      <c r="AA44" s="1133"/>
      <c r="AB44" s="1133"/>
      <c r="AC44" s="1133"/>
      <c r="AD44" s="1133"/>
      <c r="AE44" s="1133"/>
      <c r="AF44" s="1133"/>
      <c r="AG44" s="1133"/>
      <c r="AH44" s="1133"/>
      <c r="AI44" s="1133"/>
      <c r="AJ44" s="1133"/>
    </row>
    <row r="45" s="952" customFormat="1" spans="1:36">
      <c r="A45" s="1133"/>
      <c r="B45" s="1137"/>
      <c r="Z45" s="1133"/>
      <c r="AA45" s="1133"/>
      <c r="AB45" s="1133"/>
      <c r="AC45" s="1133"/>
      <c r="AD45" s="1133"/>
      <c r="AE45" s="1133"/>
      <c r="AF45" s="1133"/>
      <c r="AG45" s="1133"/>
      <c r="AH45" s="1133"/>
      <c r="AI45" s="1133"/>
      <c r="AJ45" s="1133"/>
    </row>
    <row r="46" s="952" customFormat="1" spans="1:37">
      <c r="A46" s="1133"/>
      <c r="B46" s="1137"/>
      <c r="AA46" s="1133"/>
      <c r="AB46" s="1133"/>
      <c r="AC46" s="1133"/>
      <c r="AD46" s="1133"/>
      <c r="AE46" s="1133"/>
      <c r="AF46" s="1133"/>
      <c r="AG46" s="1133"/>
      <c r="AH46" s="1133"/>
      <c r="AI46" s="1133"/>
      <c r="AJ46" s="1133"/>
      <c r="AK46" s="1133"/>
    </row>
    <row r="47" s="952" customFormat="1" ht="14.75" spans="1:37">
      <c r="A47" s="1138" t="s">
        <v>1862</v>
      </c>
      <c r="B47" s="1139"/>
      <c r="C47" s="1140"/>
      <c r="D47" s="1140"/>
      <c r="E47" s="1140"/>
      <c r="F47" s="1141"/>
      <c r="G47" s="1141"/>
      <c r="H47" s="1141"/>
      <c r="I47" s="1259"/>
      <c r="J47" s="1259"/>
      <c r="K47" s="1259"/>
      <c r="L47" s="1259"/>
      <c r="M47" s="1259"/>
      <c r="AA47" s="1133"/>
      <c r="AB47" s="1133"/>
      <c r="AC47" s="1133"/>
      <c r="AD47" s="1133"/>
      <c r="AE47" s="1133"/>
      <c r="AF47" s="1133"/>
      <c r="AG47" s="1133"/>
      <c r="AH47" s="1133"/>
      <c r="AI47" s="1133"/>
      <c r="AJ47" s="1133"/>
      <c r="AK47" s="1133"/>
    </row>
    <row r="48" s="952" customFormat="1" ht="14" spans="1:37">
      <c r="A48" s="1142" t="s">
        <v>1863</v>
      </c>
      <c r="B48" s="1143">
        <f>1+E50</f>
        <v>1</v>
      </c>
      <c r="C48" s="1144"/>
      <c r="D48" s="1145"/>
      <c r="E48" s="1146"/>
      <c r="F48" s="1147"/>
      <c r="G48" s="1141"/>
      <c r="H48" s="1140"/>
      <c r="I48" s="1259"/>
      <c r="J48" s="1259"/>
      <c r="K48" s="1259"/>
      <c r="L48" s="1259"/>
      <c r="M48" s="1259"/>
      <c r="AA48" s="1133"/>
      <c r="AB48" s="1133"/>
      <c r="AC48" s="1133"/>
      <c r="AD48" s="1133"/>
      <c r="AE48" s="1133"/>
      <c r="AF48" s="1133"/>
      <c r="AG48" s="1133"/>
      <c r="AH48" s="1133"/>
      <c r="AI48" s="1133"/>
      <c r="AJ48" s="1133"/>
      <c r="AK48" s="1133"/>
    </row>
    <row r="49" s="952" customFormat="1" ht="26" spans="1:37">
      <c r="A49" s="1148" t="s">
        <v>1864</v>
      </c>
      <c r="B49" s="1149" t="s">
        <v>1865</v>
      </c>
      <c r="C49" s="1149" t="s">
        <v>1866</v>
      </c>
      <c r="D49" s="1149" t="s">
        <v>1867</v>
      </c>
      <c r="E49" s="1150" t="s">
        <v>1868</v>
      </c>
      <c r="F49" s="1151" t="s">
        <v>1869</v>
      </c>
      <c r="G49" s="1149" t="s">
        <v>1683</v>
      </c>
      <c r="H49" s="1152" t="s">
        <v>1870</v>
      </c>
      <c r="I49" s="1149" t="s">
        <v>1871</v>
      </c>
      <c r="J49" s="899" t="s">
        <v>1225</v>
      </c>
      <c r="K49" s="899" t="s">
        <v>1226</v>
      </c>
      <c r="L49" s="899" t="s">
        <v>1227</v>
      </c>
      <c r="M49" s="899" t="s">
        <v>1228</v>
      </c>
      <c r="N49" s="899" t="s">
        <v>1229</v>
      </c>
      <c r="AA49" s="1133"/>
      <c r="AB49" s="1133"/>
      <c r="AC49" s="1133"/>
      <c r="AD49" s="1133"/>
      <c r="AE49" s="1133"/>
      <c r="AF49" s="1133"/>
      <c r="AG49" s="1133"/>
      <c r="AH49" s="1133"/>
      <c r="AI49" s="1133"/>
      <c r="AJ49" s="1133"/>
      <c r="AK49" s="1133"/>
    </row>
    <row r="50" s="952" customFormat="1" ht="39" spans="1:37">
      <c r="A50" s="1148" t="s">
        <v>1872</v>
      </c>
      <c r="B50" s="1153" t="str">
        <f>估价对象房地状况!C4</f>
        <v>估价对象位于XX商圈，周边商业氛围成熟，人流量大，商业繁华度好</v>
      </c>
      <c r="C50" s="1022"/>
      <c r="D50" s="1154">
        <f t="shared" ref="D50:D58" si="7">SUMIF($J$49:$N$49,C50,J50:N50)</f>
        <v>0</v>
      </c>
      <c r="E50" s="1155">
        <f>ROUND(SUM(D50:D58),4)</f>
        <v>0</v>
      </c>
      <c r="F50" s="1156" t="str">
        <f>IF(E2="商业",SUMIF(L1:L12,G2,N1:N12),"——")</f>
        <v>——</v>
      </c>
      <c r="G50" s="1157"/>
      <c r="H50" s="1158" t="str">
        <f t="shared" ref="H50:H58" si="8">IFERROR(ROUNDDOWN($F$50*I50/2,4),"——")</f>
        <v>——</v>
      </c>
      <c r="I50" s="1260">
        <v>0.3</v>
      </c>
      <c r="J50" s="1261">
        <f t="shared" ref="J50:J58" si="9">K50+$G50</f>
        <v>0</v>
      </c>
      <c r="K50" s="1261">
        <f t="shared" ref="K50:K58" si="10">$L50+$G50</f>
        <v>0</v>
      </c>
      <c r="L50" s="1261">
        <v>0</v>
      </c>
      <c r="M50" s="1261">
        <f t="shared" ref="M50:N58" si="11">L50-$G50</f>
        <v>0</v>
      </c>
      <c r="N50" s="1261">
        <f t="shared" si="11"/>
        <v>0</v>
      </c>
      <c r="AA50" s="1133"/>
      <c r="AB50" s="1133"/>
      <c r="AC50" s="1133"/>
      <c r="AD50" s="1133"/>
      <c r="AE50" s="1133"/>
      <c r="AF50" s="1133"/>
      <c r="AG50" s="1133"/>
      <c r="AH50" s="1133"/>
      <c r="AI50" s="1133"/>
      <c r="AJ50" s="1133"/>
      <c r="AK50" s="1133"/>
    </row>
    <row r="51" s="952" customFormat="1" ht="52" spans="1:37">
      <c r="A51" s="1148" t="s">
        <v>1873</v>
      </c>
      <c r="B51" s="1159" t="str">
        <f>估价对象房地状况!C18</f>
        <v>估价对象周边道路状况、公共交通通达情况、停车便捷程度，综合评价交通便捷度较好</v>
      </c>
      <c r="C51" s="1022"/>
      <c r="D51" s="1154">
        <f t="shared" si="7"/>
        <v>0</v>
      </c>
      <c r="E51" s="1160"/>
      <c r="F51" s="1156"/>
      <c r="G51" s="1157"/>
      <c r="H51" s="1158" t="str">
        <f t="shared" si="8"/>
        <v>——</v>
      </c>
      <c r="I51" s="1260">
        <v>0.22</v>
      </c>
      <c r="J51" s="1261">
        <f t="shared" si="9"/>
        <v>0</v>
      </c>
      <c r="K51" s="1261">
        <f t="shared" si="10"/>
        <v>0</v>
      </c>
      <c r="L51" s="1261">
        <v>0</v>
      </c>
      <c r="M51" s="1261">
        <f t="shared" si="11"/>
        <v>0</v>
      </c>
      <c r="N51" s="1261">
        <f t="shared" si="11"/>
        <v>0</v>
      </c>
      <c r="AA51" s="1133"/>
      <c r="AB51" s="1133"/>
      <c r="AC51" s="1133"/>
      <c r="AD51" s="1133"/>
      <c r="AE51" s="1133"/>
      <c r="AF51" s="1133"/>
      <c r="AG51" s="1133"/>
      <c r="AH51" s="1133"/>
      <c r="AI51" s="1133"/>
      <c r="AJ51" s="1133"/>
      <c r="AK51" s="1133"/>
    </row>
    <row r="52" s="952" customFormat="1" ht="39" spans="1:37">
      <c r="A52" s="1161" t="s">
        <v>1874</v>
      </c>
      <c r="B52" s="1159">
        <f>估价对象房地状况!C19</f>
        <v>0</v>
      </c>
      <c r="C52" s="1022"/>
      <c r="D52" s="1154">
        <f t="shared" si="7"/>
        <v>0</v>
      </c>
      <c r="E52" s="1160"/>
      <c r="F52" s="1156"/>
      <c r="G52" s="1157"/>
      <c r="H52" s="1158" t="str">
        <f t="shared" si="8"/>
        <v>——</v>
      </c>
      <c r="I52" s="1260">
        <v>0.12</v>
      </c>
      <c r="J52" s="1261">
        <f t="shared" si="9"/>
        <v>0</v>
      </c>
      <c r="K52" s="1261">
        <f t="shared" si="10"/>
        <v>0</v>
      </c>
      <c r="L52" s="1261">
        <v>0</v>
      </c>
      <c r="M52" s="1261">
        <f t="shared" si="11"/>
        <v>0</v>
      </c>
      <c r="N52" s="1261">
        <f t="shared" si="11"/>
        <v>0</v>
      </c>
      <c r="AA52" s="1133"/>
      <c r="AB52" s="1133"/>
      <c r="AC52" s="1133"/>
      <c r="AD52" s="1133"/>
      <c r="AE52" s="1133"/>
      <c r="AF52" s="1133"/>
      <c r="AG52" s="1133"/>
      <c r="AH52" s="1133"/>
      <c r="AI52" s="1133"/>
      <c r="AJ52" s="1133"/>
      <c r="AK52" s="1133"/>
    </row>
    <row r="53" s="952" customFormat="1" ht="39" spans="1:37">
      <c r="A53" s="1148" t="s">
        <v>1875</v>
      </c>
      <c r="B53" s="1162" t="s">
        <v>1876</v>
      </c>
      <c r="C53" s="1022"/>
      <c r="D53" s="1154">
        <f t="shared" si="7"/>
        <v>0</v>
      </c>
      <c r="E53" s="1160"/>
      <c r="F53" s="1156"/>
      <c r="G53" s="1157"/>
      <c r="H53" s="1158" t="str">
        <f t="shared" si="8"/>
        <v>——</v>
      </c>
      <c r="I53" s="1260">
        <v>0.05</v>
      </c>
      <c r="J53" s="1261">
        <f t="shared" si="9"/>
        <v>0</v>
      </c>
      <c r="K53" s="1261">
        <f t="shared" si="10"/>
        <v>0</v>
      </c>
      <c r="L53" s="1261">
        <v>0</v>
      </c>
      <c r="M53" s="1261">
        <f t="shared" si="11"/>
        <v>0</v>
      </c>
      <c r="N53" s="1261">
        <f t="shared" si="11"/>
        <v>0</v>
      </c>
      <c r="AA53" s="1133"/>
      <c r="AB53" s="1133"/>
      <c r="AC53" s="1133"/>
      <c r="AD53" s="1133"/>
      <c r="AE53" s="1133"/>
      <c r="AF53" s="1133"/>
      <c r="AG53" s="1133"/>
      <c r="AH53" s="1133"/>
      <c r="AI53" s="1133"/>
      <c r="AJ53" s="1133"/>
      <c r="AK53" s="1133"/>
    </row>
    <row r="54" s="952" customFormat="1" ht="26" spans="1:37">
      <c r="A54" s="1148" t="s">
        <v>1877</v>
      </c>
      <c r="B54" s="1159">
        <f>估价对象房地状况!C24</f>
        <v>0</v>
      </c>
      <c r="C54" s="1022"/>
      <c r="D54" s="1154">
        <f t="shared" si="7"/>
        <v>0</v>
      </c>
      <c r="E54" s="1160"/>
      <c r="F54" s="1156"/>
      <c r="G54" s="1157"/>
      <c r="H54" s="1158" t="str">
        <f t="shared" si="8"/>
        <v>——</v>
      </c>
      <c r="I54" s="1260">
        <v>0.08</v>
      </c>
      <c r="J54" s="1261">
        <f t="shared" si="9"/>
        <v>0</v>
      </c>
      <c r="K54" s="1261">
        <f t="shared" si="10"/>
        <v>0</v>
      </c>
      <c r="L54" s="1261">
        <v>0</v>
      </c>
      <c r="M54" s="1261">
        <f t="shared" si="11"/>
        <v>0</v>
      </c>
      <c r="N54" s="1261">
        <f t="shared" si="11"/>
        <v>0</v>
      </c>
      <c r="AA54" s="1133"/>
      <c r="AB54" s="1133"/>
      <c r="AC54" s="1133"/>
      <c r="AD54" s="1133"/>
      <c r="AE54" s="1133"/>
      <c r="AF54" s="1133"/>
      <c r="AG54" s="1133"/>
      <c r="AH54" s="1133"/>
      <c r="AI54" s="1133"/>
      <c r="AJ54" s="1133"/>
      <c r="AK54" s="1133"/>
    </row>
    <row r="55" s="952" customFormat="1" ht="26" spans="1:37">
      <c r="A55" s="1148" t="s">
        <v>1878</v>
      </c>
      <c r="B55" s="1163" t="s">
        <v>1879</v>
      </c>
      <c r="C55" s="1022"/>
      <c r="D55" s="1154">
        <f t="shared" si="7"/>
        <v>0</v>
      </c>
      <c r="E55" s="1160"/>
      <c r="F55" s="1156"/>
      <c r="G55" s="1157"/>
      <c r="H55" s="1158" t="str">
        <f t="shared" si="8"/>
        <v>——</v>
      </c>
      <c r="I55" s="1260">
        <v>0.05</v>
      </c>
      <c r="J55" s="1261">
        <f t="shared" si="9"/>
        <v>0</v>
      </c>
      <c r="K55" s="1261">
        <f t="shared" si="10"/>
        <v>0</v>
      </c>
      <c r="L55" s="1261">
        <v>0</v>
      </c>
      <c r="M55" s="1261">
        <f t="shared" si="11"/>
        <v>0</v>
      </c>
      <c r="N55" s="1261">
        <f t="shared" si="11"/>
        <v>0</v>
      </c>
      <c r="AA55" s="1133"/>
      <c r="AB55" s="1133"/>
      <c r="AC55" s="1133"/>
      <c r="AD55" s="1133"/>
      <c r="AE55" s="1133"/>
      <c r="AF55" s="1133"/>
      <c r="AG55" s="1133"/>
      <c r="AH55" s="1133"/>
      <c r="AI55" s="1133"/>
      <c r="AJ55" s="1133"/>
      <c r="AK55" s="1133"/>
    </row>
    <row r="56" s="952" customFormat="1" ht="26" spans="1:37">
      <c r="A56" s="1164" t="s">
        <v>1880</v>
      </c>
      <c r="B56" s="1165" t="str">
        <f>估价对象房地状况!C21</f>
        <v>估价对象所在区域公共配套设施齐备情况</v>
      </c>
      <c r="C56" s="1022"/>
      <c r="D56" s="1154">
        <f t="shared" si="7"/>
        <v>0</v>
      </c>
      <c r="E56" s="1160"/>
      <c r="F56" s="1156"/>
      <c r="G56" s="1157"/>
      <c r="H56" s="1158" t="str">
        <f t="shared" si="8"/>
        <v>——</v>
      </c>
      <c r="I56" s="1260">
        <v>0.05</v>
      </c>
      <c r="J56" s="1261">
        <f t="shared" si="9"/>
        <v>0</v>
      </c>
      <c r="K56" s="1261">
        <f t="shared" si="10"/>
        <v>0</v>
      </c>
      <c r="L56" s="1261">
        <v>0</v>
      </c>
      <c r="M56" s="1261">
        <f t="shared" si="11"/>
        <v>0</v>
      </c>
      <c r="N56" s="1261">
        <f t="shared" si="11"/>
        <v>0</v>
      </c>
      <c r="AA56" s="1133"/>
      <c r="AB56" s="1133"/>
      <c r="AC56" s="1133"/>
      <c r="AD56" s="1133"/>
      <c r="AE56" s="1133"/>
      <c r="AF56" s="1133"/>
      <c r="AG56" s="1133"/>
      <c r="AH56" s="1133"/>
      <c r="AI56" s="1133"/>
      <c r="AJ56" s="1133"/>
      <c r="AK56" s="1133"/>
    </row>
    <row r="57" s="952" customFormat="1" ht="26" spans="1:37">
      <c r="A57" s="1164" t="s">
        <v>1881</v>
      </c>
      <c r="B57" s="1159" t="str">
        <f>估价对象房地状况!C22</f>
        <v>估价对象所在区域基础设施水平</v>
      </c>
      <c r="C57" s="1022"/>
      <c r="D57" s="1154">
        <f t="shared" si="7"/>
        <v>0</v>
      </c>
      <c r="E57" s="1160"/>
      <c r="F57" s="1156"/>
      <c r="G57" s="1157"/>
      <c r="H57" s="1158" t="str">
        <f t="shared" si="8"/>
        <v>——</v>
      </c>
      <c r="I57" s="1260">
        <v>0.08</v>
      </c>
      <c r="J57" s="1261">
        <f t="shared" si="9"/>
        <v>0</v>
      </c>
      <c r="K57" s="1261">
        <f t="shared" si="10"/>
        <v>0</v>
      </c>
      <c r="L57" s="1261">
        <v>0</v>
      </c>
      <c r="M57" s="1261">
        <f t="shared" si="11"/>
        <v>0</v>
      </c>
      <c r="N57" s="1261">
        <f t="shared" si="11"/>
        <v>0</v>
      </c>
      <c r="AA57" s="1133"/>
      <c r="AB57" s="1133"/>
      <c r="AC57" s="1133"/>
      <c r="AD57" s="1133"/>
      <c r="AE57" s="1133"/>
      <c r="AF57" s="1133"/>
      <c r="AG57" s="1133"/>
      <c r="AH57" s="1133"/>
      <c r="AI57" s="1133"/>
      <c r="AJ57" s="1133"/>
      <c r="AK57" s="1133"/>
    </row>
    <row r="58" s="952" customFormat="1" ht="26.75" spans="1:37">
      <c r="A58" s="1166" t="s">
        <v>1882</v>
      </c>
      <c r="B58" s="1167" t="str">
        <f>估价对象房地状况!C20</f>
        <v>区域自然环境：；人文环境；综合评价环境状况一般</v>
      </c>
      <c r="C58" s="1022"/>
      <c r="D58" s="1154">
        <f t="shared" si="7"/>
        <v>0</v>
      </c>
      <c r="E58" s="1168"/>
      <c r="F58" s="1156"/>
      <c r="G58" s="1157"/>
      <c r="H58" s="1158" t="str">
        <f t="shared" si="8"/>
        <v>——</v>
      </c>
      <c r="I58" s="1262">
        <v>0.05</v>
      </c>
      <c r="J58" s="1261">
        <f t="shared" si="9"/>
        <v>0</v>
      </c>
      <c r="K58" s="1261">
        <f t="shared" si="10"/>
        <v>0</v>
      </c>
      <c r="L58" s="1261">
        <v>0</v>
      </c>
      <c r="M58" s="1261">
        <f t="shared" si="11"/>
        <v>0</v>
      </c>
      <c r="N58" s="1261">
        <f t="shared" si="11"/>
        <v>0</v>
      </c>
      <c r="AA58" s="1133"/>
      <c r="AB58" s="1133"/>
      <c r="AC58" s="1133"/>
      <c r="AD58" s="1133"/>
      <c r="AE58" s="1133"/>
      <c r="AF58" s="1133"/>
      <c r="AG58" s="1133"/>
      <c r="AH58" s="1133"/>
      <c r="AI58" s="1133"/>
      <c r="AJ58" s="1133"/>
      <c r="AK58" s="1133"/>
    </row>
    <row r="59" s="952" customFormat="1" ht="14" spans="1:37">
      <c r="A59" s="1142" t="s">
        <v>1883</v>
      </c>
      <c r="B59" s="1143">
        <f>1+E61</f>
        <v>1</v>
      </c>
      <c r="C59" s="1145"/>
      <c r="D59" s="1145"/>
      <c r="E59" s="1146"/>
      <c r="F59" s="1147"/>
      <c r="G59" s="1141"/>
      <c r="H59" s="1141"/>
      <c r="I59" s="1141"/>
      <c r="J59" s="1140"/>
      <c r="K59" s="1140"/>
      <c r="L59" s="1140"/>
      <c r="M59" s="1140"/>
      <c r="N59" s="1140"/>
      <c r="AA59" s="1133"/>
      <c r="AB59" s="1133"/>
      <c r="AC59" s="1133"/>
      <c r="AD59" s="1133"/>
      <c r="AE59" s="1133"/>
      <c r="AF59" s="1133"/>
      <c r="AG59" s="1133"/>
      <c r="AH59" s="1133"/>
      <c r="AI59" s="1133"/>
      <c r="AJ59" s="1133"/>
      <c r="AK59" s="1133"/>
    </row>
    <row r="60" s="952" customFormat="1" ht="26" spans="1:37">
      <c r="A60" s="1148" t="s">
        <v>1864</v>
      </c>
      <c r="B60" s="1149"/>
      <c r="C60" s="1149" t="s">
        <v>1866</v>
      </c>
      <c r="D60" s="1149" t="s">
        <v>1867</v>
      </c>
      <c r="E60" s="1150" t="s">
        <v>1868</v>
      </c>
      <c r="F60" s="1151" t="s">
        <v>1884</v>
      </c>
      <c r="G60" s="1149" t="s">
        <v>1683</v>
      </c>
      <c r="H60" s="1152" t="s">
        <v>1870</v>
      </c>
      <c r="I60" s="1149" t="s">
        <v>1871</v>
      </c>
      <c r="J60" s="899" t="s">
        <v>1225</v>
      </c>
      <c r="K60" s="899" t="s">
        <v>1226</v>
      </c>
      <c r="L60" s="899" t="s">
        <v>1227</v>
      </c>
      <c r="M60" s="899" t="s">
        <v>1228</v>
      </c>
      <c r="N60" s="899" t="s">
        <v>1229</v>
      </c>
      <c r="AA60" s="1133"/>
      <c r="AB60" s="1133"/>
      <c r="AC60" s="1133"/>
      <c r="AD60" s="1133"/>
      <c r="AE60" s="1133"/>
      <c r="AF60" s="1133"/>
      <c r="AG60" s="1133"/>
      <c r="AH60" s="1133"/>
      <c r="AI60" s="1133"/>
      <c r="AJ60" s="1133"/>
      <c r="AK60" s="1133"/>
    </row>
    <row r="61" s="952" customFormat="1" ht="39" spans="1:37">
      <c r="A61" s="1148" t="s">
        <v>1885</v>
      </c>
      <c r="B61" s="1153" t="str">
        <f>估价对象房地状况!C17</f>
        <v>估价对象位于XX商圈，周边办公楼项目较多，入驻率高，办公集聚程度较好</v>
      </c>
      <c r="C61" s="1022"/>
      <c r="D61" s="1154">
        <f t="shared" ref="D61:D69" si="12">SUMIF($J$60:$N$60,C61,J61:N61)</f>
        <v>0</v>
      </c>
      <c r="E61" s="1155">
        <f>ROUND(SUM(D61:D69),4)</f>
        <v>0</v>
      </c>
      <c r="F61" s="1156" t="str">
        <f>IF(E2="办公",SUMIF(L1:L12,G2,N1:N12),"——")</f>
        <v>——</v>
      </c>
      <c r="G61" s="1157"/>
      <c r="H61" s="1158" t="str">
        <f t="shared" ref="H61:H69" si="13">IFERROR(ROUNDDOWN($F$61*I61/2,4),"——")</f>
        <v>——</v>
      </c>
      <c r="I61" s="1260">
        <v>0.25</v>
      </c>
      <c r="J61" s="1261">
        <f t="shared" ref="J61:J69" si="14">K61+$G61</f>
        <v>0</v>
      </c>
      <c r="K61" s="1261">
        <f t="shared" ref="K61:K69" si="15">$L61+$G61</f>
        <v>0</v>
      </c>
      <c r="L61" s="1261">
        <v>0</v>
      </c>
      <c r="M61" s="1261">
        <f t="shared" ref="M61:N69" si="16">L61-$G61</f>
        <v>0</v>
      </c>
      <c r="N61" s="1261">
        <f t="shared" si="16"/>
        <v>0</v>
      </c>
      <c r="AA61" s="1133"/>
      <c r="AB61" s="1133"/>
      <c r="AC61" s="1133"/>
      <c r="AD61" s="1133"/>
      <c r="AE61" s="1133"/>
      <c r="AF61" s="1133"/>
      <c r="AG61" s="1133"/>
      <c r="AH61" s="1133"/>
      <c r="AI61" s="1133"/>
      <c r="AJ61" s="1133"/>
      <c r="AK61" s="1133"/>
    </row>
    <row r="62" s="952" customFormat="1" ht="52" spans="1:37">
      <c r="A62" s="1148" t="s">
        <v>1873</v>
      </c>
      <c r="B62" s="1159" t="str">
        <f>估价对象房地状况!C18</f>
        <v>估价对象周边道路状况、公共交通通达情况、停车便捷程度，综合评价交通便捷度较好</v>
      </c>
      <c r="C62" s="1022"/>
      <c r="D62" s="1154">
        <f t="shared" si="12"/>
        <v>0</v>
      </c>
      <c r="E62" s="1160"/>
      <c r="F62" s="1156"/>
      <c r="G62" s="1157"/>
      <c r="H62" s="1158" t="str">
        <f t="shared" si="13"/>
        <v>——</v>
      </c>
      <c r="I62" s="1260">
        <v>0.26</v>
      </c>
      <c r="J62" s="1261">
        <f t="shared" si="14"/>
        <v>0</v>
      </c>
      <c r="K62" s="1261">
        <f t="shared" si="15"/>
        <v>0</v>
      </c>
      <c r="L62" s="1261">
        <v>0</v>
      </c>
      <c r="M62" s="1261">
        <f t="shared" si="16"/>
        <v>0</v>
      </c>
      <c r="N62" s="1261">
        <f t="shared" si="16"/>
        <v>0</v>
      </c>
      <c r="AA62" s="1133"/>
      <c r="AB62" s="1133"/>
      <c r="AC62" s="1133"/>
      <c r="AD62" s="1133"/>
      <c r="AE62" s="1133"/>
      <c r="AF62" s="1133"/>
      <c r="AG62" s="1133"/>
      <c r="AH62" s="1133"/>
      <c r="AI62" s="1133"/>
      <c r="AJ62" s="1133"/>
      <c r="AK62" s="1133"/>
    </row>
    <row r="63" s="952" customFormat="1" ht="39" spans="1:37">
      <c r="A63" s="1161" t="s">
        <v>1874</v>
      </c>
      <c r="B63" s="1159">
        <f>估价对象房地状况!C19</f>
        <v>0</v>
      </c>
      <c r="C63" s="1022"/>
      <c r="D63" s="1154">
        <f t="shared" si="12"/>
        <v>0</v>
      </c>
      <c r="E63" s="1160"/>
      <c r="F63" s="1156"/>
      <c r="G63" s="1157"/>
      <c r="H63" s="1158" t="str">
        <f t="shared" si="13"/>
        <v>——</v>
      </c>
      <c r="I63" s="1260">
        <v>0.11</v>
      </c>
      <c r="J63" s="1261">
        <f t="shared" si="14"/>
        <v>0</v>
      </c>
      <c r="K63" s="1261">
        <f t="shared" si="15"/>
        <v>0</v>
      </c>
      <c r="L63" s="1261">
        <v>0</v>
      </c>
      <c r="M63" s="1261">
        <f t="shared" si="16"/>
        <v>0</v>
      </c>
      <c r="N63" s="1261">
        <f t="shared" si="16"/>
        <v>0</v>
      </c>
      <c r="AA63" s="1133"/>
      <c r="AB63" s="1133"/>
      <c r="AC63" s="1133"/>
      <c r="AD63" s="1133"/>
      <c r="AE63" s="1133"/>
      <c r="AF63" s="1133"/>
      <c r="AG63" s="1133"/>
      <c r="AH63" s="1133"/>
      <c r="AI63" s="1133"/>
      <c r="AJ63" s="1133"/>
      <c r="AK63" s="1133"/>
    </row>
    <row r="64" s="952" customFormat="1" ht="39" spans="1:37">
      <c r="A64" s="1148" t="s">
        <v>1875</v>
      </c>
      <c r="B64" s="1162" t="s">
        <v>1876</v>
      </c>
      <c r="C64" s="1022"/>
      <c r="D64" s="1154">
        <f t="shared" si="12"/>
        <v>0</v>
      </c>
      <c r="E64" s="1160"/>
      <c r="F64" s="1156"/>
      <c r="G64" s="1157"/>
      <c r="H64" s="1158" t="str">
        <f t="shared" si="13"/>
        <v>——</v>
      </c>
      <c r="I64" s="1260">
        <v>0.05</v>
      </c>
      <c r="J64" s="1261">
        <f t="shared" si="14"/>
        <v>0</v>
      </c>
      <c r="K64" s="1261">
        <f t="shared" si="15"/>
        <v>0</v>
      </c>
      <c r="L64" s="1261">
        <v>0</v>
      </c>
      <c r="M64" s="1261">
        <f t="shared" si="16"/>
        <v>0</v>
      </c>
      <c r="N64" s="1261">
        <f t="shared" si="16"/>
        <v>0</v>
      </c>
      <c r="AA64" s="1133"/>
      <c r="AB64" s="1133"/>
      <c r="AC64" s="1133"/>
      <c r="AD64" s="1133"/>
      <c r="AE64" s="1133"/>
      <c r="AF64" s="1133"/>
      <c r="AG64" s="1133"/>
      <c r="AH64" s="1133"/>
      <c r="AI64" s="1133"/>
      <c r="AJ64" s="1133"/>
      <c r="AK64" s="1133"/>
    </row>
    <row r="65" s="952" customFormat="1" ht="26" spans="1:37">
      <c r="A65" s="1148" t="s">
        <v>1877</v>
      </c>
      <c r="B65" s="1159">
        <f>估价对象房地状况!C24</f>
        <v>0</v>
      </c>
      <c r="C65" s="1022"/>
      <c r="D65" s="1154">
        <f t="shared" si="12"/>
        <v>0</v>
      </c>
      <c r="E65" s="1160"/>
      <c r="F65" s="1156"/>
      <c r="G65" s="1157"/>
      <c r="H65" s="1158" t="str">
        <f t="shared" si="13"/>
        <v>——</v>
      </c>
      <c r="I65" s="1260">
        <v>0.05</v>
      </c>
      <c r="J65" s="1261">
        <f t="shared" si="14"/>
        <v>0</v>
      </c>
      <c r="K65" s="1261">
        <f t="shared" si="15"/>
        <v>0</v>
      </c>
      <c r="L65" s="1261">
        <v>0</v>
      </c>
      <c r="M65" s="1261">
        <f t="shared" si="16"/>
        <v>0</v>
      </c>
      <c r="N65" s="1261">
        <f t="shared" si="16"/>
        <v>0</v>
      </c>
      <c r="AA65" s="1133"/>
      <c r="AB65" s="1133"/>
      <c r="AC65" s="1133"/>
      <c r="AD65" s="1133"/>
      <c r="AE65" s="1133"/>
      <c r="AF65" s="1133"/>
      <c r="AG65" s="1133"/>
      <c r="AH65" s="1133"/>
      <c r="AI65" s="1133"/>
      <c r="AJ65" s="1133"/>
      <c r="AK65" s="1133"/>
    </row>
    <row r="66" s="952" customFormat="1" ht="26" spans="1:37">
      <c r="A66" s="1148" t="s">
        <v>1878</v>
      </c>
      <c r="B66" s="1163" t="s">
        <v>1879</v>
      </c>
      <c r="C66" s="1022"/>
      <c r="D66" s="1154">
        <f t="shared" si="12"/>
        <v>0</v>
      </c>
      <c r="E66" s="1160"/>
      <c r="F66" s="1156"/>
      <c r="G66" s="1157"/>
      <c r="H66" s="1158" t="str">
        <f t="shared" si="13"/>
        <v>——</v>
      </c>
      <c r="I66" s="1260">
        <v>0.06</v>
      </c>
      <c r="J66" s="1261">
        <f t="shared" si="14"/>
        <v>0</v>
      </c>
      <c r="K66" s="1261">
        <f t="shared" si="15"/>
        <v>0</v>
      </c>
      <c r="L66" s="1261">
        <v>0</v>
      </c>
      <c r="M66" s="1261">
        <f t="shared" si="16"/>
        <v>0</v>
      </c>
      <c r="N66" s="1261">
        <f t="shared" si="16"/>
        <v>0</v>
      </c>
      <c r="AA66" s="1133"/>
      <c r="AB66" s="1133"/>
      <c r="AC66" s="1133"/>
      <c r="AD66" s="1133"/>
      <c r="AE66" s="1133"/>
      <c r="AF66" s="1133"/>
      <c r="AG66" s="1133"/>
      <c r="AH66" s="1133"/>
      <c r="AI66" s="1133"/>
      <c r="AJ66" s="1133"/>
      <c r="AK66" s="1133"/>
    </row>
    <row r="67" s="952" customFormat="1" ht="26" spans="1:37">
      <c r="A67" s="1148" t="s">
        <v>1880</v>
      </c>
      <c r="B67" s="1165" t="str">
        <f>估价对象房地状况!C21</f>
        <v>估价对象所在区域公共配套设施齐备情况</v>
      </c>
      <c r="C67" s="1022"/>
      <c r="D67" s="1154">
        <f t="shared" si="12"/>
        <v>0</v>
      </c>
      <c r="E67" s="1160"/>
      <c r="F67" s="1156"/>
      <c r="G67" s="1157"/>
      <c r="H67" s="1158" t="str">
        <f t="shared" si="13"/>
        <v>——</v>
      </c>
      <c r="I67" s="1260">
        <v>0.06</v>
      </c>
      <c r="J67" s="1261">
        <f t="shared" si="14"/>
        <v>0</v>
      </c>
      <c r="K67" s="1261">
        <f t="shared" si="15"/>
        <v>0</v>
      </c>
      <c r="L67" s="1261">
        <v>0</v>
      </c>
      <c r="M67" s="1261">
        <f t="shared" si="16"/>
        <v>0</v>
      </c>
      <c r="N67" s="1261">
        <f t="shared" si="16"/>
        <v>0</v>
      </c>
      <c r="AA67" s="1133"/>
      <c r="AB67" s="1133"/>
      <c r="AC67" s="1133"/>
      <c r="AD67" s="1133"/>
      <c r="AE67" s="1133"/>
      <c r="AF67" s="1133"/>
      <c r="AG67" s="1133"/>
      <c r="AH67" s="1133"/>
      <c r="AI67" s="1133"/>
      <c r="AJ67" s="1133"/>
      <c r="AK67" s="1133"/>
    </row>
    <row r="68" s="952" customFormat="1" ht="26" spans="1:37">
      <c r="A68" s="1148" t="s">
        <v>1881</v>
      </c>
      <c r="B68" s="1165" t="str">
        <f>估价对象房地状况!C22</f>
        <v>估价对象所在区域基础设施水平</v>
      </c>
      <c r="C68" s="1022"/>
      <c r="D68" s="1154">
        <f t="shared" si="12"/>
        <v>0</v>
      </c>
      <c r="E68" s="1160"/>
      <c r="F68" s="1156"/>
      <c r="G68" s="1157"/>
      <c r="H68" s="1158" t="str">
        <f t="shared" si="13"/>
        <v>——</v>
      </c>
      <c r="I68" s="1260">
        <v>0.09</v>
      </c>
      <c r="J68" s="1261">
        <f t="shared" si="14"/>
        <v>0</v>
      </c>
      <c r="K68" s="1261">
        <f t="shared" si="15"/>
        <v>0</v>
      </c>
      <c r="L68" s="1261">
        <v>0</v>
      </c>
      <c r="M68" s="1261">
        <f t="shared" si="16"/>
        <v>0</v>
      </c>
      <c r="N68" s="1261">
        <f t="shared" si="16"/>
        <v>0</v>
      </c>
      <c r="AA68" s="1133"/>
      <c r="AB68" s="1133"/>
      <c r="AC68" s="1133"/>
      <c r="AD68" s="1133"/>
      <c r="AE68" s="1133"/>
      <c r="AF68" s="1133"/>
      <c r="AG68" s="1133"/>
      <c r="AH68" s="1133"/>
      <c r="AI68" s="1133"/>
      <c r="AJ68" s="1133"/>
      <c r="AK68" s="1133"/>
    </row>
    <row r="69" s="952" customFormat="1" ht="26.75" spans="1:37">
      <c r="A69" s="1166" t="s">
        <v>1882</v>
      </c>
      <c r="B69" s="1294" t="str">
        <f>估价对象房地状况!C20</f>
        <v>区域自然环境：；人文环境；综合评价环境状况一般</v>
      </c>
      <c r="C69" s="1022"/>
      <c r="D69" s="1154">
        <f t="shared" si="12"/>
        <v>0</v>
      </c>
      <c r="E69" s="1168"/>
      <c r="F69" s="1156"/>
      <c r="G69" s="1157"/>
      <c r="H69" s="1158" t="str">
        <f t="shared" si="13"/>
        <v>——</v>
      </c>
      <c r="I69" s="1262">
        <v>0.07</v>
      </c>
      <c r="J69" s="1261">
        <f t="shared" si="14"/>
        <v>0</v>
      </c>
      <c r="K69" s="1261">
        <f t="shared" si="15"/>
        <v>0</v>
      </c>
      <c r="L69" s="1261">
        <v>0</v>
      </c>
      <c r="M69" s="1261">
        <f t="shared" si="16"/>
        <v>0</v>
      </c>
      <c r="N69" s="1261">
        <f t="shared" si="16"/>
        <v>0</v>
      </c>
      <c r="AA69" s="1133"/>
      <c r="AB69" s="1133"/>
      <c r="AC69" s="1133"/>
      <c r="AD69" s="1133"/>
      <c r="AE69" s="1133"/>
      <c r="AF69" s="1133"/>
      <c r="AG69" s="1133"/>
      <c r="AH69" s="1133"/>
      <c r="AI69" s="1133"/>
      <c r="AJ69" s="1133"/>
      <c r="AK69" s="1133"/>
    </row>
    <row r="70" s="952" customFormat="1" ht="14" spans="1:37">
      <c r="A70" s="1142" t="s">
        <v>1886</v>
      </c>
      <c r="B70" s="1143">
        <f>1+E72</f>
        <v>1</v>
      </c>
      <c r="C70" s="1145"/>
      <c r="D70" s="1145"/>
      <c r="E70" s="1146"/>
      <c r="F70" s="1147"/>
      <c r="G70" s="1141"/>
      <c r="H70" s="1141"/>
      <c r="I70" s="1141"/>
      <c r="J70" s="1140"/>
      <c r="K70" s="1140"/>
      <c r="L70" s="1140"/>
      <c r="M70" s="1140"/>
      <c r="N70" s="1140"/>
      <c r="AA70" s="1133"/>
      <c r="AB70" s="1133"/>
      <c r="AC70" s="1133"/>
      <c r="AD70" s="1133"/>
      <c r="AE70" s="1133"/>
      <c r="AF70" s="1133"/>
      <c r="AG70" s="1133"/>
      <c r="AH70" s="1133"/>
      <c r="AI70" s="1133"/>
      <c r="AJ70" s="1133"/>
      <c r="AK70" s="1133"/>
    </row>
    <row r="71" s="952" customFormat="1" ht="26" spans="1:37">
      <c r="A71" s="1148" t="s">
        <v>1864</v>
      </c>
      <c r="B71" s="1149"/>
      <c r="C71" s="1149" t="s">
        <v>1866</v>
      </c>
      <c r="D71" s="1149" t="s">
        <v>1867</v>
      </c>
      <c r="E71" s="1150" t="s">
        <v>1868</v>
      </c>
      <c r="F71" s="1151" t="s">
        <v>1884</v>
      </c>
      <c r="G71" s="1149" t="s">
        <v>1683</v>
      </c>
      <c r="H71" s="1152" t="s">
        <v>1870</v>
      </c>
      <c r="I71" s="1149" t="s">
        <v>1871</v>
      </c>
      <c r="J71" s="899" t="s">
        <v>1225</v>
      </c>
      <c r="K71" s="899" t="s">
        <v>1226</v>
      </c>
      <c r="L71" s="899" t="s">
        <v>1227</v>
      </c>
      <c r="M71" s="899" t="s">
        <v>1228</v>
      </c>
      <c r="N71" s="899" t="s">
        <v>1229</v>
      </c>
      <c r="AA71" s="1133"/>
      <c r="AB71" s="1133"/>
      <c r="AC71" s="1133"/>
      <c r="AD71" s="1133"/>
      <c r="AE71" s="1133"/>
      <c r="AF71" s="1133"/>
      <c r="AG71" s="1133"/>
      <c r="AH71" s="1133"/>
      <c r="AI71" s="1133"/>
      <c r="AJ71" s="1133"/>
      <c r="AK71" s="1133"/>
    </row>
    <row r="72" s="952" customFormat="1" ht="52" spans="1:37">
      <c r="A72" s="1148" t="s">
        <v>1887</v>
      </c>
      <c r="B72" s="1153" t="str">
        <f>估价对象房地状况!C15</f>
        <v>估价对象周边居住用地比例、居住小区规模和社区发展完善程度，综合评价居住社区成熟度一般</v>
      </c>
      <c r="C72" s="1022"/>
      <c r="D72" s="1154">
        <f t="shared" ref="D72:D80" si="17">SUMIF($J$71:$N$71,C72,J72:N72)</f>
        <v>0</v>
      </c>
      <c r="E72" s="1155">
        <f>ROUND(SUM(D72:D80),4)</f>
        <v>0</v>
      </c>
      <c r="F72" s="1156" t="str">
        <f>IF(E2="住宅",SUMIF(L1:L12,G2,N1:N12),"——")</f>
        <v>——</v>
      </c>
      <c r="G72" s="1157"/>
      <c r="H72" s="1158" t="str">
        <f t="shared" ref="H72:H80" si="18">IFERROR(ROUNDDOWN($F$72*I72/2,4),"——")</f>
        <v>——</v>
      </c>
      <c r="I72" s="1260">
        <v>0.2</v>
      </c>
      <c r="J72" s="1261">
        <f t="shared" ref="J72:J80" si="19">K72+$G72</f>
        <v>0</v>
      </c>
      <c r="K72" s="1261">
        <f t="shared" ref="K72:K80" si="20">$L72+$G72</f>
        <v>0</v>
      </c>
      <c r="L72" s="1261">
        <v>0</v>
      </c>
      <c r="M72" s="1261">
        <f t="shared" ref="M72:N80" si="21">L72-$G72</f>
        <v>0</v>
      </c>
      <c r="N72" s="1261">
        <f t="shared" si="21"/>
        <v>0</v>
      </c>
      <c r="AA72" s="1133"/>
      <c r="AB72" s="1133"/>
      <c r="AC72" s="1133"/>
      <c r="AD72" s="1133"/>
      <c r="AE72" s="1133"/>
      <c r="AF72" s="1133"/>
      <c r="AG72" s="1133"/>
      <c r="AH72" s="1133"/>
      <c r="AI72" s="1133"/>
      <c r="AJ72" s="1133"/>
      <c r="AK72" s="1133"/>
    </row>
    <row r="73" s="952" customFormat="1" ht="52" spans="1:37">
      <c r="A73" s="1148" t="s">
        <v>1873</v>
      </c>
      <c r="B73" s="1159" t="str">
        <f>估价对象房地状况!C18</f>
        <v>估价对象周边道路状况、公共交通通达情况、停车便捷程度，综合评价交通便捷度较好</v>
      </c>
      <c r="C73" s="1022"/>
      <c r="D73" s="1154">
        <f t="shared" si="17"/>
        <v>0</v>
      </c>
      <c r="E73" s="1295"/>
      <c r="F73" s="1156"/>
      <c r="G73" s="1157"/>
      <c r="H73" s="1158" t="str">
        <f t="shared" si="18"/>
        <v>——</v>
      </c>
      <c r="I73" s="1260">
        <v>0.26</v>
      </c>
      <c r="J73" s="1261">
        <f t="shared" si="19"/>
        <v>0</v>
      </c>
      <c r="K73" s="1261">
        <f t="shared" si="20"/>
        <v>0</v>
      </c>
      <c r="L73" s="1261">
        <v>0</v>
      </c>
      <c r="M73" s="1261">
        <f t="shared" si="21"/>
        <v>0</v>
      </c>
      <c r="N73" s="1261">
        <f t="shared" si="21"/>
        <v>0</v>
      </c>
      <c r="AA73" s="1133"/>
      <c r="AB73" s="1133"/>
      <c r="AC73" s="1133"/>
      <c r="AD73" s="1133"/>
      <c r="AE73" s="1133"/>
      <c r="AF73" s="1133"/>
      <c r="AG73" s="1133"/>
      <c r="AH73" s="1133"/>
      <c r="AI73" s="1133"/>
      <c r="AJ73" s="1133"/>
      <c r="AK73" s="1133"/>
    </row>
    <row r="74" s="953" customFormat="1" ht="39" spans="1:37">
      <c r="A74" s="1161" t="s">
        <v>1874</v>
      </c>
      <c r="B74" s="1159">
        <f>估价对象房地状况!C19</f>
        <v>0</v>
      </c>
      <c r="C74" s="1022"/>
      <c r="D74" s="1154">
        <f t="shared" si="17"/>
        <v>0</v>
      </c>
      <c r="E74" s="1295"/>
      <c r="F74" s="1156"/>
      <c r="G74" s="1157"/>
      <c r="H74" s="1158" t="str">
        <f t="shared" si="18"/>
        <v>——</v>
      </c>
      <c r="I74" s="1260">
        <v>0.1</v>
      </c>
      <c r="J74" s="1261">
        <f t="shared" si="19"/>
        <v>0</v>
      </c>
      <c r="K74" s="1261">
        <f t="shared" si="20"/>
        <v>0</v>
      </c>
      <c r="L74" s="1261">
        <v>0</v>
      </c>
      <c r="M74" s="1261">
        <f t="shared" si="21"/>
        <v>0</v>
      </c>
      <c r="N74" s="1261">
        <f t="shared" si="21"/>
        <v>0</v>
      </c>
      <c r="O74" s="952"/>
      <c r="P74" s="952"/>
      <c r="Q74" s="952"/>
      <c r="AA74" s="1290"/>
      <c r="AB74" s="1133"/>
      <c r="AC74" s="1133"/>
      <c r="AD74" s="1133"/>
      <c r="AE74" s="1133"/>
      <c r="AF74" s="1133"/>
      <c r="AG74" s="1133"/>
      <c r="AH74" s="1290"/>
      <c r="AI74" s="1290"/>
      <c r="AJ74" s="1290"/>
      <c r="AK74" s="1290"/>
    </row>
    <row r="75" ht="14" spans="1:37">
      <c r="A75" s="1148" t="s">
        <v>1888</v>
      </c>
      <c r="B75" s="1159">
        <f>估价对象房地状况!C24</f>
        <v>0</v>
      </c>
      <c r="C75" s="1022"/>
      <c r="D75" s="1154">
        <f t="shared" si="17"/>
        <v>0</v>
      </c>
      <c r="E75" s="1295"/>
      <c r="F75" s="1156"/>
      <c r="G75" s="1157"/>
      <c r="H75" s="1158" t="str">
        <f t="shared" si="18"/>
        <v>——</v>
      </c>
      <c r="I75" s="1260">
        <v>0.05</v>
      </c>
      <c r="J75" s="1261">
        <f t="shared" si="19"/>
        <v>0</v>
      </c>
      <c r="K75" s="1261">
        <f t="shared" si="20"/>
        <v>0</v>
      </c>
      <c r="L75" s="1261">
        <v>0</v>
      </c>
      <c r="M75" s="1261">
        <f t="shared" si="21"/>
        <v>0</v>
      </c>
      <c r="N75" s="1261">
        <f t="shared" si="21"/>
        <v>0</v>
      </c>
      <c r="O75" s="952"/>
      <c r="P75" s="952"/>
      <c r="Q75" s="953"/>
      <c r="Z75" s="956"/>
      <c r="AA75" s="954"/>
      <c r="AG75" s="958"/>
      <c r="AK75" s="954"/>
    </row>
    <row r="76" ht="26" spans="1:37">
      <c r="A76" s="1148" t="s">
        <v>1880</v>
      </c>
      <c r="B76" s="1165" t="str">
        <f>估价对象房地状况!C21</f>
        <v>估价对象所在区域公共配套设施齐备情况</v>
      </c>
      <c r="C76" s="1022"/>
      <c r="D76" s="1154">
        <f t="shared" si="17"/>
        <v>0</v>
      </c>
      <c r="E76" s="1295"/>
      <c r="F76" s="1156"/>
      <c r="G76" s="1157"/>
      <c r="H76" s="1158" t="str">
        <f t="shared" si="18"/>
        <v>——</v>
      </c>
      <c r="I76" s="1260">
        <v>0.08</v>
      </c>
      <c r="J76" s="1261">
        <f t="shared" si="19"/>
        <v>0</v>
      </c>
      <c r="K76" s="1261">
        <f t="shared" si="20"/>
        <v>0</v>
      </c>
      <c r="L76" s="1261">
        <v>0</v>
      </c>
      <c r="M76" s="1261">
        <f t="shared" si="21"/>
        <v>0</v>
      </c>
      <c r="N76" s="1261">
        <f t="shared" si="21"/>
        <v>0</v>
      </c>
      <c r="O76" s="952"/>
      <c r="P76" s="952"/>
      <c r="Z76" s="956"/>
      <c r="AA76" s="954"/>
      <c r="AG76" s="958"/>
      <c r="AK76" s="954"/>
    </row>
    <row r="77" ht="26" spans="1:37">
      <c r="A77" s="1148" t="s">
        <v>1881</v>
      </c>
      <c r="B77" s="1165" t="str">
        <f>估价对象房地状况!C22</f>
        <v>估价对象所在区域基础设施水平</v>
      </c>
      <c r="C77" s="1022"/>
      <c r="D77" s="1154">
        <f t="shared" si="17"/>
        <v>0</v>
      </c>
      <c r="E77" s="1295"/>
      <c r="F77" s="1156"/>
      <c r="G77" s="1157"/>
      <c r="H77" s="1158" t="str">
        <f t="shared" si="18"/>
        <v>——</v>
      </c>
      <c r="I77" s="1260">
        <v>0.09</v>
      </c>
      <c r="J77" s="1261">
        <f t="shared" si="19"/>
        <v>0</v>
      </c>
      <c r="K77" s="1261">
        <f t="shared" si="20"/>
        <v>0</v>
      </c>
      <c r="L77" s="1261">
        <v>0</v>
      </c>
      <c r="M77" s="1261">
        <f t="shared" si="21"/>
        <v>0</v>
      </c>
      <c r="N77" s="1261">
        <f t="shared" si="21"/>
        <v>0</v>
      </c>
      <c r="O77" s="952"/>
      <c r="P77" s="952"/>
      <c r="Z77" s="956"/>
      <c r="AA77" s="954"/>
      <c r="AG77" s="958"/>
      <c r="AK77" s="954"/>
    </row>
    <row r="78" ht="26" spans="1:37">
      <c r="A78" s="1148" t="s">
        <v>1878</v>
      </c>
      <c r="B78" s="1163" t="s">
        <v>1879</v>
      </c>
      <c r="C78" s="1022"/>
      <c r="D78" s="1154">
        <f t="shared" si="17"/>
        <v>0</v>
      </c>
      <c r="E78" s="1295"/>
      <c r="F78" s="1156"/>
      <c r="G78" s="1157"/>
      <c r="H78" s="1158" t="str">
        <f t="shared" si="18"/>
        <v>——</v>
      </c>
      <c r="I78" s="1260">
        <v>0.05</v>
      </c>
      <c r="J78" s="1261">
        <f t="shared" si="19"/>
        <v>0</v>
      </c>
      <c r="K78" s="1261">
        <f t="shared" si="20"/>
        <v>0</v>
      </c>
      <c r="L78" s="1261">
        <v>0</v>
      </c>
      <c r="M78" s="1261">
        <f t="shared" si="21"/>
        <v>0</v>
      </c>
      <c r="N78" s="1261">
        <f t="shared" si="21"/>
        <v>0</v>
      </c>
      <c r="O78" s="953"/>
      <c r="P78" s="953"/>
      <c r="Z78" s="956"/>
      <c r="AA78" s="954"/>
      <c r="AG78" s="958"/>
      <c r="AK78" s="954"/>
    </row>
    <row r="79" ht="26" spans="1:37">
      <c r="A79" s="1148" t="s">
        <v>1882</v>
      </c>
      <c r="B79" s="1153" t="str">
        <f>估价对象房地状况!C20</f>
        <v>区域自然环境：；人文环境；综合评价环境状况一般</v>
      </c>
      <c r="C79" s="1022"/>
      <c r="D79" s="1154">
        <f t="shared" si="17"/>
        <v>0</v>
      </c>
      <c r="E79" s="1295"/>
      <c r="F79" s="1156"/>
      <c r="G79" s="1157"/>
      <c r="H79" s="1158" t="str">
        <f t="shared" si="18"/>
        <v>——</v>
      </c>
      <c r="I79" s="1260">
        <v>0.12</v>
      </c>
      <c r="J79" s="1261">
        <f t="shared" si="19"/>
        <v>0</v>
      </c>
      <c r="K79" s="1261">
        <f t="shared" si="20"/>
        <v>0</v>
      </c>
      <c r="L79" s="1261">
        <v>0</v>
      </c>
      <c r="M79" s="1261">
        <f t="shared" si="21"/>
        <v>0</v>
      </c>
      <c r="N79" s="1261">
        <f t="shared" si="21"/>
        <v>0</v>
      </c>
      <c r="Z79" s="956"/>
      <c r="AA79" s="954"/>
      <c r="AG79" s="958"/>
      <c r="AK79" s="954"/>
    </row>
    <row r="80" ht="26.75" spans="1:37">
      <c r="A80" s="1166" t="s">
        <v>1889</v>
      </c>
      <c r="B80" s="1296"/>
      <c r="C80" s="1022"/>
      <c r="D80" s="1154">
        <f t="shared" si="17"/>
        <v>0</v>
      </c>
      <c r="E80" s="1297"/>
      <c r="F80" s="1156"/>
      <c r="G80" s="1157"/>
      <c r="H80" s="1158" t="str">
        <f t="shared" si="18"/>
        <v>——</v>
      </c>
      <c r="I80" s="1262">
        <v>0.05</v>
      </c>
      <c r="J80" s="1261">
        <f t="shared" si="19"/>
        <v>0</v>
      </c>
      <c r="K80" s="1261">
        <f t="shared" si="20"/>
        <v>0</v>
      </c>
      <c r="L80" s="1261">
        <v>0</v>
      </c>
      <c r="M80" s="1261">
        <f t="shared" si="21"/>
        <v>0</v>
      </c>
      <c r="N80" s="1261">
        <f t="shared" si="21"/>
        <v>0</v>
      </c>
      <c r="Z80" s="956"/>
      <c r="AA80" s="954"/>
      <c r="AG80" s="958"/>
      <c r="AK80" s="954"/>
    </row>
    <row r="81" ht="14" spans="1:37">
      <c r="A81" s="1142" t="s">
        <v>1890</v>
      </c>
      <c r="B81" s="1143">
        <f>1+E83</f>
        <v>1</v>
      </c>
      <c r="C81" s="1145"/>
      <c r="D81" s="1145"/>
      <c r="E81" s="1146"/>
      <c r="F81" s="1147"/>
      <c r="G81" s="1141"/>
      <c r="H81" s="1141"/>
      <c r="I81" s="1141"/>
      <c r="J81" s="1140"/>
      <c r="K81" s="1140"/>
      <c r="L81" s="1140"/>
      <c r="M81" s="1140"/>
      <c r="N81" s="1140"/>
      <c r="Z81" s="956"/>
      <c r="AA81" s="954"/>
      <c r="AG81" s="958"/>
      <c r="AK81" s="954"/>
    </row>
    <row r="82" ht="26" spans="1:37">
      <c r="A82" s="1148" t="s">
        <v>1864</v>
      </c>
      <c r="B82" s="1149"/>
      <c r="C82" s="1149" t="s">
        <v>1866</v>
      </c>
      <c r="D82" s="1149" t="s">
        <v>1867</v>
      </c>
      <c r="E82" s="1150" t="s">
        <v>1868</v>
      </c>
      <c r="F82" s="1151" t="s">
        <v>1884</v>
      </c>
      <c r="G82" s="1149" t="s">
        <v>1683</v>
      </c>
      <c r="H82" s="1152" t="s">
        <v>1870</v>
      </c>
      <c r="I82" s="1149" t="s">
        <v>1871</v>
      </c>
      <c r="J82" s="899" t="s">
        <v>1225</v>
      </c>
      <c r="K82" s="899" t="s">
        <v>1226</v>
      </c>
      <c r="L82" s="899" t="s">
        <v>1227</v>
      </c>
      <c r="M82" s="899" t="s">
        <v>1228</v>
      </c>
      <c r="N82" s="899" t="s">
        <v>1229</v>
      </c>
      <c r="Z82" s="956"/>
      <c r="AA82" s="954"/>
      <c r="AG82" s="958"/>
      <c r="AK82" s="954"/>
    </row>
    <row r="83" ht="39" spans="1:37">
      <c r="A83" s="1148" t="s">
        <v>1891</v>
      </c>
      <c r="B83" s="1159" t="str">
        <f>估价对象房地状况!G15</f>
        <v>估价对象位于XX开发区，园区建设成熟度XX，产业集聚程度XX</v>
      </c>
      <c r="C83" s="1022"/>
      <c r="D83" s="1154">
        <f t="shared" ref="D83:D90" si="22">SUMIF($J$82:$N$82,C83,J83:N83)</f>
        <v>0</v>
      </c>
      <c r="E83" s="1155">
        <f>ROUND(SUM(D83:D90),4)</f>
        <v>0</v>
      </c>
      <c r="F83" s="1156">
        <f>IF(E2="工业",SUMIF(L1:L12,G2,N1:N12),"——")</f>
        <v>0.1</v>
      </c>
      <c r="G83" s="1157"/>
      <c r="H83" s="1158">
        <f t="shared" ref="H83:H90" si="23">IFERROR(ROUNDDOWN($F$83*I83/2,4),"——")</f>
        <v>0.013</v>
      </c>
      <c r="I83" s="1260">
        <v>0.26</v>
      </c>
      <c r="J83" s="1261">
        <f t="shared" ref="J83:J90" si="24">K83+$G83</f>
        <v>0</v>
      </c>
      <c r="K83" s="1261">
        <f t="shared" ref="K83:K90" si="25">$L83+$G83</f>
        <v>0</v>
      </c>
      <c r="L83" s="1261">
        <v>0</v>
      </c>
      <c r="M83" s="1261">
        <f t="shared" ref="M83:N90" si="26">L83-$G83</f>
        <v>0</v>
      </c>
      <c r="N83" s="1261">
        <f t="shared" si="26"/>
        <v>0</v>
      </c>
      <c r="Z83" s="956"/>
      <c r="AA83" s="954"/>
      <c r="AG83" s="958"/>
      <c r="AK83" s="954"/>
    </row>
    <row r="84" ht="52" spans="1:37">
      <c r="A84" s="1148" t="s">
        <v>1873</v>
      </c>
      <c r="B84" s="1159" t="str">
        <f>估价对象房地状况!G16</f>
        <v>估价对象周边道路状况、公共交通通达情况、停车便捷程度，综合评价交通便捷度较好</v>
      </c>
      <c r="C84" s="1022"/>
      <c r="D84" s="1154">
        <f t="shared" si="22"/>
        <v>0</v>
      </c>
      <c r="E84" s="1295"/>
      <c r="F84" s="1156"/>
      <c r="G84" s="1157"/>
      <c r="H84" s="1158">
        <f t="shared" si="23"/>
        <v>0.015</v>
      </c>
      <c r="I84" s="1260">
        <v>0.3</v>
      </c>
      <c r="J84" s="1261">
        <f t="shared" si="24"/>
        <v>0</v>
      </c>
      <c r="K84" s="1261">
        <f t="shared" si="25"/>
        <v>0</v>
      </c>
      <c r="L84" s="1261">
        <v>0</v>
      </c>
      <c r="M84" s="1261">
        <f t="shared" si="26"/>
        <v>0</v>
      </c>
      <c r="N84" s="1261">
        <f t="shared" si="26"/>
        <v>0</v>
      </c>
      <c r="Z84" s="956"/>
      <c r="AA84" s="954"/>
      <c r="AG84" s="958"/>
      <c r="AK84" s="954"/>
    </row>
    <row r="85" ht="39" spans="1:37">
      <c r="A85" s="1161" t="s">
        <v>1874</v>
      </c>
      <c r="B85" s="1159">
        <f>估价对象房地状况!G17</f>
        <v>0</v>
      </c>
      <c r="C85" s="1022"/>
      <c r="D85" s="1154">
        <f t="shared" si="22"/>
        <v>0</v>
      </c>
      <c r="E85" s="1295"/>
      <c r="F85" s="1156"/>
      <c r="G85" s="1157"/>
      <c r="H85" s="1158">
        <f t="shared" si="23"/>
        <v>0.005</v>
      </c>
      <c r="I85" s="1260">
        <v>0.1</v>
      </c>
      <c r="J85" s="1261">
        <f t="shared" si="24"/>
        <v>0</v>
      </c>
      <c r="K85" s="1261">
        <f t="shared" si="25"/>
        <v>0</v>
      </c>
      <c r="L85" s="1261">
        <v>0</v>
      </c>
      <c r="M85" s="1261">
        <f t="shared" si="26"/>
        <v>0</v>
      </c>
      <c r="N85" s="1261">
        <f t="shared" si="26"/>
        <v>0</v>
      </c>
      <c r="Z85" s="956"/>
      <c r="AA85" s="954"/>
      <c r="AG85" s="958"/>
      <c r="AK85" s="954"/>
    </row>
    <row r="86" ht="14" spans="1:37">
      <c r="A86" s="1148" t="s">
        <v>1888</v>
      </c>
      <c r="B86" s="1159">
        <f>估价对象房地状况!G22</f>
        <v>0</v>
      </c>
      <c r="C86" s="1022"/>
      <c r="D86" s="1154">
        <f t="shared" si="22"/>
        <v>0</v>
      </c>
      <c r="E86" s="1295"/>
      <c r="F86" s="1156"/>
      <c r="G86" s="1157"/>
      <c r="H86" s="1158">
        <f t="shared" si="23"/>
        <v>0.0025</v>
      </c>
      <c r="I86" s="1260">
        <v>0.05</v>
      </c>
      <c r="J86" s="1261">
        <f t="shared" si="24"/>
        <v>0</v>
      </c>
      <c r="K86" s="1261">
        <f t="shared" si="25"/>
        <v>0</v>
      </c>
      <c r="L86" s="1261">
        <v>0</v>
      </c>
      <c r="M86" s="1261">
        <f t="shared" si="26"/>
        <v>0</v>
      </c>
      <c r="N86" s="1261">
        <f t="shared" si="26"/>
        <v>0</v>
      </c>
      <c r="Z86" s="956"/>
      <c r="AA86" s="954"/>
      <c r="AG86" s="958"/>
      <c r="AK86" s="954"/>
    </row>
    <row r="87" ht="26" spans="1:14">
      <c r="A87" s="1148" t="s">
        <v>1880</v>
      </c>
      <c r="B87" s="1165" t="str">
        <f>估价对象房地状况!G19</f>
        <v>估价对象所在区域公共配套设施齐备情况</v>
      </c>
      <c r="C87" s="1022"/>
      <c r="D87" s="1154">
        <f t="shared" si="22"/>
        <v>0</v>
      </c>
      <c r="E87" s="1295"/>
      <c r="F87" s="1156"/>
      <c r="G87" s="1157"/>
      <c r="H87" s="1158">
        <f t="shared" si="23"/>
        <v>0.003</v>
      </c>
      <c r="I87" s="1260">
        <v>0.06</v>
      </c>
      <c r="J87" s="1261">
        <f t="shared" si="24"/>
        <v>0</v>
      </c>
      <c r="K87" s="1261">
        <f t="shared" si="25"/>
        <v>0</v>
      </c>
      <c r="L87" s="1261">
        <v>0</v>
      </c>
      <c r="M87" s="1261">
        <f t="shared" si="26"/>
        <v>0</v>
      </c>
      <c r="N87" s="1261">
        <f t="shared" si="26"/>
        <v>0</v>
      </c>
    </row>
    <row r="88" ht="26" spans="1:14">
      <c r="A88" s="1148" t="s">
        <v>1881</v>
      </c>
      <c r="B88" s="1165" t="str">
        <f>估价对象房地状况!G20</f>
        <v>估价对象所在区域基础设施水平</v>
      </c>
      <c r="C88" s="1022"/>
      <c r="D88" s="1154">
        <f t="shared" si="22"/>
        <v>0</v>
      </c>
      <c r="E88" s="1295"/>
      <c r="F88" s="1156"/>
      <c r="G88" s="1157"/>
      <c r="H88" s="1158">
        <f t="shared" si="23"/>
        <v>0.006</v>
      </c>
      <c r="I88" s="1260">
        <v>0.12</v>
      </c>
      <c r="J88" s="1261">
        <f t="shared" si="24"/>
        <v>0</v>
      </c>
      <c r="K88" s="1261">
        <f t="shared" si="25"/>
        <v>0</v>
      </c>
      <c r="L88" s="1261">
        <v>0</v>
      </c>
      <c r="M88" s="1261">
        <f t="shared" si="26"/>
        <v>0</v>
      </c>
      <c r="N88" s="1261">
        <f t="shared" si="26"/>
        <v>0</v>
      </c>
    </row>
    <row r="89" ht="26" spans="1:14">
      <c r="A89" s="1148" t="s">
        <v>1878</v>
      </c>
      <c r="B89" s="1163" t="s">
        <v>1892</v>
      </c>
      <c r="C89" s="1022"/>
      <c r="D89" s="1154">
        <f t="shared" si="22"/>
        <v>0</v>
      </c>
      <c r="E89" s="1295"/>
      <c r="F89" s="1156"/>
      <c r="G89" s="1157"/>
      <c r="H89" s="1158">
        <f t="shared" si="23"/>
        <v>0.003</v>
      </c>
      <c r="I89" s="1260">
        <v>0.06</v>
      </c>
      <c r="J89" s="1261">
        <f t="shared" si="24"/>
        <v>0</v>
      </c>
      <c r="K89" s="1261">
        <f t="shared" si="25"/>
        <v>0</v>
      </c>
      <c r="L89" s="1261">
        <v>0</v>
      </c>
      <c r="M89" s="1261">
        <f t="shared" si="26"/>
        <v>0</v>
      </c>
      <c r="N89" s="1261">
        <f t="shared" si="26"/>
        <v>0</v>
      </c>
    </row>
    <row r="90" ht="39.75" spans="1:14">
      <c r="A90" s="1166" t="s">
        <v>1893</v>
      </c>
      <c r="B90" s="1298" t="str">
        <f>估价对象房地状况!G18</f>
        <v>该园区内是否有污染型企业，绿化情况，卫生条件，整体环境状况判断</v>
      </c>
      <c r="C90" s="1022"/>
      <c r="D90" s="1154">
        <f t="shared" si="22"/>
        <v>0</v>
      </c>
      <c r="E90" s="1297"/>
      <c r="F90" s="1156"/>
      <c r="G90" s="1157"/>
      <c r="H90" s="1158">
        <f t="shared" si="23"/>
        <v>0.0025</v>
      </c>
      <c r="I90" s="1262">
        <v>0.05</v>
      </c>
      <c r="J90" s="1261">
        <f t="shared" si="24"/>
        <v>0</v>
      </c>
      <c r="K90" s="1261">
        <f t="shared" si="25"/>
        <v>0</v>
      </c>
      <c r="L90" s="1261">
        <v>0</v>
      </c>
      <c r="M90" s="1261">
        <f t="shared" si="26"/>
        <v>0</v>
      </c>
      <c r="N90" s="1261">
        <f t="shared" si="26"/>
        <v>0</v>
      </c>
    </row>
    <row r="91" ht="14" spans="1:14">
      <c r="A91" s="1299" t="s">
        <v>280</v>
      </c>
      <c r="B91" s="1300">
        <f>1+E93</f>
        <v>1</v>
      </c>
      <c r="C91" s="1301"/>
      <c r="D91" s="1302"/>
      <c r="E91" s="1156"/>
      <c r="F91" s="1156"/>
      <c r="G91" s="1303"/>
      <c r="H91" s="1304"/>
      <c r="I91" s="1342"/>
      <c r="J91" s="1343"/>
      <c r="K91" s="1343"/>
      <c r="L91" s="1343"/>
      <c r="M91" s="1343"/>
      <c r="N91" s="1343"/>
    </row>
    <row r="92" ht="26" spans="1:14">
      <c r="A92" s="1305" t="s">
        <v>1864</v>
      </c>
      <c r="B92" s="1306"/>
      <c r="C92" s="1306" t="s">
        <v>1866</v>
      </c>
      <c r="D92" s="1306" t="s">
        <v>1867</v>
      </c>
      <c r="E92" s="1275" t="s">
        <v>1868</v>
      </c>
      <c r="F92" s="1307" t="s">
        <v>1884</v>
      </c>
      <c r="G92" s="1306" t="s">
        <v>1683</v>
      </c>
      <c r="H92" s="1308" t="s">
        <v>1870</v>
      </c>
      <c r="I92" s="1306" t="s">
        <v>1871</v>
      </c>
      <c r="J92" s="1344" t="s">
        <v>1225</v>
      </c>
      <c r="K92" s="1344" t="s">
        <v>1226</v>
      </c>
      <c r="L92" s="1344" t="s">
        <v>1227</v>
      </c>
      <c r="M92" s="1344" t="s">
        <v>1228</v>
      </c>
      <c r="N92" s="1344" t="s">
        <v>1229</v>
      </c>
    </row>
    <row r="93" ht="26" spans="1:14">
      <c r="A93" s="1161" t="s">
        <v>1894</v>
      </c>
      <c r="B93" s="1309"/>
      <c r="C93" s="1022"/>
      <c r="D93" s="1306">
        <f>SUMIF($J$92:$N$92,C93,J93:N93)</f>
        <v>0</v>
      </c>
      <c r="E93" s="1310">
        <f>ROUND(SUM(D93:D101),4)</f>
        <v>0</v>
      </c>
      <c r="F93" s="1156" t="str">
        <f>IF(E2="公共服务",SUMIF(L1:L12,G2,N1:N12),"——")</f>
        <v>——</v>
      </c>
      <c r="G93" s="1303"/>
      <c r="H93" s="1311" t="str">
        <f>IFERROR(ROUNDDOWN($F$93*I93/2,4),"——")</f>
        <v>——</v>
      </c>
      <c r="I93" s="1260">
        <v>0.25</v>
      </c>
      <c r="J93" s="1083">
        <f t="shared" ref="J93:J101" si="27">K93+$G93</f>
        <v>0</v>
      </c>
      <c r="K93" s="1083">
        <f t="shared" ref="K93:K101" si="28">$L93+$G93</f>
        <v>0</v>
      </c>
      <c r="L93" s="1083">
        <v>0</v>
      </c>
      <c r="M93" s="1083">
        <f t="shared" ref="M93:N101" si="29">L93-$G93</f>
        <v>0</v>
      </c>
      <c r="N93" s="1083">
        <f t="shared" si="29"/>
        <v>0</v>
      </c>
    </row>
    <row r="94" ht="52" spans="1:14">
      <c r="A94" s="1305" t="s">
        <v>1873</v>
      </c>
      <c r="B94" s="1312" t="str">
        <f>估价对象房地状况!C18</f>
        <v>估价对象周边道路状况、公共交通通达情况、停车便捷程度，综合评价交通便捷度较好</v>
      </c>
      <c r="C94" s="1022"/>
      <c r="D94" s="1306">
        <f t="shared" ref="D94:D101" si="30">SUMIF($J$60:$N$60,C94,J94:N94)</f>
        <v>0</v>
      </c>
      <c r="E94" s="1313"/>
      <c r="F94" s="1156"/>
      <c r="G94" s="1303"/>
      <c r="H94" s="1311" t="str">
        <f>IFERROR(ROUNDDOWN($F$93*I94/2,4),"——")</f>
        <v>——</v>
      </c>
      <c r="I94" s="1260">
        <v>0.26</v>
      </c>
      <c r="J94" s="1083">
        <f t="shared" si="27"/>
        <v>0</v>
      </c>
      <c r="K94" s="1083">
        <f t="shared" si="28"/>
        <v>0</v>
      </c>
      <c r="L94" s="1083">
        <v>0</v>
      </c>
      <c r="M94" s="1083">
        <f t="shared" si="29"/>
        <v>0</v>
      </c>
      <c r="N94" s="1083">
        <f t="shared" si="29"/>
        <v>0</v>
      </c>
    </row>
    <row r="95" ht="39" spans="1:14">
      <c r="A95" s="1161" t="s">
        <v>1874</v>
      </c>
      <c r="B95" s="1312">
        <f>估价对象房地状况!C19</f>
        <v>0</v>
      </c>
      <c r="C95" s="1022"/>
      <c r="D95" s="1306">
        <f t="shared" si="30"/>
        <v>0</v>
      </c>
      <c r="E95" s="1313"/>
      <c r="F95" s="1156"/>
      <c r="G95" s="1303"/>
      <c r="H95" s="1311" t="str">
        <f t="shared" ref="H95:H101" si="31">IFERROR(ROUNDDOWN($F$93*I95/2,4),"——")</f>
        <v>——</v>
      </c>
      <c r="I95" s="1260">
        <v>0.11</v>
      </c>
      <c r="J95" s="1083">
        <f t="shared" si="27"/>
        <v>0</v>
      </c>
      <c r="K95" s="1083">
        <f t="shared" si="28"/>
        <v>0</v>
      </c>
      <c r="L95" s="1083">
        <v>0</v>
      </c>
      <c r="M95" s="1083">
        <f t="shared" si="29"/>
        <v>0</v>
      </c>
      <c r="N95" s="1083">
        <f t="shared" si="29"/>
        <v>0</v>
      </c>
    </row>
    <row r="96" ht="39" spans="1:14">
      <c r="A96" s="1305" t="s">
        <v>1875</v>
      </c>
      <c r="B96" s="1314" t="s">
        <v>1876</v>
      </c>
      <c r="C96" s="1022"/>
      <c r="D96" s="1306">
        <f t="shared" si="30"/>
        <v>0</v>
      </c>
      <c r="E96" s="1313"/>
      <c r="F96" s="1156"/>
      <c r="G96" s="1303"/>
      <c r="H96" s="1311" t="str">
        <f t="shared" si="31"/>
        <v>——</v>
      </c>
      <c r="I96" s="1260">
        <v>0.05</v>
      </c>
      <c r="J96" s="1083">
        <f t="shared" si="27"/>
        <v>0</v>
      </c>
      <c r="K96" s="1083">
        <f t="shared" si="28"/>
        <v>0</v>
      </c>
      <c r="L96" s="1083">
        <v>0</v>
      </c>
      <c r="M96" s="1083">
        <f t="shared" si="29"/>
        <v>0</v>
      </c>
      <c r="N96" s="1083">
        <f t="shared" si="29"/>
        <v>0</v>
      </c>
    </row>
    <row r="97" ht="26" spans="1:14">
      <c r="A97" s="1305" t="s">
        <v>1877</v>
      </c>
      <c r="B97" s="1312">
        <f>估价对象房地状况!C24</f>
        <v>0</v>
      </c>
      <c r="C97" s="1022"/>
      <c r="D97" s="1306">
        <f t="shared" si="30"/>
        <v>0</v>
      </c>
      <c r="E97" s="1313"/>
      <c r="F97" s="1156"/>
      <c r="G97" s="1303"/>
      <c r="H97" s="1311" t="str">
        <f t="shared" si="31"/>
        <v>——</v>
      </c>
      <c r="I97" s="1260">
        <v>0.05</v>
      </c>
      <c r="J97" s="1083">
        <f t="shared" si="27"/>
        <v>0</v>
      </c>
      <c r="K97" s="1083">
        <f t="shared" si="28"/>
        <v>0</v>
      </c>
      <c r="L97" s="1083">
        <v>0</v>
      </c>
      <c r="M97" s="1083">
        <f t="shared" si="29"/>
        <v>0</v>
      </c>
      <c r="N97" s="1083">
        <f t="shared" si="29"/>
        <v>0</v>
      </c>
    </row>
    <row r="98" ht="26" spans="1:14">
      <c r="A98" s="1305" t="s">
        <v>1878</v>
      </c>
      <c r="B98" s="1315" t="s">
        <v>1879</v>
      </c>
      <c r="C98" s="1022"/>
      <c r="D98" s="1306">
        <f t="shared" si="30"/>
        <v>0</v>
      </c>
      <c r="E98" s="1313"/>
      <c r="F98" s="1156"/>
      <c r="G98" s="1303"/>
      <c r="H98" s="1311" t="str">
        <f t="shared" si="31"/>
        <v>——</v>
      </c>
      <c r="I98" s="1260">
        <v>0.06</v>
      </c>
      <c r="J98" s="1083">
        <f t="shared" si="27"/>
        <v>0</v>
      </c>
      <c r="K98" s="1083">
        <f t="shared" si="28"/>
        <v>0</v>
      </c>
      <c r="L98" s="1083">
        <v>0</v>
      </c>
      <c r="M98" s="1083">
        <f t="shared" si="29"/>
        <v>0</v>
      </c>
      <c r="N98" s="1083">
        <f t="shared" si="29"/>
        <v>0</v>
      </c>
    </row>
    <row r="99" ht="26" spans="1:14">
      <c r="A99" s="1305" t="s">
        <v>1880</v>
      </c>
      <c r="B99" s="1312" t="str">
        <f>估价对象房地状况!C21</f>
        <v>估价对象所在区域公共配套设施齐备情况</v>
      </c>
      <c r="C99" s="1022"/>
      <c r="D99" s="1306">
        <f t="shared" si="30"/>
        <v>0</v>
      </c>
      <c r="E99" s="1313"/>
      <c r="F99" s="1156"/>
      <c r="G99" s="1303"/>
      <c r="H99" s="1311" t="str">
        <f t="shared" si="31"/>
        <v>——</v>
      </c>
      <c r="I99" s="1260">
        <v>0.06</v>
      </c>
      <c r="J99" s="1083">
        <f t="shared" si="27"/>
        <v>0</v>
      </c>
      <c r="K99" s="1083">
        <f t="shared" si="28"/>
        <v>0</v>
      </c>
      <c r="L99" s="1083">
        <v>0</v>
      </c>
      <c r="M99" s="1083">
        <f t="shared" si="29"/>
        <v>0</v>
      </c>
      <c r="N99" s="1083">
        <f t="shared" si="29"/>
        <v>0</v>
      </c>
    </row>
    <row r="100" ht="26" spans="1:14">
      <c r="A100" s="1305" t="s">
        <v>1881</v>
      </c>
      <c r="B100" s="1312" t="str">
        <f>估价对象房地状况!C22</f>
        <v>估价对象所在区域基础设施水平</v>
      </c>
      <c r="C100" s="1022"/>
      <c r="D100" s="1306">
        <f t="shared" si="30"/>
        <v>0</v>
      </c>
      <c r="E100" s="1313"/>
      <c r="F100" s="1156"/>
      <c r="G100" s="1303"/>
      <c r="H100" s="1311" t="str">
        <f t="shared" si="31"/>
        <v>——</v>
      </c>
      <c r="I100" s="1260">
        <v>0.09</v>
      </c>
      <c r="J100" s="1083">
        <f t="shared" si="27"/>
        <v>0</v>
      </c>
      <c r="K100" s="1083">
        <f t="shared" si="28"/>
        <v>0</v>
      </c>
      <c r="L100" s="1083">
        <v>0</v>
      </c>
      <c r="M100" s="1083">
        <f t="shared" si="29"/>
        <v>0</v>
      </c>
      <c r="N100" s="1083">
        <f t="shared" si="29"/>
        <v>0</v>
      </c>
    </row>
    <row r="101" ht="26.75" spans="1:14">
      <c r="A101" s="1316" t="s">
        <v>1882</v>
      </c>
      <c r="B101" s="1317" t="str">
        <f>估价对象房地状况!C20</f>
        <v>区域自然环境：；人文环境；综合评价环境状况一般</v>
      </c>
      <c r="C101" s="1022"/>
      <c r="D101" s="1306">
        <f t="shared" si="30"/>
        <v>0</v>
      </c>
      <c r="E101" s="1318"/>
      <c r="F101" s="1156"/>
      <c r="G101" s="1303"/>
      <c r="H101" s="1311" t="str">
        <f t="shared" si="31"/>
        <v>——</v>
      </c>
      <c r="I101" s="1262">
        <v>0.07</v>
      </c>
      <c r="J101" s="1083">
        <f t="shared" si="27"/>
        <v>0</v>
      </c>
      <c r="K101" s="1083">
        <f t="shared" si="28"/>
        <v>0</v>
      </c>
      <c r="L101" s="1083">
        <v>0</v>
      </c>
      <c r="M101" s="1083">
        <f t="shared" si="29"/>
        <v>0</v>
      </c>
      <c r="N101" s="1083">
        <f t="shared" si="29"/>
        <v>0</v>
      </c>
    </row>
    <row r="103" ht="13" spans="1:14">
      <c r="A103" s="1319" t="s">
        <v>1895</v>
      </c>
      <c r="B103" s="1319"/>
      <c r="C103" s="1319"/>
      <c r="D103" s="1319"/>
      <c r="E103" s="1319"/>
      <c r="F103" s="1319"/>
      <c r="G103" s="1319"/>
      <c r="H103" s="1319"/>
      <c r="I103" s="1319"/>
      <c r="J103" s="1319"/>
      <c r="K103" s="1319"/>
      <c r="L103" s="1319"/>
      <c r="M103" s="1319"/>
      <c r="N103" s="1319"/>
    </row>
    <row r="104" ht="13" spans="1:14">
      <c r="A104" s="1320" t="s">
        <v>1896</v>
      </c>
      <c r="B104" s="1320" t="s">
        <v>1897</v>
      </c>
      <c r="C104" s="1321" t="s">
        <v>1898</v>
      </c>
      <c r="D104" s="1322"/>
      <c r="E104" s="1322"/>
      <c r="F104" s="1322"/>
      <c r="G104" s="1322"/>
      <c r="H104" s="1322"/>
      <c r="I104" s="1322"/>
      <c r="J104" s="1345"/>
      <c r="K104" s="1346"/>
      <c r="L104" s="1346"/>
      <c r="M104" s="1346"/>
      <c r="N104" s="1346"/>
    </row>
    <row r="105" ht="13" spans="1:14">
      <c r="A105" s="1320"/>
      <c r="B105" s="1320"/>
      <c r="C105" s="1320" t="s">
        <v>1746</v>
      </c>
      <c r="D105" s="1320" t="s">
        <v>1747</v>
      </c>
      <c r="E105" s="1320" t="s">
        <v>1748</v>
      </c>
      <c r="F105" s="1320" t="s">
        <v>1749</v>
      </c>
      <c r="G105" s="1320" t="s">
        <v>1750</v>
      </c>
      <c r="H105" s="1320" t="s">
        <v>1751</v>
      </c>
      <c r="I105" s="1320" t="s">
        <v>1752</v>
      </c>
      <c r="J105" s="1320" t="s">
        <v>1753</v>
      </c>
      <c r="K105" s="1320" t="s">
        <v>1754</v>
      </c>
      <c r="L105" s="1320" t="s">
        <v>1755</v>
      </c>
      <c r="M105" s="1320" t="s">
        <v>1756</v>
      </c>
      <c r="N105" s="1320" t="s">
        <v>1757</v>
      </c>
    </row>
    <row r="106" spans="1:14">
      <c r="A106" s="1323" t="s">
        <v>1899</v>
      </c>
      <c r="B106" s="1320">
        <v>1</v>
      </c>
      <c r="C106" s="1320">
        <v>1.5206</v>
      </c>
      <c r="D106" s="1320">
        <v>1.5206</v>
      </c>
      <c r="E106" s="1320">
        <v>1.5019</v>
      </c>
      <c r="F106" s="1320">
        <v>1.5019</v>
      </c>
      <c r="G106" s="1320">
        <v>1.5019</v>
      </c>
      <c r="H106" s="1320">
        <v>1.5019</v>
      </c>
      <c r="I106" s="1320">
        <v>1.5019</v>
      </c>
      <c r="J106" s="1320">
        <v>1.5418</v>
      </c>
      <c r="K106" s="1320">
        <v>1.5418</v>
      </c>
      <c r="L106" s="1320">
        <v>1.5418</v>
      </c>
      <c r="M106" s="1320">
        <v>1.5418</v>
      </c>
      <c r="N106" s="1320">
        <v>1.5418</v>
      </c>
    </row>
    <row r="107" spans="1:14">
      <c r="A107" s="1324"/>
      <c r="B107" s="1320">
        <v>2</v>
      </c>
      <c r="C107" s="1320">
        <v>1.2072</v>
      </c>
      <c r="D107" s="1320">
        <v>1.2072</v>
      </c>
      <c r="E107" s="1320">
        <v>1.1838</v>
      </c>
      <c r="F107" s="1320">
        <v>1.1838</v>
      </c>
      <c r="G107" s="1320">
        <v>1.1838</v>
      </c>
      <c r="H107" s="1320">
        <v>1.1838</v>
      </c>
      <c r="I107" s="1320">
        <v>1.1838</v>
      </c>
      <c r="J107" s="1320">
        <v>1.1884</v>
      </c>
      <c r="K107" s="1320">
        <v>1.1884</v>
      </c>
      <c r="L107" s="1320">
        <v>1.1884</v>
      </c>
      <c r="M107" s="1320">
        <v>1.1884</v>
      </c>
      <c r="N107" s="1320">
        <v>1.1884</v>
      </c>
    </row>
    <row r="108" spans="1:14">
      <c r="A108" s="1324"/>
      <c r="B108" s="1320">
        <v>3</v>
      </c>
      <c r="C108" s="1320">
        <v>1.0431</v>
      </c>
      <c r="D108" s="1320">
        <v>1.0431</v>
      </c>
      <c r="E108" s="1320">
        <v>1.0005</v>
      </c>
      <c r="F108" s="1320">
        <v>1.0005</v>
      </c>
      <c r="G108" s="1320">
        <v>1.0005</v>
      </c>
      <c r="H108" s="1320">
        <v>1.0005</v>
      </c>
      <c r="I108" s="1320">
        <v>1.0005</v>
      </c>
      <c r="J108" s="1320">
        <v>0.9694</v>
      </c>
      <c r="K108" s="1320">
        <v>0.9694</v>
      </c>
      <c r="L108" s="1320">
        <v>0.9694</v>
      </c>
      <c r="M108" s="1320">
        <v>0.9694</v>
      </c>
      <c r="N108" s="1320">
        <v>0.9694</v>
      </c>
    </row>
    <row r="109" spans="1:14">
      <c r="A109" s="1324"/>
      <c r="B109" s="1320">
        <v>4</v>
      </c>
      <c r="C109" s="1320">
        <v>0.9439</v>
      </c>
      <c r="D109" s="1320">
        <v>0.9439</v>
      </c>
      <c r="E109" s="1320">
        <v>0.8824</v>
      </c>
      <c r="F109" s="1320">
        <v>0.8824</v>
      </c>
      <c r="G109" s="1320">
        <v>0.8824</v>
      </c>
      <c r="H109" s="1320">
        <v>0.8824</v>
      </c>
      <c r="I109" s="1320">
        <v>0.8824</v>
      </c>
      <c r="J109" s="1320">
        <v>0.823</v>
      </c>
      <c r="K109" s="1320">
        <v>0.823</v>
      </c>
      <c r="L109" s="1320">
        <v>0.823</v>
      </c>
      <c r="M109" s="1320">
        <v>0.823</v>
      </c>
      <c r="N109" s="1320">
        <v>0.823</v>
      </c>
    </row>
    <row r="110" spans="1:14">
      <c r="A110" s="1324"/>
      <c r="B110" s="1320">
        <v>5</v>
      </c>
      <c r="C110" s="1320">
        <v>0.8996</v>
      </c>
      <c r="D110" s="1320">
        <v>0.8996</v>
      </c>
      <c r="E110" s="1320">
        <v>0.848</v>
      </c>
      <c r="F110" s="1320">
        <v>0.848</v>
      </c>
      <c r="G110" s="1320">
        <v>0.848</v>
      </c>
      <c r="H110" s="1320">
        <v>0.848</v>
      </c>
      <c r="I110" s="1320">
        <v>0.848</v>
      </c>
      <c r="J110" s="1320">
        <v>0.7498</v>
      </c>
      <c r="K110" s="1320">
        <v>0.7498</v>
      </c>
      <c r="L110" s="1320">
        <v>0.7498</v>
      </c>
      <c r="M110" s="1320">
        <v>0.7498</v>
      </c>
      <c r="N110" s="1320">
        <v>0.7498</v>
      </c>
    </row>
    <row r="111" ht="13" spans="1:14">
      <c r="A111" s="1324"/>
      <c r="B111" s="1320" t="s">
        <v>1762</v>
      </c>
      <c r="C111" s="1325">
        <f>$I$3</f>
        <v>1</v>
      </c>
      <c r="D111" s="1325">
        <f t="shared" ref="D111:N111" si="32">$I$3</f>
        <v>1</v>
      </c>
      <c r="E111" s="1325">
        <f t="shared" si="32"/>
        <v>1</v>
      </c>
      <c r="F111" s="1325">
        <f t="shared" si="32"/>
        <v>1</v>
      </c>
      <c r="G111" s="1325">
        <f t="shared" si="32"/>
        <v>1</v>
      </c>
      <c r="H111" s="1325">
        <f t="shared" si="32"/>
        <v>1</v>
      </c>
      <c r="I111" s="1325">
        <f t="shared" si="32"/>
        <v>1</v>
      </c>
      <c r="J111" s="1325">
        <f t="shared" si="32"/>
        <v>1</v>
      </c>
      <c r="K111" s="1325">
        <f t="shared" si="32"/>
        <v>1</v>
      </c>
      <c r="L111" s="1325">
        <f t="shared" si="32"/>
        <v>1</v>
      </c>
      <c r="M111" s="1325">
        <f t="shared" si="32"/>
        <v>1</v>
      </c>
      <c r="N111" s="1325">
        <f t="shared" si="32"/>
        <v>1</v>
      </c>
    </row>
    <row r="112" spans="1:14">
      <c r="A112" s="1326"/>
      <c r="B112" s="1320">
        <v>6</v>
      </c>
      <c r="C112" s="1308">
        <f>(-0.5556*(C111^2)-0.2719*C111+8944)*(10^(-4))</f>
        <v>0.89431725</v>
      </c>
      <c r="D112" s="1308">
        <f>(-0.5556*(D111^2)-0.2719*D111+8944)*(10^(-4))</f>
        <v>0.89431725</v>
      </c>
      <c r="E112" s="1308">
        <f>(-0.7912*(E111^2)-11.3794*E111+8482)*(10^(-4))</f>
        <v>0.84698294</v>
      </c>
      <c r="F112" s="1308">
        <f t="shared" ref="F112:I112" si="33">(-0.7912*(F111^2)-11.3794*F111+8482)*(10^(-4))</f>
        <v>0.84698294</v>
      </c>
      <c r="G112" s="1308">
        <f t="shared" si="33"/>
        <v>0.84698294</v>
      </c>
      <c r="H112" s="1308">
        <f t="shared" si="33"/>
        <v>0.84698294</v>
      </c>
      <c r="I112" s="1308">
        <f t="shared" si="33"/>
        <v>0.84698294</v>
      </c>
      <c r="J112" s="1308">
        <f>(-0.989*(J111^2)-63.78*J111+7771)*(10^(-4))</f>
        <v>0.7706231</v>
      </c>
      <c r="K112" s="1308">
        <f t="shared" ref="K112:N112" si="34">(-0.989*(K111^2)-63.78*K111+7771)*(10^(-4))</f>
        <v>0.7706231</v>
      </c>
      <c r="L112" s="1308">
        <f t="shared" si="34"/>
        <v>0.7706231</v>
      </c>
      <c r="M112" s="1308">
        <f t="shared" si="34"/>
        <v>0.7706231</v>
      </c>
      <c r="N112" s="1308">
        <f t="shared" si="34"/>
        <v>0.7706231</v>
      </c>
    </row>
    <row r="113" ht="13" spans="1:14">
      <c r="A113" s="1327" t="s">
        <v>1900</v>
      </c>
      <c r="B113" s="1327"/>
      <c r="C113" s="1327"/>
      <c r="D113" s="1327"/>
      <c r="E113" s="1327"/>
      <c r="F113" s="1327"/>
      <c r="G113" s="1327"/>
      <c r="H113" s="1327"/>
      <c r="I113" s="1327"/>
      <c r="J113" s="1327"/>
      <c r="K113" s="1327"/>
      <c r="L113" s="1327"/>
      <c r="M113" s="1327"/>
      <c r="N113" s="1327"/>
    </row>
    <row r="114" spans="1:14">
      <c r="A114" s="1328"/>
      <c r="B114" s="1328"/>
      <c r="C114" s="1328"/>
      <c r="D114" s="1328"/>
      <c r="E114" s="1328"/>
      <c r="F114" s="1328"/>
      <c r="G114" s="1328"/>
      <c r="H114" s="1328"/>
      <c r="I114" s="1328"/>
      <c r="J114" s="1328"/>
      <c r="K114" s="1246"/>
      <c r="L114" s="1328"/>
      <c r="M114" s="1328"/>
      <c r="N114" s="1328"/>
    </row>
    <row r="115" ht="13.25" spans="1:14">
      <c r="A115" s="1328"/>
      <c r="B115" s="1328"/>
      <c r="C115" s="1328"/>
      <c r="D115" s="1328"/>
      <c r="E115" s="1328"/>
      <c r="F115" s="1328"/>
      <c r="G115" s="1328"/>
      <c r="H115" s="1328"/>
      <c r="I115" s="1328"/>
      <c r="J115" s="1328"/>
      <c r="K115" s="1246"/>
      <c r="L115" s="1328"/>
      <c r="M115" s="1328"/>
      <c r="N115" s="1328"/>
    </row>
    <row r="116" ht="26.25" spans="1:14">
      <c r="A116" s="1329" t="s">
        <v>1901</v>
      </c>
      <c r="B116" s="1330">
        <f>G3</f>
        <v>2.5</v>
      </c>
      <c r="C116" s="1331" t="s">
        <v>1902</v>
      </c>
      <c r="D116" s="1332">
        <f>SUMPRODUCT((A118:A122=F116)*(B117:M117=H116)*B118:M122)</f>
        <v>0.7155</v>
      </c>
      <c r="E116" s="962" t="s">
        <v>1719</v>
      </c>
      <c r="F116" s="1333" t="str">
        <f>E2</f>
        <v>工业</v>
      </c>
      <c r="G116" s="962" t="s">
        <v>1720</v>
      </c>
      <c r="H116" s="1333" t="str">
        <f>G2</f>
        <v>四级</v>
      </c>
      <c r="I116" s="962"/>
      <c r="J116" s="1347"/>
      <c r="K116" s="1347"/>
      <c r="L116" s="1347"/>
      <c r="M116" s="1347"/>
      <c r="N116" s="1328"/>
    </row>
    <row r="117" ht="13" spans="1:14">
      <c r="A117" s="1334"/>
      <c r="B117" s="1335" t="s">
        <v>1903</v>
      </c>
      <c r="C117" s="1335" t="s">
        <v>1904</v>
      </c>
      <c r="D117" s="1335" t="s">
        <v>1905</v>
      </c>
      <c r="E117" s="1336" t="s">
        <v>1906</v>
      </c>
      <c r="F117" s="1336" t="s">
        <v>1907</v>
      </c>
      <c r="G117" s="1336" t="s">
        <v>1908</v>
      </c>
      <c r="H117" s="1337" t="s">
        <v>1909</v>
      </c>
      <c r="I117" s="1337" t="s">
        <v>1910</v>
      </c>
      <c r="J117" s="1348" t="s">
        <v>1911</v>
      </c>
      <c r="K117" s="1348" t="s">
        <v>1912</v>
      </c>
      <c r="L117" s="1348" t="s">
        <v>1913</v>
      </c>
      <c r="M117" s="1349" t="s">
        <v>1914</v>
      </c>
      <c r="N117" s="1328"/>
    </row>
    <row r="118" ht="13" spans="1:14">
      <c r="A118" s="1338" t="s">
        <v>1833</v>
      </c>
      <c r="B118" s="1308">
        <f>ROUND(0.9968-0.011*B116,4)</f>
        <v>0.9693</v>
      </c>
      <c r="C118" s="1308">
        <f>B118</f>
        <v>0.9693</v>
      </c>
      <c r="D118" s="1308">
        <f>ROUND(0.949-0.014*B116,4)</f>
        <v>0.914</v>
      </c>
      <c r="E118" s="1308">
        <f>D118</f>
        <v>0.914</v>
      </c>
      <c r="F118" s="1308">
        <f>E118</f>
        <v>0.914</v>
      </c>
      <c r="G118" s="1308">
        <f>F118</f>
        <v>0.914</v>
      </c>
      <c r="H118" s="1308">
        <f>G118</f>
        <v>0.914</v>
      </c>
      <c r="I118" s="1308">
        <f>ROUND(0.8486-0.018*B116,4)</f>
        <v>0.8036</v>
      </c>
      <c r="J118" s="1308">
        <f t="shared" ref="J118:M122" si="35">I118</f>
        <v>0.8036</v>
      </c>
      <c r="K118" s="1308">
        <f t="shared" si="35"/>
        <v>0.8036</v>
      </c>
      <c r="L118" s="1308">
        <f t="shared" si="35"/>
        <v>0.8036</v>
      </c>
      <c r="M118" s="1350">
        <f t="shared" si="35"/>
        <v>0.8036</v>
      </c>
      <c r="N118" s="1328"/>
    </row>
    <row r="119" ht="13" spans="1:14">
      <c r="A119" s="1338" t="s">
        <v>1834</v>
      </c>
      <c r="B119" s="1308">
        <f>ROUND(0.993-0.0112*B116,4)</f>
        <v>0.965</v>
      </c>
      <c r="C119" s="1308">
        <f>B119</f>
        <v>0.965</v>
      </c>
      <c r="D119" s="1308">
        <f>ROUND(0.9415-0.0142*B116,4)</f>
        <v>0.906</v>
      </c>
      <c r="E119" s="1308">
        <f t="shared" ref="E119:H120" si="36">D119</f>
        <v>0.906</v>
      </c>
      <c r="F119" s="1308">
        <f t="shared" si="36"/>
        <v>0.906</v>
      </c>
      <c r="G119" s="1308">
        <f t="shared" si="36"/>
        <v>0.906</v>
      </c>
      <c r="H119" s="1308">
        <f t="shared" si="36"/>
        <v>0.906</v>
      </c>
      <c r="I119" s="1308">
        <f>ROUND(0.838-0.0182*B116,4)</f>
        <v>0.7925</v>
      </c>
      <c r="J119" s="1308">
        <f t="shared" si="35"/>
        <v>0.7925</v>
      </c>
      <c r="K119" s="1308">
        <f t="shared" si="35"/>
        <v>0.7925</v>
      </c>
      <c r="L119" s="1308">
        <f t="shared" si="35"/>
        <v>0.7925</v>
      </c>
      <c r="M119" s="1350">
        <f t="shared" si="35"/>
        <v>0.7925</v>
      </c>
      <c r="N119" s="1328"/>
    </row>
    <row r="120" ht="13" spans="1:14">
      <c r="A120" s="1338" t="s">
        <v>1835</v>
      </c>
      <c r="B120" s="1308">
        <f>ROUND(0.9448-0.0115*B116,4)</f>
        <v>0.9161</v>
      </c>
      <c r="C120" s="1308">
        <f>B120</f>
        <v>0.9161</v>
      </c>
      <c r="D120" s="1308">
        <f>ROUND(0.937-0.0145*B116,4)</f>
        <v>0.9008</v>
      </c>
      <c r="E120" s="1308">
        <f t="shared" si="36"/>
        <v>0.9008</v>
      </c>
      <c r="F120" s="1308">
        <f t="shared" si="36"/>
        <v>0.9008</v>
      </c>
      <c r="G120" s="1308">
        <f t="shared" si="36"/>
        <v>0.9008</v>
      </c>
      <c r="H120" s="1308">
        <f t="shared" si="36"/>
        <v>0.9008</v>
      </c>
      <c r="I120" s="1308">
        <f>ROUND(0.7965-0.0185*B116,4)</f>
        <v>0.7503</v>
      </c>
      <c r="J120" s="1308">
        <f t="shared" si="35"/>
        <v>0.7503</v>
      </c>
      <c r="K120" s="1308">
        <f t="shared" si="35"/>
        <v>0.7503</v>
      </c>
      <c r="L120" s="1308">
        <f t="shared" si="35"/>
        <v>0.7503</v>
      </c>
      <c r="M120" s="1350">
        <f t="shared" si="35"/>
        <v>0.7503</v>
      </c>
      <c r="N120" s="1328"/>
    </row>
    <row r="121" ht="13.75" spans="1:14">
      <c r="A121" s="1339" t="s">
        <v>1836</v>
      </c>
      <c r="B121" s="1340">
        <f>ROUND(0.7836-0.012*B116,4)</f>
        <v>0.7536</v>
      </c>
      <c r="C121" s="1340">
        <f>B121</f>
        <v>0.7536</v>
      </c>
      <c r="D121" s="1340">
        <f>ROUND(0.753-0.015*B116,4)</f>
        <v>0.7155</v>
      </c>
      <c r="E121" s="1340">
        <f>D121</f>
        <v>0.7155</v>
      </c>
      <c r="F121" s="1340">
        <f>E121</f>
        <v>0.7155</v>
      </c>
      <c r="G121" s="1340">
        <f>ROUND(0.6612-0.018*B116,4)</f>
        <v>0.6162</v>
      </c>
      <c r="H121" s="1340">
        <f>G121</f>
        <v>0.6162</v>
      </c>
      <c r="I121" s="1340">
        <f>ROUND(0.5905-0.019*B116,4)</f>
        <v>0.543</v>
      </c>
      <c r="J121" s="1340">
        <f t="shared" si="35"/>
        <v>0.543</v>
      </c>
      <c r="K121" s="1340">
        <f t="shared" si="35"/>
        <v>0.543</v>
      </c>
      <c r="L121" s="1340">
        <f t="shared" si="35"/>
        <v>0.543</v>
      </c>
      <c r="M121" s="1351">
        <f t="shared" si="35"/>
        <v>0.543</v>
      </c>
      <c r="N121" s="1328"/>
    </row>
    <row r="122" ht="13" spans="1:14">
      <c r="A122" s="1341" t="s">
        <v>280</v>
      </c>
      <c r="B122" s="1308">
        <f>ROUND(0.9404-0.0106*B116,4)</f>
        <v>0.9139</v>
      </c>
      <c r="C122" s="1308">
        <f>B122</f>
        <v>0.9139</v>
      </c>
      <c r="D122" s="1308">
        <f>ROUND(0.8955-0.0135*B116,4)</f>
        <v>0.8618</v>
      </c>
      <c r="E122" s="1308">
        <f t="shared" ref="E122:H122" si="37">D122</f>
        <v>0.8618</v>
      </c>
      <c r="F122" s="1308">
        <f t="shared" si="37"/>
        <v>0.8618</v>
      </c>
      <c r="G122" s="1308">
        <f t="shared" si="37"/>
        <v>0.8618</v>
      </c>
      <c r="H122" s="1308">
        <f t="shared" si="37"/>
        <v>0.8618</v>
      </c>
      <c r="I122" s="1308">
        <f>ROUND(0.7632-0.0166*B116,4)</f>
        <v>0.7217</v>
      </c>
      <c r="J122" s="1308">
        <f t="shared" si="35"/>
        <v>0.7217</v>
      </c>
      <c r="K122" s="1308">
        <f t="shared" si="35"/>
        <v>0.7217</v>
      </c>
      <c r="L122" s="1308">
        <f t="shared" si="35"/>
        <v>0.7217</v>
      </c>
      <c r="M122" s="1350">
        <f t="shared" si="35"/>
        <v>0.7217</v>
      </c>
      <c r="N122" s="132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Normal="70" topLeftCell="A36" workbookViewId="0">
      <selection activeCell="L41" sqref="L41"/>
    </sheetView>
  </sheetViews>
  <sheetFormatPr defaultColWidth="9" defaultRowHeight="14"/>
  <cols>
    <col min="1" max="1" width="10.5" style="573" customWidth="1"/>
    <col min="2" max="2" width="15.7545454545455" style="573" customWidth="1"/>
    <col min="3" max="3" width="15.6272727272727" style="573" customWidth="1"/>
    <col min="4" max="4" width="12.2545454545455" style="573" customWidth="1"/>
    <col min="5" max="5" width="14.3727272727273" style="573" customWidth="1"/>
    <col min="6" max="6" width="12.2545454545455" style="573" customWidth="1"/>
    <col min="7" max="7" width="14.5" style="573" customWidth="1"/>
    <col min="8" max="8" width="12.2545454545455" style="573" customWidth="1"/>
    <col min="9" max="9" width="14.5" style="573" customWidth="1"/>
    <col min="10" max="10" width="12.2545454545455" style="573" customWidth="1"/>
    <col min="11" max="11" width="12.2545454545455" style="574" customWidth="1"/>
    <col min="12" max="12" width="12.2545454545455" style="575" customWidth="1"/>
    <col min="13" max="15" width="12.2545454545455" style="573" customWidth="1"/>
    <col min="16" max="16" width="4.75454545454545" style="576" customWidth="1"/>
    <col min="17" max="17" width="19.5" style="573" customWidth="1"/>
    <col min="18" max="22" width="6.12727272727273" style="573" customWidth="1"/>
    <col min="23" max="23" width="5.75454545454545" style="573" customWidth="1"/>
    <col min="24" max="24" width="4.25454545454545" style="573" customWidth="1"/>
    <col min="25" max="25" width="3.5" style="573" customWidth="1"/>
    <col min="26" max="26" width="19.7545454545455" style="573" customWidth="1"/>
    <col min="27" max="28" width="9.37272727272727" style="573" customWidth="1"/>
    <col min="29" max="16384" width="9" style="573"/>
  </cols>
  <sheetData>
    <row r="1" s="566" customFormat="1" ht="28.5" customHeight="1" spans="1:29">
      <c r="A1" s="577" t="s">
        <v>1152</v>
      </c>
      <c r="B1" s="578" t="s">
        <v>1153</v>
      </c>
      <c r="C1" s="579" t="s">
        <v>1154</v>
      </c>
      <c r="D1" s="580" t="s">
        <v>553</v>
      </c>
      <c r="E1" s="581" t="s">
        <v>1155</v>
      </c>
      <c r="F1" s="582" t="s">
        <v>754</v>
      </c>
      <c r="G1" s="583" t="s">
        <v>1157</v>
      </c>
      <c r="H1" s="584"/>
      <c r="I1" s="584"/>
      <c r="J1" s="584"/>
      <c r="K1" s="746"/>
      <c r="L1" s="747"/>
      <c r="M1" s="748"/>
      <c r="N1" s="748"/>
      <c r="O1" s="748"/>
      <c r="P1" s="579"/>
      <c r="Q1" s="579"/>
      <c r="R1" s="579"/>
      <c r="S1" s="579"/>
      <c r="T1" s="579"/>
      <c r="U1" s="579"/>
      <c r="V1" s="579"/>
      <c r="W1" s="579"/>
      <c r="X1" s="579"/>
      <c r="Y1" s="579"/>
      <c r="Z1" s="579"/>
      <c r="AA1" s="579"/>
      <c r="AB1" s="579"/>
      <c r="AC1" s="846"/>
    </row>
    <row r="2" s="567" customFormat="1" ht="28.5" customHeight="1" spans="1:29">
      <c r="A2" s="585" t="s">
        <v>995</v>
      </c>
      <c r="B2" s="586">
        <f ca="1">IF(E1="项目模式",IF(C2="——",ROUND(C50*D3/10000,0),ROUND(C50*D3/10000,0)-D2),IF(E1="单套模式",IF(C2="——",ROUND(C50*D3/10000,4),ROUND(C50*D3/10000,4)-D2)))</f>
        <v>1.0847</v>
      </c>
      <c r="C2" s="587" t="s">
        <v>124</v>
      </c>
      <c r="D2" s="588" t="e">
        <f ca="1">IF(E1="项目模式",SUMIF(INDIRECT("'"&amp;F2&amp;"'"&amp;"!A:A"),"承租人权益价值",INDIRECT("'"&amp;F2&amp;"'"&amp;"!c:c")),SUMIF(INDIRECT("'"&amp;F2&amp;"'"&amp;"!A:A"),"承租人权益价值（单套）",INDIRECT("'"&amp;F2&amp;"'"&amp;"!c:c")))</f>
        <v>#REF!</v>
      </c>
      <c r="E2" s="589" t="s">
        <v>996</v>
      </c>
      <c r="F2" s="590"/>
      <c r="G2" s="591"/>
      <c r="H2" s="591"/>
      <c r="I2" s="591"/>
      <c r="J2" s="591"/>
      <c r="K2" s="591"/>
      <c r="L2" s="749"/>
      <c r="M2" s="750"/>
      <c r="N2" s="750"/>
      <c r="O2" s="750"/>
      <c r="P2" s="751"/>
      <c r="Q2" s="751"/>
      <c r="R2" s="751"/>
      <c r="S2" s="751"/>
      <c r="T2" s="751"/>
      <c r="U2" s="751"/>
      <c r="V2" s="751"/>
      <c r="W2" s="751"/>
      <c r="X2" s="751"/>
      <c r="Y2" s="751"/>
      <c r="Z2" s="751"/>
      <c r="AA2" s="751"/>
      <c r="AB2" s="751"/>
      <c r="AC2" s="847"/>
    </row>
    <row r="3" s="567" customFormat="1" ht="28.5" customHeight="1" spans="1:29">
      <c r="A3" s="396" t="s">
        <v>997</v>
      </c>
      <c r="B3" s="592">
        <f ca="1">IF(C2="——",C50,ROUND(B2*10000/D3,0))</f>
        <v>3.6</v>
      </c>
      <c r="C3" s="593" t="s">
        <v>1158</v>
      </c>
      <c r="D3" s="594">
        <f>IF(D1="",'数据-汇总表'!E3,SUMIF('数据-汇总表'!$C19:$C33,D1,'数据-汇总表'!$E19:$E33))</f>
        <v>3013</v>
      </c>
      <c r="E3" s="595"/>
      <c r="F3" s="596"/>
      <c r="G3" s="591"/>
      <c r="H3" s="591"/>
      <c r="I3" s="591"/>
      <c r="J3" s="591"/>
      <c r="K3" s="752"/>
      <c r="L3" s="749"/>
      <c r="M3" s="750"/>
      <c r="N3" s="750"/>
      <c r="O3" s="750"/>
      <c r="P3" s="751"/>
      <c r="Q3" s="751"/>
      <c r="R3" s="751"/>
      <c r="S3" s="751"/>
      <c r="T3" s="751"/>
      <c r="U3" s="751"/>
      <c r="V3" s="751"/>
      <c r="W3" s="751"/>
      <c r="X3" s="751"/>
      <c r="Y3" s="751"/>
      <c r="Z3" s="751"/>
      <c r="AA3" s="751"/>
      <c r="AB3" s="751"/>
      <c r="AC3" s="847"/>
    </row>
    <row r="4" spans="1:29">
      <c r="A4" s="597" t="s">
        <v>1159</v>
      </c>
      <c r="B4" s="598"/>
      <c r="C4" s="599" t="s">
        <v>1160</v>
      </c>
      <c r="D4" s="600"/>
      <c r="E4" s="601" t="s">
        <v>1161</v>
      </c>
      <c r="F4" s="602"/>
      <c r="G4" s="599" t="s">
        <v>1162</v>
      </c>
      <c r="H4" s="600"/>
      <c r="I4" s="599" t="s">
        <v>1163</v>
      </c>
      <c r="J4" s="600"/>
      <c r="K4" s="753" t="s">
        <v>1164</v>
      </c>
      <c r="L4" s="754"/>
      <c r="M4" s="755"/>
      <c r="N4" s="755"/>
      <c r="O4" s="755"/>
      <c r="P4" s="756" t="s">
        <v>1165</v>
      </c>
      <c r="Q4" s="812"/>
      <c r="R4" s="813" t="s">
        <v>1161</v>
      </c>
      <c r="S4" s="814"/>
      <c r="T4" s="813" t="s">
        <v>1162</v>
      </c>
      <c r="U4" s="814"/>
      <c r="V4" s="815" t="s">
        <v>1163</v>
      </c>
      <c r="W4" s="815"/>
      <c r="X4" s="816"/>
      <c r="Y4" s="813" t="s">
        <v>1165</v>
      </c>
      <c r="Z4" s="814"/>
      <c r="AA4" s="816" t="s">
        <v>1161</v>
      </c>
      <c r="AB4" s="816" t="s">
        <v>1162</v>
      </c>
      <c r="AC4" s="848" t="s">
        <v>1163</v>
      </c>
    </row>
    <row r="5" spans="1:29">
      <c r="A5" s="603"/>
      <c r="B5" s="604"/>
      <c r="C5" s="605" t="s">
        <v>1166</v>
      </c>
      <c r="D5" s="606"/>
      <c r="E5" s="607" t="s">
        <v>1915</v>
      </c>
      <c r="F5" s="608"/>
      <c r="G5" s="609" t="s">
        <v>1167</v>
      </c>
      <c r="H5" s="608"/>
      <c r="I5" s="609" t="s">
        <v>1167</v>
      </c>
      <c r="J5" s="608"/>
      <c r="K5" s="753"/>
      <c r="L5" s="754"/>
      <c r="M5" s="755"/>
      <c r="N5" s="755"/>
      <c r="O5" s="755"/>
      <c r="P5" s="757"/>
      <c r="Q5" s="817"/>
      <c r="R5" s="818"/>
      <c r="S5" s="819"/>
      <c r="T5" s="818"/>
      <c r="U5" s="819"/>
      <c r="V5" s="820"/>
      <c r="W5" s="820"/>
      <c r="X5" s="821"/>
      <c r="Y5" s="818"/>
      <c r="Z5" s="819"/>
      <c r="AA5" s="821"/>
      <c r="AB5" s="821"/>
      <c r="AC5" s="849"/>
    </row>
    <row r="6" ht="14.75" spans="1:29">
      <c r="A6" s="610"/>
      <c r="B6" s="611"/>
      <c r="C6" s="612" t="s">
        <v>1170</v>
      </c>
      <c r="D6" s="613"/>
      <c r="E6" s="614" t="s">
        <v>1170</v>
      </c>
      <c r="F6" s="615"/>
      <c r="G6" s="612" t="s">
        <v>1170</v>
      </c>
      <c r="H6" s="613"/>
      <c r="I6" s="612" t="s">
        <v>1170</v>
      </c>
      <c r="J6" s="613"/>
      <c r="K6" s="753" t="s">
        <v>1171</v>
      </c>
      <c r="L6" s="754"/>
      <c r="M6" s="755"/>
      <c r="N6" s="755"/>
      <c r="O6" s="755"/>
      <c r="P6" s="758"/>
      <c r="Q6" s="822"/>
      <c r="R6" s="818"/>
      <c r="S6" s="819"/>
      <c r="T6" s="823"/>
      <c r="U6" s="824"/>
      <c r="V6" s="820"/>
      <c r="W6" s="820"/>
      <c r="X6" s="821"/>
      <c r="Y6" s="823"/>
      <c r="Z6" s="824"/>
      <c r="AA6" s="850"/>
      <c r="AB6" s="850"/>
      <c r="AC6" s="851"/>
    </row>
    <row r="7" s="568" customFormat="1" ht="14.75" spans="1:29">
      <c r="A7" s="616" t="s">
        <v>1172</v>
      </c>
      <c r="B7" s="617"/>
      <c r="C7" s="618">
        <f>'数据-取费表'!B2</f>
        <v>45538</v>
      </c>
      <c r="D7" s="619">
        <v>100</v>
      </c>
      <c r="E7" s="620">
        <f>C7</f>
        <v>45538</v>
      </c>
      <c r="F7" s="621">
        <f>SUMIF(59:59,YEAR(E7)&amp;"-"&amp;MONTH(E7),60:60)</f>
        <v>100</v>
      </c>
      <c r="G7" s="620">
        <f>E7</f>
        <v>45538</v>
      </c>
      <c r="H7" s="619">
        <f>SUMIF(59:59,YEAR(G7)&amp;"-"&amp;MONTH(G7),60:60)</f>
        <v>100</v>
      </c>
      <c r="I7" s="620">
        <f>C7</f>
        <v>45538</v>
      </c>
      <c r="J7" s="619">
        <f>SUMIF(59:59,YEAR(I7)&amp;"-"&amp;MONTH(I7),60:60)</f>
        <v>100</v>
      </c>
      <c r="K7" s="759"/>
      <c r="L7" s="760"/>
      <c r="M7" s="761"/>
      <c r="N7" s="761"/>
      <c r="O7" s="761"/>
      <c r="P7" s="762" t="s">
        <v>1173</v>
      </c>
      <c r="Q7" s="825"/>
      <c r="R7" s="826" t="s">
        <v>1174</v>
      </c>
      <c r="S7" s="827">
        <f t="shared" ref="S7:W7" si="0">F7</f>
        <v>100</v>
      </c>
      <c r="T7" s="826" t="s">
        <v>1174</v>
      </c>
      <c r="U7" s="827">
        <f t="shared" si="0"/>
        <v>100</v>
      </c>
      <c r="V7" s="826" t="s">
        <v>1174</v>
      </c>
      <c r="W7" s="827">
        <f t="shared" si="0"/>
        <v>100</v>
      </c>
      <c r="X7" s="828"/>
      <c r="Y7" s="852" t="s">
        <v>1173</v>
      </c>
      <c r="Z7" s="829"/>
      <c r="AA7" s="853">
        <f t="shared" ref="AA7:AA15" si="1">D7/F7</f>
        <v>1</v>
      </c>
      <c r="AB7" s="853">
        <f t="shared" ref="AB7:AB15" si="2">D7/H7</f>
        <v>1</v>
      </c>
      <c r="AC7" s="854">
        <f t="shared" ref="AC7:AC15" si="3">D7/J7</f>
        <v>1</v>
      </c>
    </row>
    <row r="8" s="568" customFormat="1" ht="14.75" spans="1:29">
      <c r="A8" s="616" t="s">
        <v>1175</v>
      </c>
      <c r="B8" s="617"/>
      <c r="C8" s="622" t="s">
        <v>881</v>
      </c>
      <c r="D8" s="619">
        <v>100</v>
      </c>
      <c r="E8" s="622" t="s">
        <v>1176</v>
      </c>
      <c r="F8" s="621">
        <f>SUMIF(62:62,E8,63:63)-SUMIF(62:62,C8,63:63)+100</f>
        <v>101</v>
      </c>
      <c r="G8" s="622" t="s">
        <v>1176</v>
      </c>
      <c r="H8" s="619">
        <f>SUMIF(62:62,G8,63:63)-SUMIF(62:62,C8,63:63)+100</f>
        <v>101</v>
      </c>
      <c r="I8" s="622" t="s">
        <v>1176</v>
      </c>
      <c r="J8" s="619">
        <f>SUMIF(62:62,I8,63:63)-SUMIF(62:62,C8,63:63)+100</f>
        <v>101</v>
      </c>
      <c r="K8" s="759"/>
      <c r="L8" s="760"/>
      <c r="M8" s="761"/>
      <c r="N8" s="761"/>
      <c r="O8" s="761"/>
      <c r="P8" s="762" t="s">
        <v>1177</v>
      </c>
      <c r="Q8" s="829"/>
      <c r="R8" s="826" t="s">
        <v>1174</v>
      </c>
      <c r="S8" s="827">
        <f t="shared" ref="S8:W8" si="4">F8</f>
        <v>101</v>
      </c>
      <c r="T8" s="826" t="s">
        <v>1174</v>
      </c>
      <c r="U8" s="827">
        <f t="shared" si="4"/>
        <v>101</v>
      </c>
      <c r="V8" s="826" t="s">
        <v>1174</v>
      </c>
      <c r="W8" s="827">
        <f t="shared" si="4"/>
        <v>101</v>
      </c>
      <c r="X8" s="828"/>
      <c r="Y8" s="852" t="s">
        <v>1177</v>
      </c>
      <c r="Z8" s="829"/>
      <c r="AA8" s="853">
        <f t="shared" si="1"/>
        <v>0.99009900990099</v>
      </c>
      <c r="AB8" s="853">
        <f t="shared" si="2"/>
        <v>0.99009900990099</v>
      </c>
      <c r="AC8" s="854">
        <f t="shared" si="3"/>
        <v>0.99009900990099</v>
      </c>
    </row>
    <row r="9" s="568" customFormat="1" spans="1:29">
      <c r="A9" s="623" t="s">
        <v>1178</v>
      </c>
      <c r="B9" s="624" t="s">
        <v>1179</v>
      </c>
      <c r="C9" s="625" t="s">
        <v>1180</v>
      </c>
      <c r="D9" s="626">
        <v>100</v>
      </c>
      <c r="E9" s="627" t="s">
        <v>1180</v>
      </c>
      <c r="F9" s="626">
        <f>SUMIF(64:64,E9,65:65)-SUMIF(64:64,C9,65:65)+100</f>
        <v>100</v>
      </c>
      <c r="G9" s="628" t="s">
        <v>1180</v>
      </c>
      <c r="H9" s="626">
        <f>SUMIF(64:64,G9,65:65)-SUMIF(64:64,C9,65:65)+100</f>
        <v>100</v>
      </c>
      <c r="I9" s="628" t="s">
        <v>1180</v>
      </c>
      <c r="J9" s="626">
        <f>SUMIF(64:64,I9,65:65)-SUMIF(64:64,C9,65:65)+100</f>
        <v>100</v>
      </c>
      <c r="K9" s="759"/>
      <c r="L9" s="760"/>
      <c r="M9" s="761"/>
      <c r="N9" s="761"/>
      <c r="O9" s="761"/>
      <c r="P9" s="763" t="s">
        <v>1182</v>
      </c>
      <c r="Q9" s="830" t="str">
        <f t="shared" ref="Q9:Q15" si="5">B9</f>
        <v>用途</v>
      </c>
      <c r="R9" s="826" t="s">
        <v>1174</v>
      </c>
      <c r="S9" s="827">
        <f t="shared" ref="S9:W9" si="6">F9</f>
        <v>100</v>
      </c>
      <c r="T9" s="826" t="s">
        <v>1174</v>
      </c>
      <c r="U9" s="827">
        <f t="shared" si="6"/>
        <v>100</v>
      </c>
      <c r="V9" s="826" t="s">
        <v>1174</v>
      </c>
      <c r="W9" s="827">
        <f t="shared" si="6"/>
        <v>100</v>
      </c>
      <c r="X9" s="828"/>
      <c r="Y9" s="830" t="s">
        <v>1183</v>
      </c>
      <c r="Z9" s="855" t="str">
        <f t="shared" ref="Z9:Z15" si="7">Q9</f>
        <v>用途</v>
      </c>
      <c r="AA9" s="853">
        <f t="shared" si="1"/>
        <v>1</v>
      </c>
      <c r="AB9" s="853">
        <f t="shared" si="2"/>
        <v>1</v>
      </c>
      <c r="AC9" s="854">
        <f t="shared" si="3"/>
        <v>1</v>
      </c>
    </row>
    <row r="10" s="569" customFormat="1" ht="28" spans="1:29">
      <c r="A10" s="629"/>
      <c r="B10" s="630" t="s">
        <v>1184</v>
      </c>
      <c r="C10" s="631"/>
      <c r="D10" s="632">
        <v>100</v>
      </c>
      <c r="E10" s="631"/>
      <c r="F10" s="632">
        <f>SUMIF(66:66,E10,67:67)-SUMIF(66:66,C10,67:67)+100</f>
        <v>100</v>
      </c>
      <c r="G10" s="633"/>
      <c r="H10" s="632">
        <f>SUMIF(66:66,G10,67:67)-SUMIF(66:66,C10,67:67)+100</f>
        <v>100</v>
      </c>
      <c r="I10" s="631"/>
      <c r="J10" s="632">
        <f>SUMIF(66:66,I10,67:67)-SUMIF(66:66,C10,67:67)+100</f>
        <v>100</v>
      </c>
      <c r="K10" s="759"/>
      <c r="L10" s="764"/>
      <c r="M10" s="765"/>
      <c r="N10" s="765"/>
      <c r="O10" s="765"/>
      <c r="P10" s="763"/>
      <c r="Q10" s="830" t="str">
        <f t="shared" si="5"/>
        <v>土地使用年限（年）</v>
      </c>
      <c r="R10" s="826" t="s">
        <v>1174</v>
      </c>
      <c r="S10" s="827">
        <f t="shared" ref="S10:W10" si="8">F10</f>
        <v>100</v>
      </c>
      <c r="T10" s="826" t="s">
        <v>1174</v>
      </c>
      <c r="U10" s="827">
        <f t="shared" si="8"/>
        <v>100</v>
      </c>
      <c r="V10" s="826" t="s">
        <v>1174</v>
      </c>
      <c r="W10" s="827">
        <f t="shared" si="8"/>
        <v>100</v>
      </c>
      <c r="X10" s="828"/>
      <c r="Y10" s="830"/>
      <c r="Z10" s="855" t="str">
        <f t="shared" si="7"/>
        <v>土地使用年限（年）</v>
      </c>
      <c r="AA10" s="853">
        <f t="shared" si="1"/>
        <v>1</v>
      </c>
      <c r="AB10" s="853">
        <f t="shared" si="2"/>
        <v>1</v>
      </c>
      <c r="AC10" s="854">
        <f t="shared" si="3"/>
        <v>1</v>
      </c>
    </row>
    <row r="11" ht="15.5" spans="1:29">
      <c r="A11" s="634"/>
      <c r="B11" s="630" t="s">
        <v>1185</v>
      </c>
      <c r="C11" s="635"/>
      <c r="D11" s="632">
        <v>100</v>
      </c>
      <c r="E11" s="635"/>
      <c r="F11" s="632">
        <f>LOOKUP(E11,69:69,70:70)-LOOKUP(C11,69:69,70:70)+100</f>
        <v>100</v>
      </c>
      <c r="G11" s="636"/>
      <c r="H11" s="632">
        <f>LOOKUP(G11,69:69,70:70)-LOOKUP(C11,69:69,70:70)+100</f>
        <v>100</v>
      </c>
      <c r="I11" s="635"/>
      <c r="J11" s="632">
        <f>LOOKUP(I11,69:69,70:70)-LOOKUP(C11,69:69,70:70)+100</f>
        <v>100</v>
      </c>
      <c r="K11" s="766"/>
      <c r="L11" s="767"/>
      <c r="M11" s="755"/>
      <c r="N11" s="755"/>
      <c r="O11" s="755"/>
      <c r="P11" s="763"/>
      <c r="Q11" s="830" t="str">
        <f t="shared" si="5"/>
        <v>容积率</v>
      </c>
      <c r="R11" s="826" t="s">
        <v>1174</v>
      </c>
      <c r="S11" s="827">
        <f t="shared" ref="S11:W11" si="9">F11</f>
        <v>100</v>
      </c>
      <c r="T11" s="826" t="s">
        <v>1174</v>
      </c>
      <c r="U11" s="827">
        <f t="shared" si="9"/>
        <v>100</v>
      </c>
      <c r="V11" s="826" t="s">
        <v>1174</v>
      </c>
      <c r="W11" s="827">
        <f t="shared" si="9"/>
        <v>100</v>
      </c>
      <c r="X11" s="828"/>
      <c r="Y11" s="830"/>
      <c r="Z11" s="855" t="str">
        <f t="shared" si="7"/>
        <v>容积率</v>
      </c>
      <c r="AA11" s="853">
        <f t="shared" si="1"/>
        <v>1</v>
      </c>
      <c r="AB11" s="853">
        <f t="shared" si="2"/>
        <v>1</v>
      </c>
      <c r="AC11" s="854">
        <f t="shared" si="3"/>
        <v>1</v>
      </c>
    </row>
    <row r="12" s="568" customFormat="1" ht="15.5" spans="1:29">
      <c r="A12" s="637"/>
      <c r="B12" s="638">
        <v>111</v>
      </c>
      <c r="C12" s="639"/>
      <c r="D12" s="640">
        <v>100</v>
      </c>
      <c r="E12" s="639"/>
      <c r="F12" s="632">
        <f>SUMIF(71:71,E12,72:72)-SUMIF(71:71,C12,72:72)+100</f>
        <v>100</v>
      </c>
      <c r="G12" s="641"/>
      <c r="H12" s="632">
        <f>SUMIF(71:71,G12,72:72)-SUMIF(71:71,C12,72:72)+100</f>
        <v>100</v>
      </c>
      <c r="I12" s="639"/>
      <c r="J12" s="632">
        <f>SUMIF(71:71,I12,72:72)-SUMIF(71:71,C12,72:72)+100</f>
        <v>100</v>
      </c>
      <c r="K12" s="768"/>
      <c r="L12" s="760"/>
      <c r="M12" s="761"/>
      <c r="N12" s="761"/>
      <c r="O12" s="761"/>
      <c r="P12" s="763"/>
      <c r="Q12" s="830">
        <f t="shared" si="5"/>
        <v>111</v>
      </c>
      <c r="R12" s="826" t="s">
        <v>1174</v>
      </c>
      <c r="S12" s="827">
        <f t="shared" ref="S12:W12" si="10">F12</f>
        <v>100</v>
      </c>
      <c r="T12" s="826" t="s">
        <v>1174</v>
      </c>
      <c r="U12" s="827">
        <f t="shared" si="10"/>
        <v>100</v>
      </c>
      <c r="V12" s="826" t="s">
        <v>1174</v>
      </c>
      <c r="W12" s="827">
        <f t="shared" si="10"/>
        <v>100</v>
      </c>
      <c r="X12" s="828"/>
      <c r="Y12" s="830"/>
      <c r="Z12" s="855">
        <f t="shared" si="7"/>
        <v>111</v>
      </c>
      <c r="AA12" s="853">
        <f t="shared" si="1"/>
        <v>1</v>
      </c>
      <c r="AB12" s="853">
        <f t="shared" si="2"/>
        <v>1</v>
      </c>
      <c r="AC12" s="854">
        <f t="shared" si="3"/>
        <v>1</v>
      </c>
    </row>
    <row r="13" ht="15.5" spans="1:29">
      <c r="A13" s="634"/>
      <c r="B13" s="638">
        <v>111</v>
      </c>
      <c r="C13" s="642"/>
      <c r="D13" s="643">
        <v>100</v>
      </c>
      <c r="E13" s="639"/>
      <c r="F13" s="632">
        <f>SUMIF(73:73,E13,74:74)-SUMIF(73:73,C13,74:74)+100</f>
        <v>100</v>
      </c>
      <c r="G13" s="641"/>
      <c r="H13" s="643">
        <f>SUMIF(73:73,G13,74:74)-SUMIF(73:73,C13,74:74)+100</f>
        <v>100</v>
      </c>
      <c r="I13" s="639"/>
      <c r="J13" s="643">
        <f>SUMIF(73:73,I13,74:74)-SUMIF(73:73,C13,74:74)+100</f>
        <v>100</v>
      </c>
      <c r="K13" s="768"/>
      <c r="L13" s="769"/>
      <c r="M13" s="755"/>
      <c r="N13" s="755"/>
      <c r="O13" s="755"/>
      <c r="P13" s="763"/>
      <c r="Q13" s="830">
        <f t="shared" si="5"/>
        <v>111</v>
      </c>
      <c r="R13" s="826" t="s">
        <v>1174</v>
      </c>
      <c r="S13" s="827">
        <f t="shared" ref="S13:W13" si="11">F13</f>
        <v>100</v>
      </c>
      <c r="T13" s="826" t="s">
        <v>1174</v>
      </c>
      <c r="U13" s="827">
        <f t="shared" si="11"/>
        <v>100</v>
      </c>
      <c r="V13" s="826" t="s">
        <v>1174</v>
      </c>
      <c r="W13" s="827">
        <f t="shared" si="11"/>
        <v>100</v>
      </c>
      <c r="X13" s="828"/>
      <c r="Y13" s="830"/>
      <c r="Z13" s="855">
        <f t="shared" si="7"/>
        <v>111</v>
      </c>
      <c r="AA13" s="853">
        <f t="shared" si="1"/>
        <v>1</v>
      </c>
      <c r="AB13" s="853">
        <f t="shared" si="2"/>
        <v>1</v>
      </c>
      <c r="AC13" s="854">
        <f t="shared" si="3"/>
        <v>1</v>
      </c>
    </row>
    <row r="14" ht="16.25" spans="1:29">
      <c r="A14" s="644"/>
      <c r="B14" s="645">
        <v>111</v>
      </c>
      <c r="C14" s="646"/>
      <c r="D14" s="647">
        <v>100</v>
      </c>
      <c r="E14" s="648"/>
      <c r="F14" s="647">
        <f>SUMIF(75:75,E14,76:76)-SUMIF(75:75,C14,76:76)+100</f>
        <v>100</v>
      </c>
      <c r="G14" s="641"/>
      <c r="H14" s="647">
        <f>SUMIF(75:75,G14,76:76)-SUMIF(75:75,C14,76:76)+100</f>
        <v>100</v>
      </c>
      <c r="I14" s="639"/>
      <c r="J14" s="647">
        <f>SUMIF(75:75,I14,76:76)-SUMIF(75:75,C14,76:76)+100</f>
        <v>100</v>
      </c>
      <c r="K14" s="768"/>
      <c r="L14" s="769"/>
      <c r="M14" s="755"/>
      <c r="N14" s="755"/>
      <c r="O14" s="755"/>
      <c r="P14" s="763"/>
      <c r="Q14" s="830">
        <f t="shared" si="5"/>
        <v>111</v>
      </c>
      <c r="R14" s="826" t="s">
        <v>1174</v>
      </c>
      <c r="S14" s="827">
        <f t="shared" ref="S14:W14" si="12">F14</f>
        <v>100</v>
      </c>
      <c r="T14" s="826" t="s">
        <v>1174</v>
      </c>
      <c r="U14" s="827">
        <f t="shared" si="12"/>
        <v>100</v>
      </c>
      <c r="V14" s="826" t="s">
        <v>1174</v>
      </c>
      <c r="W14" s="827">
        <f t="shared" si="12"/>
        <v>100</v>
      </c>
      <c r="X14" s="828"/>
      <c r="Y14" s="830"/>
      <c r="Z14" s="855">
        <f t="shared" si="7"/>
        <v>111</v>
      </c>
      <c r="AA14" s="853">
        <f t="shared" si="1"/>
        <v>1</v>
      </c>
      <c r="AB14" s="853">
        <f t="shared" si="2"/>
        <v>1</v>
      </c>
      <c r="AC14" s="854">
        <f t="shared" si="3"/>
        <v>1</v>
      </c>
    </row>
    <row r="15" ht="70" spans="1:29">
      <c r="A15" s="649" t="s">
        <v>1186</v>
      </c>
      <c r="B15" s="650" t="s">
        <v>1187</v>
      </c>
      <c r="C15" s="651" t="str">
        <f>估价对象房地状况!C5</f>
        <v>估价对象位于XX商圈，周边办公楼项目较多，入驻率高，办公集聚程度较好</v>
      </c>
      <c r="D15" s="652">
        <v>100</v>
      </c>
      <c r="E15" s="653"/>
      <c r="F15" s="652">
        <f t="shared" ref="F15:F19" si="13">SUMIF(77:77,E16,78:78)-SUMIF(77:77,C16,78:78)+100</f>
        <v>100</v>
      </c>
      <c r="G15" s="654"/>
      <c r="H15" s="652">
        <f t="shared" ref="H15:H19" si="14">SUMIF(77:77,G16,78:78)-SUMIF(77:77,C16,78:78)+100</f>
        <v>100</v>
      </c>
      <c r="I15" s="654"/>
      <c r="J15" s="652">
        <f t="shared" ref="J15:J19" si="15">SUMIF(77:77,I16,78:78)-SUMIF(77:77,C16,78:78)+100</f>
        <v>100</v>
      </c>
      <c r="K15" s="770">
        <v>2</v>
      </c>
      <c r="L15" s="771" t="s">
        <v>1188</v>
      </c>
      <c r="M15" s="755"/>
      <c r="N15" s="755"/>
      <c r="O15" s="755"/>
      <c r="P15" s="772" t="s">
        <v>1189</v>
      </c>
      <c r="Q15" s="831" t="str">
        <f t="shared" si="5"/>
        <v>办公集聚程度</v>
      </c>
      <c r="R15" s="832" t="s">
        <v>1174</v>
      </c>
      <c r="S15" s="833">
        <f t="shared" ref="S15:W15" si="16">F15</f>
        <v>100</v>
      </c>
      <c r="T15" s="832" t="s">
        <v>1174</v>
      </c>
      <c r="U15" s="833">
        <f t="shared" si="16"/>
        <v>100</v>
      </c>
      <c r="V15" s="832" t="s">
        <v>1174</v>
      </c>
      <c r="W15" s="833">
        <f t="shared" si="16"/>
        <v>100</v>
      </c>
      <c r="X15" s="821"/>
      <c r="Y15" s="856" t="s">
        <v>1189</v>
      </c>
      <c r="Z15" s="820" t="str">
        <f t="shared" si="7"/>
        <v>办公集聚程度</v>
      </c>
      <c r="AA15" s="838">
        <f t="shared" si="1"/>
        <v>1</v>
      </c>
      <c r="AB15" s="838">
        <f t="shared" si="2"/>
        <v>1</v>
      </c>
      <c r="AC15" s="857">
        <f t="shared" si="3"/>
        <v>1</v>
      </c>
    </row>
    <row r="16" ht="15.5" spans="1:29">
      <c r="A16" s="634"/>
      <c r="B16" s="655"/>
      <c r="C16" s="656" t="s">
        <v>1190</v>
      </c>
      <c r="D16" s="657"/>
      <c r="E16" s="656" t="s">
        <v>1190</v>
      </c>
      <c r="F16" s="657"/>
      <c r="G16" s="656" t="s">
        <v>1190</v>
      </c>
      <c r="H16" s="658"/>
      <c r="I16" s="656" t="s">
        <v>1190</v>
      </c>
      <c r="J16" s="657"/>
      <c r="K16" s="773"/>
      <c r="L16" s="769"/>
      <c r="M16" s="755"/>
      <c r="N16" s="755"/>
      <c r="O16" s="755"/>
      <c r="P16" s="774"/>
      <c r="Q16" s="831"/>
      <c r="R16" s="832"/>
      <c r="S16" s="833"/>
      <c r="T16" s="832"/>
      <c r="U16" s="833"/>
      <c r="V16" s="832"/>
      <c r="W16" s="833"/>
      <c r="X16" s="821"/>
      <c r="Y16" s="858"/>
      <c r="Z16" s="820"/>
      <c r="AA16" s="838">
        <v>1</v>
      </c>
      <c r="AB16" s="838">
        <v>1</v>
      </c>
      <c r="AC16" s="857">
        <v>1</v>
      </c>
    </row>
    <row r="17" ht="84" spans="1:29">
      <c r="A17" s="634"/>
      <c r="B17" s="659" t="s">
        <v>1191</v>
      </c>
      <c r="C17" s="660" t="str">
        <f>估价对象房地状况!C6</f>
        <v>估价对象周边道路状况、公共交通通达情况、停车便捷程度，综合评价交通便捷度较好</v>
      </c>
      <c r="D17" s="658">
        <v>100</v>
      </c>
      <c r="E17" s="661"/>
      <c r="F17" s="658">
        <f t="shared" si="13"/>
        <v>100</v>
      </c>
      <c r="G17" s="662"/>
      <c r="H17" s="663">
        <f t="shared" si="14"/>
        <v>100</v>
      </c>
      <c r="I17" s="662"/>
      <c r="J17" s="663">
        <f t="shared" si="15"/>
        <v>100</v>
      </c>
      <c r="K17" s="770">
        <v>2</v>
      </c>
      <c r="L17" s="769"/>
      <c r="M17" s="755"/>
      <c r="N17" s="755"/>
      <c r="O17" s="755"/>
      <c r="P17" s="774"/>
      <c r="Q17" s="831" t="str">
        <f t="shared" ref="Q17:Q21" si="17">B17</f>
        <v>交通便捷度</v>
      </c>
      <c r="R17" s="832" t="s">
        <v>1174</v>
      </c>
      <c r="S17" s="833">
        <f t="shared" ref="S17:W17" si="18">F17</f>
        <v>100</v>
      </c>
      <c r="T17" s="832" t="s">
        <v>1174</v>
      </c>
      <c r="U17" s="833">
        <f t="shared" si="18"/>
        <v>100</v>
      </c>
      <c r="V17" s="832" t="s">
        <v>1174</v>
      </c>
      <c r="W17" s="833">
        <f t="shared" si="18"/>
        <v>100</v>
      </c>
      <c r="X17" s="821"/>
      <c r="Y17" s="858"/>
      <c r="Z17" s="820" t="str">
        <f t="shared" ref="Z17:Z21" si="19">Q17</f>
        <v>交通便捷度</v>
      </c>
      <c r="AA17" s="838">
        <f t="shared" ref="AA17:AA21" si="20">D17/F17</f>
        <v>1</v>
      </c>
      <c r="AB17" s="838">
        <f t="shared" ref="AB17:AB21" si="21">D17/H17</f>
        <v>1</v>
      </c>
      <c r="AC17" s="857">
        <f t="shared" ref="AC17:AC21" si="22">D17/J17</f>
        <v>1</v>
      </c>
    </row>
    <row r="18" ht="15.5" spans="1:29">
      <c r="A18" s="634"/>
      <c r="B18" s="664"/>
      <c r="C18" s="656" t="s">
        <v>1190</v>
      </c>
      <c r="D18" s="658"/>
      <c r="E18" s="656" t="s">
        <v>1190</v>
      </c>
      <c r="F18" s="658"/>
      <c r="G18" s="656" t="s">
        <v>1190</v>
      </c>
      <c r="H18" s="657"/>
      <c r="I18" s="656" t="s">
        <v>1190</v>
      </c>
      <c r="J18" s="657"/>
      <c r="K18" s="773"/>
      <c r="L18" s="769"/>
      <c r="M18" s="755"/>
      <c r="N18" s="755"/>
      <c r="O18" s="755"/>
      <c r="P18" s="774"/>
      <c r="Q18" s="831"/>
      <c r="R18" s="832"/>
      <c r="S18" s="833"/>
      <c r="T18" s="832"/>
      <c r="U18" s="833"/>
      <c r="V18" s="832"/>
      <c r="W18" s="833"/>
      <c r="X18" s="821"/>
      <c r="Y18" s="858"/>
      <c r="Z18" s="820"/>
      <c r="AA18" s="838">
        <v>1</v>
      </c>
      <c r="AB18" s="838">
        <v>1</v>
      </c>
      <c r="AC18" s="857">
        <v>1</v>
      </c>
    </row>
    <row r="19" ht="42" spans="1:29">
      <c r="A19" s="634"/>
      <c r="B19" s="659" t="s">
        <v>1192</v>
      </c>
      <c r="C19" s="660" t="str">
        <f>估价对象房地状况!C7</f>
        <v>估价对象所在区域公共配套设施齐备情况</v>
      </c>
      <c r="D19" s="663">
        <v>100</v>
      </c>
      <c r="E19" s="665"/>
      <c r="F19" s="663">
        <f t="shared" si="13"/>
        <v>100</v>
      </c>
      <c r="G19" s="666"/>
      <c r="H19" s="658">
        <f t="shared" si="14"/>
        <v>100</v>
      </c>
      <c r="I19" s="666"/>
      <c r="J19" s="658">
        <f t="shared" si="15"/>
        <v>100</v>
      </c>
      <c r="K19" s="770">
        <v>2</v>
      </c>
      <c r="L19" s="769"/>
      <c r="M19" s="755"/>
      <c r="N19" s="755"/>
      <c r="O19" s="755"/>
      <c r="P19" s="774"/>
      <c r="Q19" s="831" t="str">
        <f t="shared" si="17"/>
        <v>公共配套设施</v>
      </c>
      <c r="R19" s="832" t="s">
        <v>1174</v>
      </c>
      <c r="S19" s="833">
        <f t="shared" ref="S19:W19" si="23">F19</f>
        <v>100</v>
      </c>
      <c r="T19" s="832" t="s">
        <v>1174</v>
      </c>
      <c r="U19" s="833">
        <f t="shared" si="23"/>
        <v>100</v>
      </c>
      <c r="V19" s="832" t="s">
        <v>1174</v>
      </c>
      <c r="W19" s="833">
        <f t="shared" si="23"/>
        <v>100</v>
      </c>
      <c r="X19" s="821"/>
      <c r="Y19" s="858"/>
      <c r="Z19" s="820" t="str">
        <f t="shared" si="19"/>
        <v>公共配套设施</v>
      </c>
      <c r="AA19" s="838">
        <f t="shared" si="20"/>
        <v>1</v>
      </c>
      <c r="AB19" s="838">
        <f t="shared" si="21"/>
        <v>1</v>
      </c>
      <c r="AC19" s="857">
        <f t="shared" si="22"/>
        <v>1</v>
      </c>
    </row>
    <row r="20" ht="15.5" spans="1:29">
      <c r="A20" s="634"/>
      <c r="B20" s="664"/>
      <c r="C20" s="656" t="s">
        <v>1190</v>
      </c>
      <c r="D20" s="657"/>
      <c r="E20" s="656" t="s">
        <v>1190</v>
      </c>
      <c r="F20" s="657"/>
      <c r="G20" s="656" t="s">
        <v>1190</v>
      </c>
      <c r="H20" s="657"/>
      <c r="I20" s="656" t="s">
        <v>1190</v>
      </c>
      <c r="J20" s="657"/>
      <c r="K20" s="773"/>
      <c r="L20" s="769"/>
      <c r="M20" s="755"/>
      <c r="N20" s="755"/>
      <c r="O20" s="755"/>
      <c r="P20" s="774"/>
      <c r="Q20" s="831"/>
      <c r="R20" s="832"/>
      <c r="S20" s="833"/>
      <c r="T20" s="832"/>
      <c r="U20" s="833"/>
      <c r="V20" s="832"/>
      <c r="W20" s="833"/>
      <c r="X20" s="821"/>
      <c r="Y20" s="858"/>
      <c r="Z20" s="820"/>
      <c r="AA20" s="838">
        <v>1</v>
      </c>
      <c r="AB20" s="838">
        <v>1</v>
      </c>
      <c r="AC20" s="857">
        <v>1</v>
      </c>
    </row>
    <row r="21" ht="28" spans="1:29">
      <c r="A21" s="634"/>
      <c r="B21" s="667" t="s">
        <v>1193</v>
      </c>
      <c r="C21" s="660" t="str">
        <f>估价对象房地状况!C8</f>
        <v>估价对象所在区域基础设施水平</v>
      </c>
      <c r="D21" s="658">
        <v>100</v>
      </c>
      <c r="E21" s="665"/>
      <c r="F21" s="663">
        <f t="shared" ref="F21:F25" si="24">SUMIF(83:83,E22,84:84)-SUMIF(83:83,C22,84:84)+100</f>
        <v>100</v>
      </c>
      <c r="G21" s="666"/>
      <c r="H21" s="658">
        <f t="shared" ref="H21:H25" si="25">SUMIF(83:83,G22,84:84)-SUMIF(83:83,C22,84:84)+100</f>
        <v>100</v>
      </c>
      <c r="I21" s="666"/>
      <c r="J21" s="658">
        <f t="shared" ref="J21:J25" si="26">SUMIF(83:83,I22,84:84)-SUMIF(83:83,C22,84:84)+100</f>
        <v>100</v>
      </c>
      <c r="K21" s="770">
        <v>2</v>
      </c>
      <c r="L21" s="769"/>
      <c r="M21" s="755"/>
      <c r="N21" s="755"/>
      <c r="O21" s="755"/>
      <c r="P21" s="774"/>
      <c r="Q21" s="831" t="str">
        <f t="shared" si="17"/>
        <v>基础设施水平</v>
      </c>
      <c r="R21" s="832" t="s">
        <v>1174</v>
      </c>
      <c r="S21" s="833">
        <f t="shared" ref="S21:W21" si="27">F21</f>
        <v>100</v>
      </c>
      <c r="T21" s="832" t="s">
        <v>1174</v>
      </c>
      <c r="U21" s="833">
        <f t="shared" si="27"/>
        <v>100</v>
      </c>
      <c r="V21" s="832" t="s">
        <v>1174</v>
      </c>
      <c r="W21" s="833">
        <f t="shared" si="27"/>
        <v>100</v>
      </c>
      <c r="X21" s="821"/>
      <c r="Y21" s="858"/>
      <c r="Z21" s="820" t="str">
        <f t="shared" si="19"/>
        <v>基础设施水平</v>
      </c>
      <c r="AA21" s="838">
        <f t="shared" si="20"/>
        <v>1</v>
      </c>
      <c r="AB21" s="838">
        <f t="shared" si="21"/>
        <v>1</v>
      </c>
      <c r="AC21" s="857">
        <f t="shared" si="22"/>
        <v>1</v>
      </c>
    </row>
    <row r="22" ht="15.5" spans="1:29">
      <c r="A22" s="634"/>
      <c r="B22" s="667"/>
      <c r="C22" s="668"/>
      <c r="D22" s="657"/>
      <c r="E22" s="669"/>
      <c r="F22" s="657"/>
      <c r="G22" s="656"/>
      <c r="H22" s="657"/>
      <c r="I22" s="656"/>
      <c r="J22" s="657"/>
      <c r="K22" s="775"/>
      <c r="L22" s="769"/>
      <c r="M22" s="755"/>
      <c r="N22" s="755"/>
      <c r="O22" s="755"/>
      <c r="P22" s="774"/>
      <c r="Q22" s="831"/>
      <c r="R22" s="832"/>
      <c r="S22" s="833"/>
      <c r="T22" s="832"/>
      <c r="U22" s="833"/>
      <c r="V22" s="832"/>
      <c r="W22" s="833"/>
      <c r="X22" s="821"/>
      <c r="Y22" s="858"/>
      <c r="Z22" s="820"/>
      <c r="AA22" s="838">
        <v>1</v>
      </c>
      <c r="AB22" s="838">
        <v>1</v>
      </c>
      <c r="AC22" s="857">
        <v>1</v>
      </c>
    </row>
    <row r="23" ht="56" spans="1:29">
      <c r="A23" s="634"/>
      <c r="B23" s="659" t="s">
        <v>1194</v>
      </c>
      <c r="C23" s="660" t="str">
        <f>估价对象房地状况!C9</f>
        <v>区域自然环境：；人文环境；综合评价环境状况一般</v>
      </c>
      <c r="D23" s="658">
        <v>100</v>
      </c>
      <c r="E23" s="661"/>
      <c r="F23" s="658">
        <f t="shared" si="24"/>
        <v>100</v>
      </c>
      <c r="G23" s="662"/>
      <c r="H23" s="658">
        <f t="shared" si="25"/>
        <v>100</v>
      </c>
      <c r="I23" s="662"/>
      <c r="J23" s="658">
        <f t="shared" si="26"/>
        <v>100</v>
      </c>
      <c r="K23" s="770">
        <v>2</v>
      </c>
      <c r="L23" s="769"/>
      <c r="M23" s="755"/>
      <c r="N23" s="755"/>
      <c r="O23" s="755"/>
      <c r="P23" s="774"/>
      <c r="Q23" s="831" t="str">
        <f t="shared" ref="Q23:Q47" si="28">B23</f>
        <v>环境质量</v>
      </c>
      <c r="R23" s="832" t="s">
        <v>1174</v>
      </c>
      <c r="S23" s="833">
        <f t="shared" ref="S23:W23" si="29">F23</f>
        <v>100</v>
      </c>
      <c r="T23" s="832" t="s">
        <v>1174</v>
      </c>
      <c r="U23" s="833">
        <f t="shared" si="29"/>
        <v>100</v>
      </c>
      <c r="V23" s="832" t="s">
        <v>1174</v>
      </c>
      <c r="W23" s="833">
        <f t="shared" si="29"/>
        <v>100</v>
      </c>
      <c r="X23" s="821"/>
      <c r="Y23" s="858"/>
      <c r="Z23" s="820" t="str">
        <f t="shared" ref="Z23:Z47" si="30">Q23</f>
        <v>环境质量</v>
      </c>
      <c r="AA23" s="838">
        <f t="shared" ref="AA23:AA47" si="31">D23/F23</f>
        <v>1</v>
      </c>
      <c r="AB23" s="838">
        <f t="shared" ref="AB23:AB47" si="32">D23/H23</f>
        <v>1</v>
      </c>
      <c r="AC23" s="857">
        <f t="shared" ref="AC23:AC47" si="33">D23/J23</f>
        <v>1</v>
      </c>
    </row>
    <row r="24" ht="15.5" spans="1:29">
      <c r="A24" s="634"/>
      <c r="B24" s="667"/>
      <c r="C24" s="656" t="s">
        <v>1190</v>
      </c>
      <c r="D24" s="657"/>
      <c r="E24" s="656" t="s">
        <v>1190</v>
      </c>
      <c r="F24" s="657"/>
      <c r="G24" s="656" t="s">
        <v>1190</v>
      </c>
      <c r="H24" s="657"/>
      <c r="I24" s="656" t="s">
        <v>1190</v>
      </c>
      <c r="J24" s="657"/>
      <c r="K24" s="773"/>
      <c r="L24" s="769"/>
      <c r="M24" s="755"/>
      <c r="N24" s="755"/>
      <c r="O24" s="755"/>
      <c r="P24" s="774"/>
      <c r="Q24" s="831"/>
      <c r="R24" s="832"/>
      <c r="S24" s="833"/>
      <c r="T24" s="832"/>
      <c r="U24" s="833"/>
      <c r="V24" s="832"/>
      <c r="W24" s="833"/>
      <c r="X24" s="821"/>
      <c r="Y24" s="858"/>
      <c r="Z24" s="820"/>
      <c r="AA24" s="838">
        <v>1</v>
      </c>
      <c r="AB24" s="838">
        <v>1</v>
      </c>
      <c r="AC24" s="857">
        <v>1</v>
      </c>
    </row>
    <row r="25" ht="28" spans="1:29">
      <c r="A25" s="603"/>
      <c r="B25" s="659" t="s">
        <v>1195</v>
      </c>
      <c r="C25" s="670"/>
      <c r="D25" s="643">
        <v>100</v>
      </c>
      <c r="E25" s="642"/>
      <c r="F25" s="643">
        <f t="shared" si="24"/>
        <v>100</v>
      </c>
      <c r="G25" s="670"/>
      <c r="H25" s="643">
        <f t="shared" si="25"/>
        <v>100</v>
      </c>
      <c r="I25" s="642"/>
      <c r="J25" s="643">
        <f t="shared" si="26"/>
        <v>100</v>
      </c>
      <c r="K25" s="770"/>
      <c r="L25" s="769"/>
      <c r="M25" s="755"/>
      <c r="N25" s="755"/>
      <c r="O25" s="755"/>
      <c r="P25" s="774"/>
      <c r="Q25" s="831" t="str">
        <f t="shared" si="28"/>
        <v>毗邻道路的类型与等级</v>
      </c>
      <c r="R25" s="832" t="s">
        <v>1174</v>
      </c>
      <c r="S25" s="833">
        <f t="shared" ref="S25:W25" si="34">F25</f>
        <v>100</v>
      </c>
      <c r="T25" s="832" t="s">
        <v>1174</v>
      </c>
      <c r="U25" s="833">
        <f t="shared" si="34"/>
        <v>100</v>
      </c>
      <c r="V25" s="832" t="s">
        <v>1174</v>
      </c>
      <c r="W25" s="833">
        <f t="shared" si="34"/>
        <v>100</v>
      </c>
      <c r="X25" s="821"/>
      <c r="Y25" s="858"/>
      <c r="Z25" s="820" t="str">
        <f t="shared" si="30"/>
        <v>毗邻道路的类型与等级</v>
      </c>
      <c r="AA25" s="838">
        <f t="shared" si="31"/>
        <v>1</v>
      </c>
      <c r="AB25" s="838">
        <f t="shared" si="32"/>
        <v>1</v>
      </c>
      <c r="AC25" s="857">
        <f t="shared" si="33"/>
        <v>1</v>
      </c>
    </row>
    <row r="26" ht="15.5" spans="1:29">
      <c r="A26" s="603"/>
      <c r="B26" s="664"/>
      <c r="C26" s="671"/>
      <c r="D26" s="643"/>
      <c r="E26" s="672"/>
      <c r="F26" s="643"/>
      <c r="G26" s="671"/>
      <c r="H26" s="643"/>
      <c r="I26" s="672"/>
      <c r="J26" s="643"/>
      <c r="K26" s="773"/>
      <c r="L26" s="769"/>
      <c r="M26" s="755"/>
      <c r="N26" s="755"/>
      <c r="O26" s="755"/>
      <c r="P26" s="774"/>
      <c r="Q26" s="831"/>
      <c r="R26" s="832"/>
      <c r="S26" s="833"/>
      <c r="T26" s="832"/>
      <c r="U26" s="833"/>
      <c r="V26" s="832"/>
      <c r="W26" s="833"/>
      <c r="X26" s="821"/>
      <c r="Y26" s="858"/>
      <c r="Z26" s="820"/>
      <c r="AA26" s="838">
        <v>1</v>
      </c>
      <c r="AB26" s="838">
        <v>1</v>
      </c>
      <c r="AC26" s="857">
        <v>1</v>
      </c>
    </row>
    <row r="27" ht="15.5" spans="1:29">
      <c r="A27" s="634"/>
      <c r="B27" s="664" t="s">
        <v>1196</v>
      </c>
      <c r="C27" s="671"/>
      <c r="D27" s="643">
        <v>100</v>
      </c>
      <c r="E27" s="672"/>
      <c r="F27" s="643">
        <f>SUMIF(89:89,E27,90:90)-SUMIF(89:89,C27,90:90)+100</f>
        <v>100</v>
      </c>
      <c r="G27" s="671"/>
      <c r="H27" s="643">
        <f>SUMIF(89:89,G27,90:90)-SUMIF(89:89,C27,90:90)+100</f>
        <v>100</v>
      </c>
      <c r="I27" s="672"/>
      <c r="J27" s="643">
        <f>SUMIF(89:89,I27,90:90)-SUMIF(89:89,C27,90:90)+100</f>
        <v>100</v>
      </c>
      <c r="K27" s="766"/>
      <c r="L27" s="769"/>
      <c r="M27" s="755"/>
      <c r="N27" s="755"/>
      <c r="O27" s="755"/>
      <c r="P27" s="774"/>
      <c r="Q27" s="831" t="str">
        <f t="shared" si="28"/>
        <v>楼层</v>
      </c>
      <c r="R27" s="832" t="s">
        <v>1174</v>
      </c>
      <c r="S27" s="833">
        <f t="shared" ref="S27:W27" si="35">F27</f>
        <v>100</v>
      </c>
      <c r="T27" s="832" t="s">
        <v>1174</v>
      </c>
      <c r="U27" s="833">
        <f t="shared" si="35"/>
        <v>100</v>
      </c>
      <c r="V27" s="832" t="s">
        <v>1174</v>
      </c>
      <c r="W27" s="833">
        <f t="shared" si="35"/>
        <v>100</v>
      </c>
      <c r="X27" s="821"/>
      <c r="Y27" s="858"/>
      <c r="Z27" s="820" t="str">
        <f t="shared" si="30"/>
        <v>楼层</v>
      </c>
      <c r="AA27" s="838">
        <f t="shared" si="31"/>
        <v>1</v>
      </c>
      <c r="AB27" s="838">
        <f t="shared" si="32"/>
        <v>1</v>
      </c>
      <c r="AC27" s="857">
        <f t="shared" si="33"/>
        <v>1</v>
      </c>
    </row>
    <row r="28" s="568" customFormat="1" ht="15.5" spans="1:29">
      <c r="A28" s="637"/>
      <c r="B28" s="659" t="s">
        <v>1197</v>
      </c>
      <c r="C28" s="673"/>
      <c r="D28" s="674">
        <v>100</v>
      </c>
      <c r="E28" s="675"/>
      <c r="F28" s="674">
        <f>SUMIF(91:91,E28,92:92)-SUMIF(91:91,C28,92:92)+100</f>
        <v>100</v>
      </c>
      <c r="G28" s="673"/>
      <c r="H28" s="674">
        <f>SUMIF(91:91,G28,92:92)-SUMIF(91:91,C28,92:92)+100</f>
        <v>100</v>
      </c>
      <c r="I28" s="675"/>
      <c r="J28" s="674">
        <f>SUMIF(91:91,I28,92:92)-SUMIF(91:91,C28,92:92)+100</f>
        <v>100</v>
      </c>
      <c r="K28" s="766"/>
      <c r="L28" s="760"/>
      <c r="M28" s="761"/>
      <c r="N28" s="761"/>
      <c r="O28" s="761"/>
      <c r="P28" s="774"/>
      <c r="Q28" s="830" t="str">
        <f t="shared" si="28"/>
        <v>朝向</v>
      </c>
      <c r="R28" s="826" t="s">
        <v>1174</v>
      </c>
      <c r="S28" s="827">
        <f t="shared" ref="S28:W28" si="36">F28</f>
        <v>100</v>
      </c>
      <c r="T28" s="826" t="s">
        <v>1174</v>
      </c>
      <c r="U28" s="827">
        <f t="shared" si="36"/>
        <v>100</v>
      </c>
      <c r="V28" s="826" t="s">
        <v>1174</v>
      </c>
      <c r="W28" s="827">
        <f t="shared" si="36"/>
        <v>100</v>
      </c>
      <c r="X28" s="828"/>
      <c r="Y28" s="858"/>
      <c r="Z28" s="855" t="str">
        <f t="shared" si="30"/>
        <v>朝向</v>
      </c>
      <c r="AA28" s="838">
        <f t="shared" si="31"/>
        <v>1</v>
      </c>
      <c r="AB28" s="838">
        <f t="shared" si="32"/>
        <v>1</v>
      </c>
      <c r="AC28" s="857">
        <f t="shared" si="33"/>
        <v>1</v>
      </c>
    </row>
    <row r="29" ht="15.5" spans="1:29">
      <c r="A29" s="634"/>
      <c r="B29" s="676">
        <v>111</v>
      </c>
      <c r="C29" s="670"/>
      <c r="D29" s="643">
        <v>100</v>
      </c>
      <c r="E29" s="639"/>
      <c r="F29" s="643">
        <f>SUMIF(93:93,E29,94:94)-SUMIF(93:93,C29,94:94)+100</f>
        <v>100</v>
      </c>
      <c r="G29" s="641"/>
      <c r="H29" s="643">
        <f>SUMIF(93:93,G29,94:94)-SUMIF(93:93,C29,94:94)+100</f>
        <v>100</v>
      </c>
      <c r="I29" s="639"/>
      <c r="J29" s="643">
        <f>SUMIF(93:93,I29,94:94)-SUMIF(93:93,C29,94:94)+100</f>
        <v>100</v>
      </c>
      <c r="K29" s="768"/>
      <c r="L29" s="769"/>
      <c r="M29" s="755"/>
      <c r="N29" s="755"/>
      <c r="O29" s="755"/>
      <c r="P29" s="774"/>
      <c r="Q29" s="831">
        <f t="shared" si="28"/>
        <v>111</v>
      </c>
      <c r="R29" s="832" t="s">
        <v>1174</v>
      </c>
      <c r="S29" s="833">
        <f t="shared" ref="S29:W29" si="37">F29</f>
        <v>100</v>
      </c>
      <c r="T29" s="832" t="s">
        <v>1174</v>
      </c>
      <c r="U29" s="833">
        <f t="shared" si="37"/>
        <v>100</v>
      </c>
      <c r="V29" s="832" t="s">
        <v>1174</v>
      </c>
      <c r="W29" s="833">
        <f t="shared" si="37"/>
        <v>100</v>
      </c>
      <c r="X29" s="821"/>
      <c r="Y29" s="858"/>
      <c r="Z29" s="820">
        <f t="shared" si="30"/>
        <v>111</v>
      </c>
      <c r="AA29" s="838">
        <f t="shared" si="31"/>
        <v>1</v>
      </c>
      <c r="AB29" s="838">
        <f t="shared" si="32"/>
        <v>1</v>
      </c>
      <c r="AC29" s="857">
        <f t="shared" si="33"/>
        <v>1</v>
      </c>
    </row>
    <row r="30" ht="15.5" spans="1:29">
      <c r="A30" s="634"/>
      <c r="B30" s="676">
        <v>111</v>
      </c>
      <c r="C30" s="670"/>
      <c r="D30" s="643">
        <v>100</v>
      </c>
      <c r="E30" s="639"/>
      <c r="F30" s="643">
        <f>SUMIF(95:95,E30,96:96)-SUMIF(95:95,C30,96:96)+100</f>
        <v>100</v>
      </c>
      <c r="G30" s="641"/>
      <c r="H30" s="643">
        <f>SUMIF(95:95,G30,96:96)-SUMIF(95:95,C30,96:96)+100</f>
        <v>100</v>
      </c>
      <c r="I30" s="639"/>
      <c r="J30" s="643">
        <f>SUMIF(95:95,I30,96:96)-SUMIF(95:95,C30,96:96)+100</f>
        <v>100</v>
      </c>
      <c r="K30" s="768"/>
      <c r="L30" s="769"/>
      <c r="M30" s="755"/>
      <c r="N30" s="755"/>
      <c r="O30" s="755"/>
      <c r="P30" s="774"/>
      <c r="Q30" s="831">
        <f t="shared" si="28"/>
        <v>111</v>
      </c>
      <c r="R30" s="832" t="s">
        <v>1174</v>
      </c>
      <c r="S30" s="833">
        <f t="shared" ref="S30:W30" si="38">F30</f>
        <v>100</v>
      </c>
      <c r="T30" s="832" t="s">
        <v>1174</v>
      </c>
      <c r="U30" s="833">
        <f t="shared" si="38"/>
        <v>100</v>
      </c>
      <c r="V30" s="832" t="s">
        <v>1174</v>
      </c>
      <c r="W30" s="833">
        <f t="shared" si="38"/>
        <v>100</v>
      </c>
      <c r="X30" s="821"/>
      <c r="Y30" s="858"/>
      <c r="Z30" s="820">
        <f t="shared" si="30"/>
        <v>111</v>
      </c>
      <c r="AA30" s="838">
        <f t="shared" si="31"/>
        <v>1</v>
      </c>
      <c r="AB30" s="838">
        <f t="shared" si="32"/>
        <v>1</v>
      </c>
      <c r="AC30" s="857">
        <f t="shared" si="33"/>
        <v>1</v>
      </c>
    </row>
    <row r="31" ht="15.5" spans="1:29">
      <c r="A31" s="634"/>
      <c r="B31" s="676">
        <v>111</v>
      </c>
      <c r="C31" s="670"/>
      <c r="D31" s="643">
        <v>100</v>
      </c>
      <c r="E31" s="639"/>
      <c r="F31" s="643">
        <f>SUMIF(97:97,E31,98:98)-SUMIF(97:97,C31,98:98)+100</f>
        <v>100</v>
      </c>
      <c r="G31" s="641"/>
      <c r="H31" s="643">
        <f>SUMIF(97:97,G31,98:98)-SUMIF(97:97,C31,98:98)+100</f>
        <v>100</v>
      </c>
      <c r="I31" s="639"/>
      <c r="J31" s="643">
        <f>SUMIF(97:97,I31,98:98)-SUMIF(97:97,C31,98:98)+100</f>
        <v>100</v>
      </c>
      <c r="K31" s="768"/>
      <c r="L31" s="769"/>
      <c r="M31" s="755"/>
      <c r="N31" s="755"/>
      <c r="O31" s="755"/>
      <c r="P31" s="774"/>
      <c r="Q31" s="831">
        <f t="shared" si="28"/>
        <v>111</v>
      </c>
      <c r="R31" s="832" t="s">
        <v>1174</v>
      </c>
      <c r="S31" s="833">
        <f t="shared" ref="S31:W31" si="39">F31</f>
        <v>100</v>
      </c>
      <c r="T31" s="832" t="s">
        <v>1174</v>
      </c>
      <c r="U31" s="833">
        <f t="shared" si="39"/>
        <v>100</v>
      </c>
      <c r="V31" s="832" t="s">
        <v>1174</v>
      </c>
      <c r="W31" s="833">
        <f t="shared" si="39"/>
        <v>100</v>
      </c>
      <c r="X31" s="821"/>
      <c r="Y31" s="858"/>
      <c r="Z31" s="820">
        <f t="shared" si="30"/>
        <v>111</v>
      </c>
      <c r="AA31" s="838">
        <f t="shared" si="31"/>
        <v>1</v>
      </c>
      <c r="AB31" s="838">
        <f t="shared" si="32"/>
        <v>1</v>
      </c>
      <c r="AC31" s="857">
        <f t="shared" si="33"/>
        <v>1</v>
      </c>
    </row>
    <row r="32" ht="16.25" spans="1:29">
      <c r="A32" s="644"/>
      <c r="B32" s="677">
        <v>111</v>
      </c>
      <c r="C32" s="678"/>
      <c r="D32" s="647">
        <v>100</v>
      </c>
      <c r="E32" s="648"/>
      <c r="F32" s="647">
        <f>SUMIF(99:99,E32,100:100)-SUMIF(99:99,C32,100:100)+100</f>
        <v>100</v>
      </c>
      <c r="G32" s="641"/>
      <c r="H32" s="647">
        <f>SUMIF(99:99,G32,100:100)-SUMIF(99:99,C32,100:100)+100</f>
        <v>100</v>
      </c>
      <c r="I32" s="639"/>
      <c r="J32" s="647">
        <f>SUMIF(99:99,I32,100:100)-SUMIF(99:99,C32,100:100)+100</f>
        <v>100</v>
      </c>
      <c r="K32" s="768"/>
      <c r="L32" s="769"/>
      <c r="M32" s="755"/>
      <c r="N32" s="755"/>
      <c r="O32" s="755"/>
      <c r="P32" s="774"/>
      <c r="Q32" s="831">
        <f t="shared" si="28"/>
        <v>111</v>
      </c>
      <c r="R32" s="832" t="s">
        <v>1174</v>
      </c>
      <c r="S32" s="833">
        <f t="shared" ref="S32:W32" si="40">F32</f>
        <v>100</v>
      </c>
      <c r="T32" s="832" t="s">
        <v>1174</v>
      </c>
      <c r="U32" s="833">
        <f t="shared" si="40"/>
        <v>100</v>
      </c>
      <c r="V32" s="832" t="s">
        <v>1174</v>
      </c>
      <c r="W32" s="833">
        <f t="shared" si="40"/>
        <v>100</v>
      </c>
      <c r="X32" s="821"/>
      <c r="Y32" s="858"/>
      <c r="Z32" s="820">
        <f t="shared" si="30"/>
        <v>111</v>
      </c>
      <c r="AA32" s="838">
        <f t="shared" si="31"/>
        <v>1</v>
      </c>
      <c r="AB32" s="838">
        <f t="shared" si="32"/>
        <v>1</v>
      </c>
      <c r="AC32" s="857">
        <f t="shared" si="33"/>
        <v>1</v>
      </c>
    </row>
    <row r="33" ht="15.5" spans="1:29">
      <c r="A33" s="649" t="s">
        <v>1198</v>
      </c>
      <c r="B33" s="624" t="s">
        <v>1199</v>
      </c>
      <c r="C33" s="679" t="s">
        <v>1200</v>
      </c>
      <c r="D33" s="680">
        <v>100</v>
      </c>
      <c r="E33" s="679" t="s">
        <v>1200</v>
      </c>
      <c r="F33" s="681">
        <f>SUMIF(101:101,E33,102:102)-SUMIF(101:101,C33,102:102)+100</f>
        <v>100</v>
      </c>
      <c r="G33" s="679" t="s">
        <v>1200</v>
      </c>
      <c r="H33" s="643">
        <f>SUMIF(101:101,G33,102:102)-SUMIF(101:101,C33,102:102)+100</f>
        <v>100</v>
      </c>
      <c r="I33" s="679" t="s">
        <v>1200</v>
      </c>
      <c r="J33" s="680">
        <f>SUMIF(101:101,I33,102:102)-SUMIF(101:101,C33,102:102)+100</f>
        <v>100</v>
      </c>
      <c r="K33" s="766">
        <v>2</v>
      </c>
      <c r="L33" s="769"/>
      <c r="M33" s="755"/>
      <c r="N33" s="755"/>
      <c r="O33" s="755"/>
      <c r="P33" s="776" t="s">
        <v>1202</v>
      </c>
      <c r="Q33" s="831" t="str">
        <f t="shared" si="28"/>
        <v>建筑类型</v>
      </c>
      <c r="R33" s="832" t="s">
        <v>1174</v>
      </c>
      <c r="S33" s="833">
        <f t="shared" ref="S33:W33" si="41">F33</f>
        <v>100</v>
      </c>
      <c r="T33" s="832" t="s">
        <v>1174</v>
      </c>
      <c r="U33" s="833">
        <f t="shared" si="41"/>
        <v>100</v>
      </c>
      <c r="V33" s="832" t="s">
        <v>1174</v>
      </c>
      <c r="W33" s="833">
        <f t="shared" si="41"/>
        <v>100</v>
      </c>
      <c r="X33" s="821"/>
      <c r="Y33" s="859" t="s">
        <v>1202</v>
      </c>
      <c r="Z33" s="820" t="str">
        <f t="shared" si="30"/>
        <v>建筑类型</v>
      </c>
      <c r="AA33" s="838">
        <f t="shared" si="31"/>
        <v>1</v>
      </c>
      <c r="AB33" s="838">
        <f t="shared" si="32"/>
        <v>1</v>
      </c>
      <c r="AC33" s="857">
        <f t="shared" si="33"/>
        <v>1</v>
      </c>
    </row>
    <row r="34" s="570" customFormat="1" ht="15.5" spans="1:29">
      <c r="A34" s="682"/>
      <c r="B34" s="630" t="s">
        <v>1203</v>
      </c>
      <c r="C34" s="683">
        <f>'数据-汇总表'!F19</f>
        <v>3013</v>
      </c>
      <c r="D34" s="632">
        <v>100</v>
      </c>
      <c r="E34" s="636">
        <v>1800</v>
      </c>
      <c r="F34" s="684">
        <f>LOOKUP(E34,104:104,105:105)-LOOKUP(C34,104:104,105:105)+100</f>
        <v>101</v>
      </c>
      <c r="G34" s="635">
        <v>519</v>
      </c>
      <c r="H34" s="632">
        <f>LOOKUP(G34,104:104,105:105)-LOOKUP(C34,104:104,105:105)+100</f>
        <v>102</v>
      </c>
      <c r="I34" s="635">
        <v>2692</v>
      </c>
      <c r="J34" s="632">
        <f>LOOKUP(I34,104:104,105:105)-LOOKUP(C34,104:104,105:105)+100</f>
        <v>101</v>
      </c>
      <c r="K34" s="768"/>
      <c r="L34" s="767"/>
      <c r="M34" s="777"/>
      <c r="N34" s="777"/>
      <c r="O34" s="777"/>
      <c r="P34" s="778"/>
      <c r="Q34" s="834" t="str">
        <f t="shared" si="28"/>
        <v>项目建筑规模</v>
      </c>
      <c r="R34" s="835" t="s">
        <v>1174</v>
      </c>
      <c r="S34" s="836">
        <f t="shared" ref="S34:W34" si="42">F34</f>
        <v>101</v>
      </c>
      <c r="T34" s="835" t="s">
        <v>1174</v>
      </c>
      <c r="U34" s="836">
        <f t="shared" si="42"/>
        <v>102</v>
      </c>
      <c r="V34" s="835" t="s">
        <v>1174</v>
      </c>
      <c r="W34" s="836">
        <f t="shared" si="42"/>
        <v>101</v>
      </c>
      <c r="X34" s="837"/>
      <c r="Y34" s="859"/>
      <c r="Z34" s="860" t="str">
        <f t="shared" si="30"/>
        <v>项目建筑规模</v>
      </c>
      <c r="AA34" s="838">
        <f t="shared" si="31"/>
        <v>0.99009900990099</v>
      </c>
      <c r="AB34" s="838">
        <f t="shared" si="32"/>
        <v>0.980392156862745</v>
      </c>
      <c r="AC34" s="857">
        <f t="shared" si="33"/>
        <v>0.99009900990099</v>
      </c>
    </row>
    <row r="35" ht="15.5" spans="1:29">
      <c r="A35" s="685"/>
      <c r="B35" s="630" t="s">
        <v>1204</v>
      </c>
      <c r="C35" s="686"/>
      <c r="D35" s="643">
        <v>100</v>
      </c>
      <c r="E35" s="686"/>
      <c r="F35" s="681">
        <f>SUMIF(106:106,E35,107:107)-SUMIF(106:106,C35,107:107)+100</f>
        <v>100</v>
      </c>
      <c r="G35" s="686"/>
      <c r="H35" s="643">
        <f>SUMIF(106:106,G35,107:107)-SUMIF(106:106,C35,107:107)+100</f>
        <v>100</v>
      </c>
      <c r="I35" s="686"/>
      <c r="J35" s="643">
        <f>SUMIF(106:106,I35,107:107)-SUMIF(106:106,C35,107:107)+100</f>
        <v>100</v>
      </c>
      <c r="K35" s="766"/>
      <c r="L35" s="769"/>
      <c r="M35" s="755"/>
      <c r="N35" s="755"/>
      <c r="O35" s="755"/>
      <c r="P35" s="778"/>
      <c r="Q35" s="831" t="str">
        <f t="shared" si="28"/>
        <v>建筑结构</v>
      </c>
      <c r="R35" s="832" t="s">
        <v>1174</v>
      </c>
      <c r="S35" s="833">
        <f t="shared" ref="S35:W35" si="43">F35</f>
        <v>100</v>
      </c>
      <c r="T35" s="832" t="s">
        <v>1174</v>
      </c>
      <c r="U35" s="833">
        <f t="shared" si="43"/>
        <v>100</v>
      </c>
      <c r="V35" s="832" t="s">
        <v>1174</v>
      </c>
      <c r="W35" s="833">
        <f t="shared" si="43"/>
        <v>100</v>
      </c>
      <c r="X35" s="821"/>
      <c r="Y35" s="859"/>
      <c r="Z35" s="820" t="str">
        <f t="shared" si="30"/>
        <v>建筑结构</v>
      </c>
      <c r="AA35" s="838">
        <f t="shared" si="31"/>
        <v>1</v>
      </c>
      <c r="AB35" s="838">
        <f t="shared" si="32"/>
        <v>1</v>
      </c>
      <c r="AC35" s="857">
        <f t="shared" si="33"/>
        <v>1</v>
      </c>
    </row>
    <row r="36" ht="15.5" spans="1:29">
      <c r="A36" s="685"/>
      <c r="B36" s="630" t="s">
        <v>1205</v>
      </c>
      <c r="C36" s="686"/>
      <c r="D36" s="643">
        <v>100</v>
      </c>
      <c r="E36" s="686"/>
      <c r="F36" s="681">
        <f>SUMIF(108:108,E36,109:109)-SUMIF(108:108,C36,109:109)+100</f>
        <v>100</v>
      </c>
      <c r="G36" s="686"/>
      <c r="H36" s="643">
        <f>SUMIF(108:108,G36,109:109)-SUMIF(108:108,C36,109:109)+100</f>
        <v>100</v>
      </c>
      <c r="I36" s="686"/>
      <c r="J36" s="643">
        <f>SUMIF(108:108,I36,109:109)-SUMIF(108:108,C36,109:109)+100</f>
        <v>100</v>
      </c>
      <c r="K36" s="766"/>
      <c r="L36" s="769"/>
      <c r="M36" s="755"/>
      <c r="N36" s="755"/>
      <c r="O36" s="755"/>
      <c r="P36" s="778"/>
      <c r="Q36" s="831" t="str">
        <f t="shared" si="28"/>
        <v>公共部分装修</v>
      </c>
      <c r="R36" s="832" t="s">
        <v>1174</v>
      </c>
      <c r="S36" s="833">
        <f t="shared" ref="S36:W36" si="44">F36</f>
        <v>100</v>
      </c>
      <c r="T36" s="832" t="s">
        <v>1174</v>
      </c>
      <c r="U36" s="833">
        <f t="shared" si="44"/>
        <v>100</v>
      </c>
      <c r="V36" s="832" t="s">
        <v>1174</v>
      </c>
      <c r="W36" s="833">
        <f t="shared" si="44"/>
        <v>100</v>
      </c>
      <c r="X36" s="821"/>
      <c r="Y36" s="859"/>
      <c r="Z36" s="820" t="str">
        <f t="shared" si="30"/>
        <v>公共部分装修</v>
      </c>
      <c r="AA36" s="838">
        <f t="shared" si="31"/>
        <v>1</v>
      </c>
      <c r="AB36" s="838">
        <f t="shared" si="32"/>
        <v>1</v>
      </c>
      <c r="AC36" s="857">
        <f t="shared" si="33"/>
        <v>1</v>
      </c>
    </row>
    <row r="37" ht="15.5" spans="1:29">
      <c r="A37" s="685"/>
      <c r="B37" s="630" t="s">
        <v>636</v>
      </c>
      <c r="C37" s="687">
        <v>0.74</v>
      </c>
      <c r="D37" s="643">
        <v>100</v>
      </c>
      <c r="E37" s="687">
        <v>0.74</v>
      </c>
      <c r="F37" s="681">
        <f>LOOKUP(E37,111:111,112:112)-LOOKUP(C37,111:111,112:112)+100</f>
        <v>100</v>
      </c>
      <c r="G37" s="687">
        <v>0.74</v>
      </c>
      <c r="H37" s="681">
        <f>LOOKUP(G37,111:111,112:112)-LOOKUP(C37,111:111,112:112)+100</f>
        <v>100</v>
      </c>
      <c r="I37" s="687">
        <v>0.74</v>
      </c>
      <c r="J37" s="643">
        <f>LOOKUP(I37,111:111,112:112)-LOOKUP(C37,111:111,112:112)+100</f>
        <v>100</v>
      </c>
      <c r="K37" s="766">
        <v>1</v>
      </c>
      <c r="L37" s="769"/>
      <c r="M37" s="755"/>
      <c r="N37" s="755"/>
      <c r="O37" s="755"/>
      <c r="P37" s="778"/>
      <c r="Q37" s="831" t="str">
        <f t="shared" si="28"/>
        <v>成新度</v>
      </c>
      <c r="R37" s="832" t="s">
        <v>1174</v>
      </c>
      <c r="S37" s="833">
        <f t="shared" ref="S37:W37" si="45">F37</f>
        <v>100</v>
      </c>
      <c r="T37" s="832" t="s">
        <v>1174</v>
      </c>
      <c r="U37" s="833">
        <f t="shared" si="45"/>
        <v>100</v>
      </c>
      <c r="V37" s="832" t="s">
        <v>1174</v>
      </c>
      <c r="W37" s="833">
        <f t="shared" si="45"/>
        <v>100</v>
      </c>
      <c r="X37" s="821"/>
      <c r="Y37" s="859"/>
      <c r="Z37" s="820" t="str">
        <f t="shared" si="30"/>
        <v>成新度</v>
      </c>
      <c r="AA37" s="838">
        <f t="shared" si="31"/>
        <v>1</v>
      </c>
      <c r="AB37" s="838">
        <f t="shared" si="32"/>
        <v>1</v>
      </c>
      <c r="AC37" s="857">
        <f t="shared" si="33"/>
        <v>1</v>
      </c>
    </row>
    <row r="38" s="568" customFormat="1" ht="15.5" spans="1:29">
      <c r="A38" s="688"/>
      <c r="B38" s="630" t="s">
        <v>1206</v>
      </c>
      <c r="C38" s="686"/>
      <c r="D38" s="632">
        <v>100</v>
      </c>
      <c r="E38" s="686"/>
      <c r="F38" s="681">
        <f>SUMIF(113:113,E38,114:114)-SUMIF(113:113,C38,114:114)+100</f>
        <v>100</v>
      </c>
      <c r="G38" s="686"/>
      <c r="H38" s="643">
        <f>SUMIF(113:113,G38,114:114)-SUMIF(113:113,C38,114:114)+100</f>
        <v>100</v>
      </c>
      <c r="I38" s="686"/>
      <c r="J38" s="643">
        <f>SUMIF(113:113,I38,114:114)-SUMIF(113:113,C38,114:114)+100</f>
        <v>100</v>
      </c>
      <c r="K38" s="766"/>
      <c r="L38" s="760"/>
      <c r="M38" s="761"/>
      <c r="N38" s="761"/>
      <c r="O38" s="761"/>
      <c r="P38" s="778"/>
      <c r="Q38" s="830" t="str">
        <f t="shared" si="28"/>
        <v>写字楼等级</v>
      </c>
      <c r="R38" s="826" t="s">
        <v>1174</v>
      </c>
      <c r="S38" s="827">
        <f t="shared" ref="S38:W38" si="46">F38</f>
        <v>100</v>
      </c>
      <c r="T38" s="826" t="s">
        <v>1174</v>
      </c>
      <c r="U38" s="827">
        <f t="shared" si="46"/>
        <v>100</v>
      </c>
      <c r="V38" s="826" t="s">
        <v>1174</v>
      </c>
      <c r="W38" s="827">
        <f t="shared" si="46"/>
        <v>100</v>
      </c>
      <c r="X38" s="828"/>
      <c r="Y38" s="859"/>
      <c r="Z38" s="855" t="str">
        <f t="shared" si="30"/>
        <v>写字楼等级</v>
      </c>
      <c r="AA38" s="853">
        <f t="shared" si="31"/>
        <v>1</v>
      </c>
      <c r="AB38" s="853">
        <f t="shared" si="32"/>
        <v>1</v>
      </c>
      <c r="AC38" s="854">
        <f t="shared" si="33"/>
        <v>1</v>
      </c>
    </row>
    <row r="39" ht="15.5" spans="1:29">
      <c r="A39" s="685"/>
      <c r="B39" s="630" t="s">
        <v>1207</v>
      </c>
      <c r="C39" s="686"/>
      <c r="D39" s="643">
        <v>100</v>
      </c>
      <c r="E39" s="686"/>
      <c r="F39" s="681">
        <f>SUMIF(115:115,E39,116:116)-SUMIF(115:115,C39,116:116)+100</f>
        <v>100</v>
      </c>
      <c r="G39" s="686"/>
      <c r="H39" s="643">
        <f>SUMIF(115:115,G39,116:116)-SUMIF(115:115,C39,116:116)+100</f>
        <v>100</v>
      </c>
      <c r="I39" s="686"/>
      <c r="J39" s="643">
        <f>SUMIF(115:115,I39,116:116)-SUMIF(115:115,C39,116:116)+100</f>
        <v>100</v>
      </c>
      <c r="K39" s="766"/>
      <c r="L39" s="769"/>
      <c r="M39" s="755"/>
      <c r="N39" s="755"/>
      <c r="O39" s="755"/>
      <c r="P39" s="778" t="s">
        <v>1202</v>
      </c>
      <c r="Q39" s="831" t="str">
        <f t="shared" si="28"/>
        <v>物业管理</v>
      </c>
      <c r="R39" s="832" t="s">
        <v>1174</v>
      </c>
      <c r="S39" s="833">
        <f t="shared" ref="S39:W39" si="47">F39</f>
        <v>100</v>
      </c>
      <c r="T39" s="832" t="s">
        <v>1174</v>
      </c>
      <c r="U39" s="833">
        <f t="shared" si="47"/>
        <v>100</v>
      </c>
      <c r="V39" s="832" t="s">
        <v>1174</v>
      </c>
      <c r="W39" s="833">
        <f t="shared" si="47"/>
        <v>100</v>
      </c>
      <c r="X39" s="821"/>
      <c r="Y39" s="859" t="s">
        <v>1202</v>
      </c>
      <c r="Z39" s="820" t="str">
        <f t="shared" si="30"/>
        <v>物业管理</v>
      </c>
      <c r="AA39" s="838">
        <f t="shared" si="31"/>
        <v>1</v>
      </c>
      <c r="AB39" s="838">
        <f t="shared" si="32"/>
        <v>1</v>
      </c>
      <c r="AC39" s="857">
        <f t="shared" si="33"/>
        <v>1</v>
      </c>
    </row>
    <row r="40" ht="15.5" spans="1:29">
      <c r="A40" s="685"/>
      <c r="B40" s="630" t="s">
        <v>1208</v>
      </c>
      <c r="C40" s="686"/>
      <c r="D40" s="643">
        <v>100</v>
      </c>
      <c r="E40" s="686"/>
      <c r="F40" s="681">
        <f>SUMIF(117:117,E40,118:118)-SUMIF(117:117,C40,118:118)+100</f>
        <v>100</v>
      </c>
      <c r="G40" s="686"/>
      <c r="H40" s="643">
        <f>SUMIF(117:117,G40,118:118)-SUMIF(117:117,C40,118:118)+100</f>
        <v>100</v>
      </c>
      <c r="I40" s="686"/>
      <c r="J40" s="643">
        <f>SUMIF(117:117,I40,118:118)-SUMIF(117:117,C40,118:118)+100</f>
        <v>100</v>
      </c>
      <c r="K40" s="766"/>
      <c r="L40" s="769"/>
      <c r="M40" s="755"/>
      <c r="N40" s="755"/>
      <c r="O40" s="755"/>
      <c r="P40" s="778"/>
      <c r="Q40" s="831" t="str">
        <f t="shared" si="28"/>
        <v>市政基础设施</v>
      </c>
      <c r="R40" s="832" t="s">
        <v>1174</v>
      </c>
      <c r="S40" s="833">
        <f t="shared" ref="S40:W40" si="48">F40</f>
        <v>100</v>
      </c>
      <c r="T40" s="832" t="s">
        <v>1174</v>
      </c>
      <c r="U40" s="833">
        <f t="shared" si="48"/>
        <v>100</v>
      </c>
      <c r="V40" s="832" t="s">
        <v>1174</v>
      </c>
      <c r="W40" s="833">
        <f t="shared" si="48"/>
        <v>100</v>
      </c>
      <c r="X40" s="821"/>
      <c r="Y40" s="859"/>
      <c r="Z40" s="820" t="str">
        <f t="shared" si="30"/>
        <v>市政基础设施</v>
      </c>
      <c r="AA40" s="838">
        <f t="shared" si="31"/>
        <v>1</v>
      </c>
      <c r="AB40" s="838">
        <f t="shared" si="32"/>
        <v>1</v>
      </c>
      <c r="AC40" s="857">
        <f t="shared" si="33"/>
        <v>1</v>
      </c>
    </row>
    <row r="41" ht="15.5" spans="1:29">
      <c r="A41" s="685"/>
      <c r="B41" s="630" t="s">
        <v>1209</v>
      </c>
      <c r="C41" s="672"/>
      <c r="D41" s="643">
        <v>100</v>
      </c>
      <c r="E41" s="672"/>
      <c r="F41" s="681">
        <f>SUMIF(119:119,E41,120:120)-SUMIF(119:119,C41,120:120)+100</f>
        <v>100</v>
      </c>
      <c r="G41" s="672"/>
      <c r="H41" s="643">
        <f>SUMIF(119:119,G41,120:120)-SUMIF(119:119,C41,120:120)+100</f>
        <v>100</v>
      </c>
      <c r="I41" s="672"/>
      <c r="J41" s="643">
        <f>SUMIF(119:119,I41,120:120)-SUMIF(119:119,C41,120:120)+100</f>
        <v>100</v>
      </c>
      <c r="K41" s="766"/>
      <c r="L41" s="769"/>
      <c r="M41" s="755"/>
      <c r="N41" s="755"/>
      <c r="O41" s="755"/>
      <c r="P41" s="778"/>
      <c r="Q41" s="831" t="str">
        <f t="shared" si="28"/>
        <v>层高</v>
      </c>
      <c r="R41" s="832" t="s">
        <v>1174</v>
      </c>
      <c r="S41" s="833">
        <f t="shared" ref="S41:W41" si="49">F41</f>
        <v>100</v>
      </c>
      <c r="T41" s="832" t="s">
        <v>1174</v>
      </c>
      <c r="U41" s="833">
        <f t="shared" si="49"/>
        <v>100</v>
      </c>
      <c r="V41" s="832" t="s">
        <v>1174</v>
      </c>
      <c r="W41" s="833">
        <f t="shared" si="49"/>
        <v>100</v>
      </c>
      <c r="X41" s="821"/>
      <c r="Y41" s="859"/>
      <c r="Z41" s="820" t="str">
        <f t="shared" si="30"/>
        <v>层高</v>
      </c>
      <c r="AA41" s="838">
        <f t="shared" si="31"/>
        <v>1</v>
      </c>
      <c r="AB41" s="838">
        <f t="shared" si="32"/>
        <v>1</v>
      </c>
      <c r="AC41" s="857">
        <f t="shared" si="33"/>
        <v>1</v>
      </c>
    </row>
    <row r="42" s="570" customFormat="1" ht="15.5" spans="1:29">
      <c r="A42" s="682"/>
      <c r="B42" s="689" t="s">
        <v>1210</v>
      </c>
      <c r="C42" s="642"/>
      <c r="D42" s="643">
        <v>100</v>
      </c>
      <c r="E42" s="642"/>
      <c r="F42" s="681">
        <f>SUMIF(121:121,E42,122:122)-SUMIF(121:121,C42,122:122)+100</f>
        <v>100</v>
      </c>
      <c r="G42" s="642"/>
      <c r="H42" s="643">
        <f>SUMIF(121:121,G42,122:122)-SUMIF(121:121,C42,122:122)+100</f>
        <v>100</v>
      </c>
      <c r="I42" s="642"/>
      <c r="J42" s="643">
        <f>SUMIF(121:121,I42,122:122)-SUMIF(121:121,C42,122:122)+100</f>
        <v>100</v>
      </c>
      <c r="K42" s="768"/>
      <c r="L42" s="767"/>
      <c r="M42" s="777"/>
      <c r="N42" s="777"/>
      <c r="O42" s="777"/>
      <c r="P42" s="778"/>
      <c r="Q42" s="834" t="str">
        <f t="shared" si="28"/>
        <v>单套建筑面积</v>
      </c>
      <c r="R42" s="835" t="s">
        <v>1174</v>
      </c>
      <c r="S42" s="836">
        <f t="shared" ref="S42:W42" si="50">F42</f>
        <v>100</v>
      </c>
      <c r="T42" s="835" t="s">
        <v>1174</v>
      </c>
      <c r="U42" s="836">
        <f t="shared" si="50"/>
        <v>100</v>
      </c>
      <c r="V42" s="835" t="s">
        <v>1174</v>
      </c>
      <c r="W42" s="836">
        <f t="shared" si="50"/>
        <v>100</v>
      </c>
      <c r="X42" s="837"/>
      <c r="Y42" s="859"/>
      <c r="Z42" s="860" t="str">
        <f t="shared" si="30"/>
        <v>单套建筑面积</v>
      </c>
      <c r="AA42" s="838">
        <f t="shared" si="31"/>
        <v>1</v>
      </c>
      <c r="AB42" s="838">
        <f t="shared" si="32"/>
        <v>1</v>
      </c>
      <c r="AC42" s="857">
        <f t="shared" si="33"/>
        <v>1</v>
      </c>
    </row>
    <row r="43" ht="15.5" spans="1:29">
      <c r="A43" s="685"/>
      <c r="B43" s="630" t="s">
        <v>1211</v>
      </c>
      <c r="C43" s="686" t="s">
        <v>1212</v>
      </c>
      <c r="D43" s="643">
        <v>100</v>
      </c>
      <c r="E43" s="686" t="s">
        <v>1212</v>
      </c>
      <c r="F43" s="681">
        <f>SUMIF(123:123,E43,124:124)-SUMIF(123:123,C43,124:124)+100</f>
        <v>100</v>
      </c>
      <c r="G43" s="686" t="s">
        <v>1212</v>
      </c>
      <c r="H43" s="643">
        <f>SUMIF(123:123,G43,124:124)-SUMIF(123:123,C43,124:124)+100</f>
        <v>100</v>
      </c>
      <c r="I43" s="686" t="s">
        <v>1212</v>
      </c>
      <c r="J43" s="643">
        <f>SUMIF(123:123,I43,124:124)-SUMIF(123:123,C43,124:124)+100</f>
        <v>100</v>
      </c>
      <c r="K43" s="766">
        <v>2</v>
      </c>
      <c r="L43" s="769"/>
      <c r="M43" s="755"/>
      <c r="N43" s="755"/>
      <c r="O43" s="755"/>
      <c r="P43" s="778"/>
      <c r="Q43" s="831" t="str">
        <f t="shared" si="28"/>
        <v>内部装修</v>
      </c>
      <c r="R43" s="832" t="s">
        <v>1174</v>
      </c>
      <c r="S43" s="833">
        <f t="shared" ref="S43:W43" si="51">F43</f>
        <v>100</v>
      </c>
      <c r="T43" s="832" t="s">
        <v>1174</v>
      </c>
      <c r="U43" s="833">
        <f t="shared" si="51"/>
        <v>100</v>
      </c>
      <c r="V43" s="832" t="s">
        <v>1174</v>
      </c>
      <c r="W43" s="833">
        <f t="shared" si="51"/>
        <v>100</v>
      </c>
      <c r="X43" s="821"/>
      <c r="Y43" s="859"/>
      <c r="Z43" s="820" t="str">
        <f t="shared" si="30"/>
        <v>内部装修</v>
      </c>
      <c r="AA43" s="838">
        <f t="shared" si="31"/>
        <v>1</v>
      </c>
      <c r="AB43" s="838">
        <f t="shared" si="32"/>
        <v>1</v>
      </c>
      <c r="AC43" s="857">
        <f t="shared" si="33"/>
        <v>1</v>
      </c>
    </row>
    <row r="44" ht="28" spans="1:29">
      <c r="A44" s="685"/>
      <c r="B44" s="630" t="s">
        <v>1213</v>
      </c>
      <c r="C44" s="686" t="s">
        <v>1190</v>
      </c>
      <c r="D44" s="643">
        <v>100</v>
      </c>
      <c r="E44" s="686" t="s">
        <v>1190</v>
      </c>
      <c r="F44" s="681">
        <f>SUMIF(125:125,E44,126:126)-SUMIF(125:125,C44,126:126)+100</f>
        <v>100</v>
      </c>
      <c r="G44" s="686" t="s">
        <v>1190</v>
      </c>
      <c r="H44" s="643">
        <f>SUMIF(125:125,G44,126:126)-SUMIF(125:125,C44,126:126)+100</f>
        <v>100</v>
      </c>
      <c r="I44" s="686" t="s">
        <v>1190</v>
      </c>
      <c r="J44" s="643">
        <f>SUMIF(125:125,I44,126:126)-SUMIF(125:125,C44,126:126)+100</f>
        <v>100</v>
      </c>
      <c r="K44" s="766">
        <v>2</v>
      </c>
      <c r="L44" s="769"/>
      <c r="M44" s="755"/>
      <c r="N44" s="755"/>
      <c r="O44" s="755"/>
      <c r="P44" s="778"/>
      <c r="Q44" s="831" t="str">
        <f t="shared" si="28"/>
        <v>内部装修维护情况</v>
      </c>
      <c r="R44" s="832" t="s">
        <v>1174</v>
      </c>
      <c r="S44" s="833">
        <f t="shared" ref="S44:W44" si="52">F44</f>
        <v>100</v>
      </c>
      <c r="T44" s="832" t="s">
        <v>1174</v>
      </c>
      <c r="U44" s="833">
        <f t="shared" si="52"/>
        <v>100</v>
      </c>
      <c r="V44" s="832" t="s">
        <v>1174</v>
      </c>
      <c r="W44" s="833">
        <f t="shared" si="52"/>
        <v>100</v>
      </c>
      <c r="X44" s="821"/>
      <c r="Y44" s="859"/>
      <c r="Z44" s="820" t="str">
        <f t="shared" si="30"/>
        <v>内部装修维护情况</v>
      </c>
      <c r="AA44" s="838">
        <f t="shared" si="31"/>
        <v>1</v>
      </c>
      <c r="AB44" s="838">
        <f t="shared" si="32"/>
        <v>1</v>
      </c>
      <c r="AC44" s="857">
        <f t="shared" si="33"/>
        <v>1</v>
      </c>
    </row>
    <row r="45" s="568" customFormat="1" ht="15.5" spans="1:29">
      <c r="A45" s="688"/>
      <c r="B45" s="690">
        <v>111</v>
      </c>
      <c r="C45" s="683"/>
      <c r="D45" s="632">
        <v>100</v>
      </c>
      <c r="E45" s="639"/>
      <c r="F45" s="684">
        <f>SUMIF(127:127,E45,128:128)-SUMIF(127:127,C45,128:128)+100</f>
        <v>100</v>
      </c>
      <c r="G45" s="639"/>
      <c r="H45" s="632">
        <f>SUMIF(127:127,G45,128:128)-SUMIF(127:127,C45,128:128)+100</f>
        <v>100</v>
      </c>
      <c r="I45" s="639"/>
      <c r="J45" s="632">
        <f>SUMIF(127:127,I45,128:128)-SUMIF(127:127,C45,128:128)+100</f>
        <v>100</v>
      </c>
      <c r="K45" s="768"/>
      <c r="L45" s="760"/>
      <c r="M45" s="761"/>
      <c r="N45" s="761"/>
      <c r="O45" s="761"/>
      <c r="P45" s="778"/>
      <c r="Q45" s="830">
        <f t="shared" si="28"/>
        <v>111</v>
      </c>
      <c r="R45" s="826" t="s">
        <v>1174</v>
      </c>
      <c r="S45" s="827">
        <f t="shared" ref="S45:W45" si="53">F45</f>
        <v>100</v>
      </c>
      <c r="T45" s="826" t="s">
        <v>1174</v>
      </c>
      <c r="U45" s="827">
        <f t="shared" si="53"/>
        <v>100</v>
      </c>
      <c r="V45" s="826" t="s">
        <v>1174</v>
      </c>
      <c r="W45" s="827">
        <f t="shared" si="53"/>
        <v>100</v>
      </c>
      <c r="X45" s="828"/>
      <c r="Y45" s="859"/>
      <c r="Z45" s="855">
        <f t="shared" si="30"/>
        <v>111</v>
      </c>
      <c r="AA45" s="853">
        <f t="shared" si="31"/>
        <v>1</v>
      </c>
      <c r="AB45" s="853">
        <f t="shared" si="32"/>
        <v>1</v>
      </c>
      <c r="AC45" s="854">
        <f t="shared" si="33"/>
        <v>1</v>
      </c>
    </row>
    <row r="46" ht="15.5" spans="1:29">
      <c r="A46" s="685"/>
      <c r="B46" s="690">
        <v>111</v>
      </c>
      <c r="C46" s="642"/>
      <c r="D46" s="643">
        <v>100</v>
      </c>
      <c r="E46" s="639"/>
      <c r="F46" s="681">
        <f>SUMIF(129:129,E46,130:130)-SUMIF(129:129,C46,130:130)+100</f>
        <v>100</v>
      </c>
      <c r="G46" s="639"/>
      <c r="H46" s="643">
        <f>SUMIF(129:129,G46,130:130)-SUMIF(129:129,C46,130:130)+100</f>
        <v>100</v>
      </c>
      <c r="I46" s="639"/>
      <c r="J46" s="643">
        <f>SUMIF(129:129,I46,130:130)-SUMIF(129:129,C46,130:130)+100</f>
        <v>100</v>
      </c>
      <c r="K46" s="768"/>
      <c r="L46" s="769"/>
      <c r="M46" s="755"/>
      <c r="N46" s="755"/>
      <c r="O46" s="755"/>
      <c r="P46" s="778"/>
      <c r="Q46" s="831">
        <f t="shared" si="28"/>
        <v>111</v>
      </c>
      <c r="R46" s="832" t="s">
        <v>1174</v>
      </c>
      <c r="S46" s="833">
        <f t="shared" ref="S46:W46" si="54">F46</f>
        <v>100</v>
      </c>
      <c r="T46" s="832" t="s">
        <v>1174</v>
      </c>
      <c r="U46" s="833">
        <f t="shared" si="54"/>
        <v>100</v>
      </c>
      <c r="V46" s="832" t="s">
        <v>1174</v>
      </c>
      <c r="W46" s="833">
        <f t="shared" si="54"/>
        <v>100</v>
      </c>
      <c r="X46" s="821"/>
      <c r="Y46" s="859"/>
      <c r="Z46" s="820">
        <f t="shared" si="30"/>
        <v>111</v>
      </c>
      <c r="AA46" s="838">
        <f t="shared" si="31"/>
        <v>1</v>
      </c>
      <c r="AB46" s="838">
        <f t="shared" si="32"/>
        <v>1</v>
      </c>
      <c r="AC46" s="857">
        <f t="shared" si="33"/>
        <v>1</v>
      </c>
    </row>
    <row r="47" ht="16.25" spans="1:29">
      <c r="A47" s="691"/>
      <c r="B47" s="645">
        <v>111</v>
      </c>
      <c r="C47" s="646"/>
      <c r="D47" s="647">
        <v>100</v>
      </c>
      <c r="E47" s="639"/>
      <c r="F47" s="692">
        <f>SUMIF(131:131,E47,132:132)-SUMIF(131:131,C47,132:132)+100</f>
        <v>100</v>
      </c>
      <c r="G47" s="639"/>
      <c r="H47" s="647">
        <f>SUMIF(131:131,G47,132:132)-SUMIF(131:131,C47,132:132)+100</f>
        <v>100</v>
      </c>
      <c r="I47" s="639"/>
      <c r="J47" s="647">
        <f>SUMIF(131:131,I47,132:132)-SUMIF(131:131,C47,132:132)+100</f>
        <v>100</v>
      </c>
      <c r="K47" s="768"/>
      <c r="L47" s="769"/>
      <c r="M47" s="755"/>
      <c r="N47" s="755"/>
      <c r="O47" s="755"/>
      <c r="P47" s="779"/>
      <c r="Q47" s="831">
        <f t="shared" si="28"/>
        <v>111</v>
      </c>
      <c r="R47" s="832" t="s">
        <v>1174</v>
      </c>
      <c r="S47" s="833">
        <f t="shared" ref="S47:W47" si="55">F47</f>
        <v>100</v>
      </c>
      <c r="T47" s="832" t="s">
        <v>1174</v>
      </c>
      <c r="U47" s="833">
        <f t="shared" si="55"/>
        <v>100</v>
      </c>
      <c r="V47" s="832" t="s">
        <v>1174</v>
      </c>
      <c r="W47" s="833">
        <f t="shared" si="55"/>
        <v>100</v>
      </c>
      <c r="X47" s="821"/>
      <c r="Y47" s="861"/>
      <c r="Z47" s="820">
        <f t="shared" si="30"/>
        <v>111</v>
      </c>
      <c r="AA47" s="838">
        <f t="shared" si="31"/>
        <v>1</v>
      </c>
      <c r="AB47" s="838">
        <f t="shared" si="32"/>
        <v>1</v>
      </c>
      <c r="AC47" s="857">
        <f t="shared" si="33"/>
        <v>1</v>
      </c>
    </row>
    <row r="48" spans="1:29">
      <c r="A48" s="693" t="s">
        <v>1214</v>
      </c>
      <c r="B48" s="694"/>
      <c r="C48" s="695" t="s">
        <v>124</v>
      </c>
      <c r="D48" s="696"/>
      <c r="E48" s="697">
        <v>3.8</v>
      </c>
      <c r="F48" s="698"/>
      <c r="G48" s="699">
        <v>3.5</v>
      </c>
      <c r="H48" s="700"/>
      <c r="I48" s="697">
        <v>3.9</v>
      </c>
      <c r="J48" s="780"/>
      <c r="K48" s="781"/>
      <c r="L48" s="782"/>
      <c r="M48" s="755"/>
      <c r="N48" s="755"/>
      <c r="O48" s="755"/>
      <c r="P48" s="763" t="str">
        <f t="shared" ref="P48:P50" si="56">A48</f>
        <v>成交单价（元/平方米）</v>
      </c>
      <c r="Q48" s="831"/>
      <c r="R48" s="838">
        <f t="shared" ref="R48:V48" si="57">E48</f>
        <v>3.8</v>
      </c>
      <c r="S48" s="838"/>
      <c r="T48" s="838">
        <f t="shared" si="57"/>
        <v>3.5</v>
      </c>
      <c r="U48" s="838"/>
      <c r="V48" s="838">
        <f t="shared" si="57"/>
        <v>3.9</v>
      </c>
      <c r="W48" s="838"/>
      <c r="X48" s="839"/>
      <c r="Y48" s="862"/>
      <c r="Z48" s="839"/>
      <c r="AA48" s="839"/>
      <c r="AB48" s="839"/>
      <c r="AC48" s="655"/>
    </row>
    <row r="49" ht="14.75" spans="1:29">
      <c r="A49" s="701" t="s">
        <v>1215</v>
      </c>
      <c r="B49" s="702"/>
      <c r="C49" s="703">
        <f>R50</f>
        <v>3.6</v>
      </c>
      <c r="D49" s="704" t="s">
        <v>1216</v>
      </c>
      <c r="E49" s="705">
        <f t="shared" ref="E49:I49" si="58">R49</f>
        <v>3.7</v>
      </c>
      <c r="F49" s="706"/>
      <c r="G49" s="703">
        <f t="shared" si="58"/>
        <v>3.4</v>
      </c>
      <c r="H49" s="706"/>
      <c r="I49" s="705">
        <f t="shared" si="58"/>
        <v>3.8</v>
      </c>
      <c r="J49" s="706"/>
      <c r="K49" s="783">
        <f>F49+H49+J49</f>
        <v>0</v>
      </c>
      <c r="L49" s="782"/>
      <c r="M49" s="755"/>
      <c r="N49" s="755"/>
      <c r="O49" s="755"/>
      <c r="P49" s="763" t="str">
        <f t="shared" si="56"/>
        <v>比较价值（元/平方米）</v>
      </c>
      <c r="Q49" s="831"/>
      <c r="R49" s="838">
        <f>IF(F1="售价",ROUND(PRODUCT(R48,AA7:AA47),0),ROUND(PRODUCT(R48,AA7:AA47),1))</f>
        <v>3.7</v>
      </c>
      <c r="S49" s="838"/>
      <c r="T49" s="838">
        <f>IF(F1="售价",ROUND(PRODUCT(T48,AB7:AB47),0),ROUND(PRODUCT(T48,AB7:AB47),1))</f>
        <v>3.4</v>
      </c>
      <c r="U49" s="838"/>
      <c r="V49" s="838">
        <f>IF(F1="售价",ROUND(PRODUCT(V48,AC7:AC47),0),ROUND(PRODUCT(V48,AC7:AC47),1))</f>
        <v>3.8</v>
      </c>
      <c r="W49" s="838"/>
      <c r="X49" s="839"/>
      <c r="Y49" s="839"/>
      <c r="Z49" s="839"/>
      <c r="AA49" s="839"/>
      <c r="AB49" s="839"/>
      <c r="AC49" s="655"/>
    </row>
    <row r="50" ht="14.75" spans="1:29">
      <c r="A50" s="707" t="s">
        <v>1217</v>
      </c>
      <c r="B50" s="708"/>
      <c r="C50" s="709">
        <f>R50</f>
        <v>3.6</v>
      </c>
      <c r="D50" s="709"/>
      <c r="E50" s="709"/>
      <c r="F50" s="709"/>
      <c r="G50" s="709"/>
      <c r="H50" s="709"/>
      <c r="I50" s="709"/>
      <c r="J50" s="784"/>
      <c r="K50" s="785"/>
      <c r="L50" s="782"/>
      <c r="M50" s="755"/>
      <c r="N50" s="755"/>
      <c r="O50" s="755"/>
      <c r="P50" s="786" t="str">
        <f t="shared" si="56"/>
        <v>估价对象XX用房的比较价值（楼面单价，元/平方米）</v>
      </c>
      <c r="Q50" s="840"/>
      <c r="R50" s="841">
        <f>IF(F1="售价",ROUND(IF(D49="简单平均",AVERAGE(R49:V49),R49*F49+T49*H49+V49*J49),0),ROUND(IF(D49="简单平均",AVERAGE(R49:V49),R49*F49+T49*H49+V49*J49),1))</f>
        <v>3.6</v>
      </c>
      <c r="S50" s="841"/>
      <c r="T50" s="841"/>
      <c r="U50" s="841"/>
      <c r="V50" s="841"/>
      <c r="W50" s="841"/>
      <c r="X50" s="842"/>
      <c r="Y50" s="842"/>
      <c r="Z50" s="842"/>
      <c r="AA50" s="842"/>
      <c r="AB50" s="842"/>
      <c r="AC50" s="863"/>
    </row>
    <row r="51" spans="1:29">
      <c r="A51" s="710"/>
      <c r="B51" s="710"/>
      <c r="C51" s="710"/>
      <c r="D51" s="710"/>
      <c r="E51" s="710"/>
      <c r="F51" s="710"/>
      <c r="G51" s="711"/>
      <c r="H51" s="710"/>
      <c r="I51" s="710"/>
      <c r="J51" s="710"/>
      <c r="K51" s="787"/>
      <c r="L51" s="788"/>
      <c r="M51" s="710"/>
      <c r="N51" s="710"/>
      <c r="O51" s="710"/>
      <c r="P51" s="789"/>
      <c r="Q51" s="710"/>
      <c r="R51" s="710"/>
      <c r="S51" s="710"/>
      <c r="T51" s="710"/>
      <c r="U51" s="710"/>
      <c r="V51" s="710"/>
      <c r="W51" s="710"/>
      <c r="X51" s="710"/>
      <c r="Y51" s="710"/>
      <c r="Z51" s="710"/>
      <c r="AA51" s="710"/>
      <c r="AB51" s="710"/>
      <c r="AC51" s="710"/>
    </row>
    <row r="52" spans="1:29">
      <c r="A52" s="710"/>
      <c r="B52" s="710"/>
      <c r="C52" s="710"/>
      <c r="D52" s="710"/>
      <c r="E52" s="710"/>
      <c r="F52" s="710"/>
      <c r="G52" s="710"/>
      <c r="H52" s="710"/>
      <c r="I52" s="710"/>
      <c r="J52" s="710"/>
      <c r="K52" s="787"/>
      <c r="L52" s="788"/>
      <c r="M52" s="710"/>
      <c r="N52" s="710"/>
      <c r="O52" s="710"/>
      <c r="P52" s="789"/>
      <c r="Q52" s="710"/>
      <c r="R52" s="710"/>
      <c r="S52" s="710"/>
      <c r="T52" s="710"/>
      <c r="U52" s="710"/>
      <c r="V52" s="710"/>
      <c r="W52" s="710"/>
      <c r="X52" s="710"/>
      <c r="Y52" s="710"/>
      <c r="Z52" s="710"/>
      <c r="AA52" s="710"/>
      <c r="AB52" s="710"/>
      <c r="AC52" s="710"/>
    </row>
    <row r="53" ht="13.5" customHeight="1" spans="1:29">
      <c r="A53" s="710"/>
      <c r="B53" s="710"/>
      <c r="C53" s="712" t="s">
        <v>1218</v>
      </c>
      <c r="D53" s="713"/>
      <c r="E53" s="714">
        <f t="shared" ref="E53:I53" si="59">IF(E48&lt;E49,E49/E48-1,E48/E49-1)</f>
        <v>0.027027027027027</v>
      </c>
      <c r="F53" s="715" t="str">
        <f t="shared" ref="F53:J53" si="60">IF(OR(E53&gt;=0.3,E53&lt;=-0.3),"超过30%","")</f>
        <v/>
      </c>
      <c r="G53" s="714">
        <f t="shared" si="59"/>
        <v>0.0294117647058825</v>
      </c>
      <c r="H53" s="715" t="str">
        <f t="shared" si="60"/>
        <v/>
      </c>
      <c r="I53" s="714">
        <f t="shared" si="59"/>
        <v>0.0263157894736843</v>
      </c>
      <c r="J53" s="715" t="str">
        <f t="shared" si="60"/>
        <v/>
      </c>
      <c r="K53" s="787"/>
      <c r="L53" s="788"/>
      <c r="M53" s="710"/>
      <c r="N53" s="710"/>
      <c r="O53" s="710"/>
      <c r="P53" s="789"/>
      <c r="Q53" s="710"/>
      <c r="R53" s="710"/>
      <c r="S53" s="710"/>
      <c r="T53" s="710"/>
      <c r="U53" s="710"/>
      <c r="V53" s="710"/>
      <c r="W53" s="710"/>
      <c r="X53" s="710"/>
      <c r="Y53" s="710"/>
      <c r="Z53" s="710"/>
      <c r="AA53" s="710"/>
      <c r="AB53" s="710"/>
      <c r="AC53" s="710"/>
    </row>
    <row r="54" ht="13.5" customHeight="1" spans="1:29">
      <c r="A54" s="710"/>
      <c r="B54" s="710"/>
      <c r="C54" s="712" t="s">
        <v>1219</v>
      </c>
      <c r="D54" s="716"/>
      <c r="E54" s="714">
        <f>IF(E49&lt;G49,G49/E49-1,E49/G49-1)</f>
        <v>0.0882352941176472</v>
      </c>
      <c r="F54" s="715" t="str">
        <f t="shared" ref="F54:J54" si="61">IF(OR(E54&gt;=0.2,E54&lt;=-0.2),"超过20%","")</f>
        <v/>
      </c>
      <c r="G54" s="714">
        <f>IF(G49&lt;I49,I49/G49-1,G49/I49-1)</f>
        <v>0.117647058823529</v>
      </c>
      <c r="H54" s="715" t="str">
        <f t="shared" si="61"/>
        <v/>
      </c>
      <c r="I54" s="714">
        <f>IF(I49&lt;E49,E49/I49-1,I49/E49-1)</f>
        <v>0.027027027027027</v>
      </c>
      <c r="J54" s="715" t="str">
        <f t="shared" si="61"/>
        <v/>
      </c>
      <c r="K54" s="787"/>
      <c r="L54" s="788"/>
      <c r="M54" s="710"/>
      <c r="N54" s="710"/>
      <c r="O54" s="710"/>
      <c r="P54" s="789"/>
      <c r="Q54" s="710"/>
      <c r="R54" s="710"/>
      <c r="S54" s="710"/>
      <c r="T54" s="710"/>
      <c r="U54" s="710"/>
      <c r="V54" s="710"/>
      <c r="W54" s="710"/>
      <c r="X54" s="710"/>
      <c r="Y54" s="710"/>
      <c r="Z54" s="710"/>
      <c r="AA54" s="710"/>
      <c r="AB54" s="710"/>
      <c r="AC54" s="710"/>
    </row>
    <row r="55" s="571" customFormat="1" ht="13.5" customHeight="1" spans="1:29">
      <c r="A55" s="717"/>
      <c r="B55" s="717"/>
      <c r="C55" s="712" t="s">
        <v>1220</v>
      </c>
      <c r="D55" s="716"/>
      <c r="E55" s="714">
        <f>IF(E48&lt;G48,G48/E48-1,E48/G48-1)</f>
        <v>0.0857142857142856</v>
      </c>
      <c r="F55" s="715" t="str">
        <f t="shared" ref="F55:J55" si="62">IF(OR(E55&gt;=0.3,E55&lt;=-0.3),"超过30%","")</f>
        <v/>
      </c>
      <c r="G55" s="714">
        <f>IF(G48&lt;I48,I48/G48-1,G48/I48-1)</f>
        <v>0.114285714285714</v>
      </c>
      <c r="H55" s="715" t="str">
        <f t="shared" si="62"/>
        <v/>
      </c>
      <c r="I55" s="714">
        <f>IF(I48&lt;E48,E48/I48-1,I48/E48-1)</f>
        <v>0.0263157894736843</v>
      </c>
      <c r="J55" s="715" t="str">
        <f t="shared" si="62"/>
        <v/>
      </c>
      <c r="K55" s="790"/>
      <c r="L55" s="791"/>
      <c r="M55" s="717"/>
      <c r="N55" s="717"/>
      <c r="O55" s="717"/>
      <c r="P55" s="792"/>
      <c r="Q55" s="717"/>
      <c r="R55" s="717"/>
      <c r="S55" s="717"/>
      <c r="T55" s="717"/>
      <c r="U55" s="717"/>
      <c r="V55" s="717"/>
      <c r="W55" s="717"/>
      <c r="X55" s="717"/>
      <c r="Y55" s="717"/>
      <c r="Z55" s="717"/>
      <c r="AA55" s="717"/>
      <c r="AB55" s="717"/>
      <c r="AC55" s="717"/>
    </row>
    <row r="56" s="571" customFormat="1" spans="1:29">
      <c r="A56" s="717"/>
      <c r="B56" s="718"/>
      <c r="C56" s="719"/>
      <c r="D56" s="717"/>
      <c r="E56" s="717"/>
      <c r="F56" s="717"/>
      <c r="G56" s="717"/>
      <c r="H56" s="717"/>
      <c r="I56" s="717"/>
      <c r="J56" s="717"/>
      <c r="K56" s="790"/>
      <c r="L56" s="791"/>
      <c r="M56" s="717"/>
      <c r="N56" s="717"/>
      <c r="O56" s="717"/>
      <c r="P56" s="792"/>
      <c r="Q56" s="717"/>
      <c r="R56" s="717"/>
      <c r="S56" s="717"/>
      <c r="T56" s="717"/>
      <c r="U56" s="717"/>
      <c r="V56" s="717"/>
      <c r="W56" s="717"/>
      <c r="X56" s="717"/>
      <c r="Y56" s="717"/>
      <c r="Z56" s="717"/>
      <c r="AA56" s="717"/>
      <c r="AB56" s="717"/>
      <c r="AC56" s="717"/>
    </row>
    <row r="57" spans="1:29">
      <c r="A57" s="710"/>
      <c r="B57" s="718"/>
      <c r="C57" s="719"/>
      <c r="D57" s="710"/>
      <c r="E57" s="710"/>
      <c r="F57" s="710"/>
      <c r="G57" s="710"/>
      <c r="H57" s="710"/>
      <c r="I57" s="710"/>
      <c r="J57" s="710"/>
      <c r="K57" s="787"/>
      <c r="L57" s="788"/>
      <c r="M57" s="710"/>
      <c r="N57" s="710"/>
      <c r="O57" s="710"/>
      <c r="P57" s="789"/>
      <c r="Q57" s="710"/>
      <c r="R57" s="710"/>
      <c r="S57" s="710"/>
      <c r="T57" s="710"/>
      <c r="U57" s="710"/>
      <c r="V57" s="710"/>
      <c r="W57" s="710"/>
      <c r="X57" s="710"/>
      <c r="Y57" s="710"/>
      <c r="Z57" s="710"/>
      <c r="AA57" s="710"/>
      <c r="AB57" s="710"/>
      <c r="AC57" s="710"/>
    </row>
    <row r="58" ht="21.75" spans="1:29">
      <c r="A58" s="720" t="s">
        <v>1221</v>
      </c>
      <c r="B58" s="721"/>
      <c r="C58" s="722"/>
      <c r="D58" s="722"/>
      <c r="E58" s="722"/>
      <c r="F58" s="723"/>
      <c r="G58" s="723"/>
      <c r="H58" s="722"/>
      <c r="I58" s="722"/>
      <c r="J58" s="722"/>
      <c r="K58" s="793"/>
      <c r="L58" s="794"/>
      <c r="M58" s="795"/>
      <c r="N58" s="796"/>
      <c r="O58" s="796"/>
      <c r="P58" s="797"/>
      <c r="Q58" s="843"/>
      <c r="R58" s="710"/>
      <c r="S58" s="710"/>
      <c r="T58" s="710"/>
      <c r="U58" s="710"/>
      <c r="V58" s="710"/>
      <c r="W58" s="710"/>
      <c r="X58" s="710"/>
      <c r="Y58" s="710"/>
      <c r="Z58" s="710"/>
      <c r="AA58" s="710"/>
      <c r="AB58" s="710"/>
      <c r="AC58" s="710"/>
    </row>
    <row r="59" s="572" customFormat="1" spans="1:29">
      <c r="A59" s="724" t="s">
        <v>1172</v>
      </c>
      <c r="B59" s="725"/>
      <c r="C59" s="726" t="str">
        <f>YEAR(C7)&amp;"-"&amp;MONTH(C7)</f>
        <v>2024-9</v>
      </c>
      <c r="D59" s="727">
        <f t="shared" ref="D59:O59" si="63">EDATE(C59,-1)</f>
        <v>45505</v>
      </c>
      <c r="E59" s="727">
        <f t="shared" si="63"/>
        <v>45474</v>
      </c>
      <c r="F59" s="727">
        <f t="shared" si="63"/>
        <v>45444</v>
      </c>
      <c r="G59" s="727">
        <f t="shared" si="63"/>
        <v>45413</v>
      </c>
      <c r="H59" s="727">
        <f t="shared" si="63"/>
        <v>45383</v>
      </c>
      <c r="I59" s="727">
        <f t="shared" si="63"/>
        <v>45352</v>
      </c>
      <c r="J59" s="727">
        <f t="shared" si="63"/>
        <v>45323</v>
      </c>
      <c r="K59" s="727">
        <f t="shared" si="63"/>
        <v>45292</v>
      </c>
      <c r="L59" s="727">
        <f t="shared" si="63"/>
        <v>45261</v>
      </c>
      <c r="M59" s="727">
        <f t="shared" si="63"/>
        <v>45231</v>
      </c>
      <c r="N59" s="727">
        <f t="shared" si="63"/>
        <v>45200</v>
      </c>
      <c r="O59" s="727">
        <f t="shared" si="63"/>
        <v>45170</v>
      </c>
      <c r="P59" s="798"/>
      <c r="Q59" s="844"/>
      <c r="R59" s="844"/>
      <c r="S59" s="844"/>
      <c r="T59" s="844"/>
      <c r="U59" s="844"/>
      <c r="V59" s="844"/>
      <c r="W59" s="844"/>
      <c r="X59" s="844"/>
      <c r="Y59" s="844"/>
      <c r="Z59" s="844"/>
      <c r="AA59" s="844"/>
      <c r="AB59" s="844"/>
      <c r="AC59" s="844"/>
    </row>
    <row r="60" s="568" customFormat="1" spans="1:29">
      <c r="A60" s="728"/>
      <c r="B60" s="729"/>
      <c r="C60" s="730">
        <v>100</v>
      </c>
      <c r="D60" s="731">
        <v>100</v>
      </c>
      <c r="E60" s="731">
        <v>100</v>
      </c>
      <c r="F60" s="731">
        <v>100</v>
      </c>
      <c r="G60" s="731">
        <v>100</v>
      </c>
      <c r="H60" s="731">
        <v>100</v>
      </c>
      <c r="I60" s="731">
        <v>100</v>
      </c>
      <c r="J60" s="731">
        <v>100</v>
      </c>
      <c r="K60" s="731">
        <v>100</v>
      </c>
      <c r="L60" s="731">
        <v>100</v>
      </c>
      <c r="M60" s="799"/>
      <c r="N60" s="731"/>
      <c r="O60" s="799"/>
      <c r="P60" s="800"/>
      <c r="Q60" s="845"/>
      <c r="R60" s="845"/>
      <c r="S60" s="845"/>
      <c r="T60" s="845"/>
      <c r="U60" s="845"/>
      <c r="V60" s="845"/>
      <c r="W60" s="845"/>
      <c r="X60" s="845"/>
      <c r="Y60" s="845"/>
      <c r="Z60" s="845"/>
      <c r="AA60" s="845"/>
      <c r="AB60" s="845"/>
      <c r="AC60" s="845"/>
    </row>
    <row r="61" s="568" customFormat="1" ht="14.75" spans="1:29">
      <c r="A61" s="732" t="s">
        <v>1222</v>
      </c>
      <c r="B61" s="733"/>
      <c r="C61" s="734"/>
      <c r="D61" s="735"/>
      <c r="E61" s="735"/>
      <c r="F61" s="735"/>
      <c r="G61" s="735"/>
      <c r="H61" s="735"/>
      <c r="I61" s="735"/>
      <c r="J61" s="735"/>
      <c r="K61" s="735"/>
      <c r="L61" s="735"/>
      <c r="M61" s="801"/>
      <c r="N61" s="735"/>
      <c r="O61" s="801"/>
      <c r="P61" s="800"/>
      <c r="Q61" s="843"/>
      <c r="R61" s="845"/>
      <c r="S61" s="845"/>
      <c r="T61" s="845"/>
      <c r="U61" s="845"/>
      <c r="V61" s="845"/>
      <c r="W61" s="845"/>
      <c r="X61" s="845"/>
      <c r="Y61" s="845"/>
      <c r="Z61" s="845"/>
      <c r="AA61" s="845"/>
      <c r="AB61" s="845"/>
      <c r="AC61" s="845"/>
    </row>
    <row r="62" s="568" customFormat="1" spans="1:29">
      <c r="A62" s="736" t="s">
        <v>1175</v>
      </c>
      <c r="B62" s="729"/>
      <c r="C62" s="737" t="s">
        <v>1223</v>
      </c>
      <c r="D62" s="738" t="s">
        <v>1176</v>
      </c>
      <c r="E62" s="739"/>
      <c r="F62" s="739"/>
      <c r="G62" s="739"/>
      <c r="H62" s="739"/>
      <c r="I62" s="739"/>
      <c r="J62" s="739"/>
      <c r="K62" s="739"/>
      <c r="L62" s="802"/>
      <c r="M62" s="803"/>
      <c r="N62" s="804"/>
      <c r="O62" s="804"/>
      <c r="P62" s="805"/>
      <c r="Q62" s="843"/>
      <c r="R62" s="845"/>
      <c r="S62" s="845"/>
      <c r="T62" s="845"/>
      <c r="U62" s="845"/>
      <c r="V62" s="845"/>
      <c r="W62" s="845"/>
      <c r="X62" s="845"/>
      <c r="Y62" s="845"/>
      <c r="Z62" s="845"/>
      <c r="AA62" s="845"/>
      <c r="AB62" s="845"/>
      <c r="AC62" s="845"/>
    </row>
    <row r="63" s="568" customFormat="1" ht="14.75" spans="1:29">
      <c r="A63" s="736"/>
      <c r="B63" s="729"/>
      <c r="C63" s="740">
        <v>100</v>
      </c>
      <c r="D63" s="731">
        <v>101</v>
      </c>
      <c r="E63" s="731"/>
      <c r="F63" s="731"/>
      <c r="G63" s="731"/>
      <c r="H63" s="731"/>
      <c r="I63" s="731"/>
      <c r="J63" s="731"/>
      <c r="K63" s="731"/>
      <c r="L63" s="731"/>
      <c r="M63" s="806"/>
      <c r="N63" s="804"/>
      <c r="O63" s="804"/>
      <c r="P63" s="800"/>
      <c r="Q63" s="843"/>
      <c r="R63" s="845"/>
      <c r="S63" s="845"/>
      <c r="T63" s="845"/>
      <c r="U63" s="845"/>
      <c r="V63" s="845"/>
      <c r="W63" s="845"/>
      <c r="X63" s="845"/>
      <c r="Y63" s="845"/>
      <c r="Z63" s="845"/>
      <c r="AA63" s="845"/>
      <c r="AB63" s="845"/>
      <c r="AC63" s="845"/>
    </row>
    <row r="64" spans="1:29">
      <c r="A64" s="741" t="s">
        <v>1224</v>
      </c>
      <c r="B64" s="742" t="s">
        <v>1179</v>
      </c>
      <c r="C64" s="743" t="str">
        <f>C9</f>
        <v>工业立项办公</v>
      </c>
      <c r="D64" s="744" t="s">
        <v>1181</v>
      </c>
      <c r="E64" s="745"/>
      <c r="F64" s="745"/>
      <c r="G64" s="745"/>
      <c r="H64" s="745"/>
      <c r="I64" s="745"/>
      <c r="J64" s="745"/>
      <c r="K64" s="807"/>
      <c r="L64" s="808"/>
      <c r="M64" s="809"/>
      <c r="N64" s="810"/>
      <c r="O64" s="810"/>
      <c r="P64" s="811"/>
      <c r="Q64" s="843"/>
      <c r="R64" s="710"/>
      <c r="S64" s="710"/>
      <c r="T64" s="710"/>
      <c r="U64" s="710"/>
      <c r="V64" s="710"/>
      <c r="W64" s="710"/>
      <c r="X64" s="710"/>
      <c r="Y64" s="710"/>
      <c r="Z64" s="710"/>
      <c r="AA64" s="710"/>
      <c r="AB64" s="710"/>
      <c r="AC64" s="710"/>
    </row>
    <row r="65" ht="14.75" spans="1:29">
      <c r="A65" s="864"/>
      <c r="B65" s="865"/>
      <c r="C65" s="866">
        <v>100</v>
      </c>
      <c r="D65" s="866">
        <v>102</v>
      </c>
      <c r="E65" s="866"/>
      <c r="F65" s="866"/>
      <c r="G65" s="866"/>
      <c r="H65" s="866"/>
      <c r="I65" s="866"/>
      <c r="J65" s="866"/>
      <c r="K65" s="866"/>
      <c r="L65" s="866"/>
      <c r="M65" s="903"/>
      <c r="N65" s="904"/>
      <c r="O65" s="904"/>
      <c r="P65" s="811"/>
      <c r="Q65" s="843"/>
      <c r="R65" s="710"/>
      <c r="S65" s="710"/>
      <c r="T65" s="710"/>
      <c r="U65" s="710"/>
      <c r="V65" s="710"/>
      <c r="W65" s="710"/>
      <c r="X65" s="710"/>
      <c r="Y65" s="710"/>
      <c r="Z65" s="710"/>
      <c r="AA65" s="710"/>
      <c r="AB65" s="710"/>
      <c r="AC65" s="710"/>
    </row>
    <row r="66" ht="28.75" spans="1:29">
      <c r="A66" s="864"/>
      <c r="B66" s="867" t="s">
        <v>1184</v>
      </c>
      <c r="C66" s="868"/>
      <c r="D66" s="868"/>
      <c r="E66" s="868"/>
      <c r="F66" s="868"/>
      <c r="G66" s="868"/>
      <c r="H66" s="868"/>
      <c r="I66" s="868"/>
      <c r="J66" s="868"/>
      <c r="K66" s="905"/>
      <c r="L66" s="906"/>
      <c r="M66" s="907"/>
      <c r="N66" s="810"/>
      <c r="O66" s="810"/>
      <c r="P66" s="811"/>
      <c r="Q66" s="843"/>
      <c r="R66" s="710"/>
      <c r="S66" s="710"/>
      <c r="T66" s="710"/>
      <c r="U66" s="710"/>
      <c r="V66" s="710"/>
      <c r="W66" s="710"/>
      <c r="X66" s="710"/>
      <c r="Y66" s="710"/>
      <c r="Z66" s="710"/>
      <c r="AA66" s="710"/>
      <c r="AB66" s="710"/>
      <c r="AC66" s="710"/>
    </row>
    <row r="67" ht="14.75" spans="1:29">
      <c r="A67" s="864"/>
      <c r="B67" s="869"/>
      <c r="C67" s="866"/>
      <c r="D67" s="866"/>
      <c r="E67" s="866"/>
      <c r="F67" s="866"/>
      <c r="G67" s="866"/>
      <c r="H67" s="866"/>
      <c r="I67" s="866"/>
      <c r="J67" s="866"/>
      <c r="K67" s="866"/>
      <c r="L67" s="866"/>
      <c r="M67" s="903"/>
      <c r="N67" s="904"/>
      <c r="O67" s="904"/>
      <c r="P67" s="811"/>
      <c r="Q67" s="843"/>
      <c r="R67" s="710"/>
      <c r="S67" s="710"/>
      <c r="T67" s="710"/>
      <c r="U67" s="710"/>
      <c r="V67" s="710"/>
      <c r="W67" s="710"/>
      <c r="X67" s="710"/>
      <c r="Y67" s="710"/>
      <c r="Z67" s="710"/>
      <c r="AA67" s="710"/>
      <c r="AB67" s="710"/>
      <c r="AC67" s="710"/>
    </row>
    <row r="68" ht="14.75" spans="1:29">
      <c r="A68" s="864"/>
      <c r="B68" s="870" t="s">
        <v>1185</v>
      </c>
      <c r="C68" s="871" t="str">
        <f t="shared" ref="C68:L68" si="64">C69&amp;"（含）"&amp;"-"&amp;D69</f>
        <v>0（含）-3</v>
      </c>
      <c r="D68" s="871" t="str">
        <f t="shared" si="64"/>
        <v>3（含）-</v>
      </c>
      <c r="E68" s="871" t="str">
        <f t="shared" si="64"/>
        <v>（含）-</v>
      </c>
      <c r="F68" s="871" t="str">
        <f t="shared" si="64"/>
        <v>（含）-</v>
      </c>
      <c r="G68" s="871" t="str">
        <f t="shared" si="64"/>
        <v>（含）-</v>
      </c>
      <c r="H68" s="871" t="str">
        <f t="shared" si="64"/>
        <v>（含）-</v>
      </c>
      <c r="I68" s="871" t="str">
        <f t="shared" si="64"/>
        <v>（含）-</v>
      </c>
      <c r="J68" s="871" t="str">
        <f t="shared" si="64"/>
        <v>（含）-</v>
      </c>
      <c r="K68" s="871" t="str">
        <f t="shared" si="64"/>
        <v>（含）-</v>
      </c>
      <c r="L68" s="871" t="str">
        <f t="shared" si="64"/>
        <v>（含）-</v>
      </c>
      <c r="M68" s="657" t="str">
        <f>M69&amp;"（含）"&amp;"-"&amp;P69</f>
        <v>（含）-</v>
      </c>
      <c r="N68" s="904"/>
      <c r="O68" s="904"/>
      <c r="P68" s="811"/>
      <c r="Q68" s="843"/>
      <c r="R68" s="710"/>
      <c r="S68" s="710"/>
      <c r="T68" s="710"/>
      <c r="U68" s="710"/>
      <c r="V68" s="710"/>
      <c r="W68" s="710"/>
      <c r="X68" s="710"/>
      <c r="Y68" s="710"/>
      <c r="Z68" s="710"/>
      <c r="AA68" s="710"/>
      <c r="AB68" s="710"/>
      <c r="AC68" s="710"/>
    </row>
    <row r="69" spans="1:29">
      <c r="A69" s="864"/>
      <c r="B69" s="872"/>
      <c r="C69" s="873">
        <v>0</v>
      </c>
      <c r="D69" s="873">
        <v>3</v>
      </c>
      <c r="E69" s="873"/>
      <c r="F69" s="873"/>
      <c r="G69" s="873"/>
      <c r="H69" s="873"/>
      <c r="I69" s="873"/>
      <c r="J69" s="873"/>
      <c r="K69" s="908"/>
      <c r="L69" s="909"/>
      <c r="M69" s="910"/>
      <c r="N69" s="810"/>
      <c r="O69" s="810"/>
      <c r="P69" s="811"/>
      <c r="Q69" s="843"/>
      <c r="R69" s="710"/>
      <c r="S69" s="710"/>
      <c r="T69" s="710"/>
      <c r="U69" s="710"/>
      <c r="V69" s="710"/>
      <c r="W69" s="710"/>
      <c r="X69" s="710"/>
      <c r="Y69" s="710"/>
      <c r="Z69" s="710"/>
      <c r="AA69" s="710"/>
      <c r="AB69" s="710"/>
      <c r="AC69" s="710"/>
    </row>
    <row r="70" ht="14.75" spans="1:29">
      <c r="A70" s="864"/>
      <c r="B70" s="865"/>
      <c r="C70" s="874">
        <v>100</v>
      </c>
      <c r="D70" s="874">
        <f t="shared" ref="D70:M70" si="65">C70-$K11</f>
        <v>100</v>
      </c>
      <c r="E70" s="874">
        <f t="shared" si="65"/>
        <v>100</v>
      </c>
      <c r="F70" s="874">
        <f t="shared" si="65"/>
        <v>100</v>
      </c>
      <c r="G70" s="874">
        <f t="shared" si="65"/>
        <v>100</v>
      </c>
      <c r="H70" s="874">
        <f t="shared" si="65"/>
        <v>100</v>
      </c>
      <c r="I70" s="874">
        <f t="shared" si="65"/>
        <v>100</v>
      </c>
      <c r="J70" s="874">
        <f t="shared" si="65"/>
        <v>100</v>
      </c>
      <c r="K70" s="874">
        <f t="shared" si="65"/>
        <v>100</v>
      </c>
      <c r="L70" s="874">
        <f t="shared" si="65"/>
        <v>100</v>
      </c>
      <c r="M70" s="911">
        <f t="shared" si="65"/>
        <v>100</v>
      </c>
      <c r="N70" s="904"/>
      <c r="O70" s="904"/>
      <c r="P70" s="811"/>
      <c r="Q70" s="843"/>
      <c r="R70" s="710"/>
      <c r="S70" s="710"/>
      <c r="T70" s="710"/>
      <c r="U70" s="710"/>
      <c r="V70" s="710"/>
      <c r="W70" s="710"/>
      <c r="X70" s="710"/>
      <c r="Y70" s="710"/>
      <c r="Z70" s="710"/>
      <c r="AA70" s="710"/>
      <c r="AB70" s="710"/>
      <c r="AC70" s="710"/>
    </row>
    <row r="71" s="570" customFormat="1" ht="14.75" spans="1:29">
      <c r="A71" s="875"/>
      <c r="B71" s="867">
        <f>B12</f>
        <v>111</v>
      </c>
      <c r="C71" s="876"/>
      <c r="D71" s="876"/>
      <c r="E71" s="876"/>
      <c r="F71" s="876"/>
      <c r="G71" s="876"/>
      <c r="H71" s="877"/>
      <c r="I71" s="877"/>
      <c r="J71" s="877"/>
      <c r="K71" s="877"/>
      <c r="L71" s="912"/>
      <c r="M71" s="913"/>
      <c r="N71" s="914"/>
      <c r="O71" s="914"/>
      <c r="P71" s="915"/>
      <c r="Q71" s="947"/>
      <c r="R71" s="948"/>
      <c r="S71" s="948"/>
      <c r="T71" s="948"/>
      <c r="U71" s="948"/>
      <c r="V71" s="948"/>
      <c r="W71" s="948"/>
      <c r="X71" s="948"/>
      <c r="Y71" s="948"/>
      <c r="Z71" s="948"/>
      <c r="AA71" s="948"/>
      <c r="AB71" s="948"/>
      <c r="AC71" s="948"/>
    </row>
    <row r="72" s="570" customFormat="1" ht="14.75" spans="1:29">
      <c r="A72" s="875"/>
      <c r="B72" s="869"/>
      <c r="C72" s="878"/>
      <c r="D72" s="866"/>
      <c r="E72" s="866"/>
      <c r="F72" s="866"/>
      <c r="G72" s="866"/>
      <c r="H72" s="866"/>
      <c r="I72" s="866"/>
      <c r="J72" s="866"/>
      <c r="K72" s="866"/>
      <c r="L72" s="866"/>
      <c r="M72" s="903"/>
      <c r="N72" s="904"/>
      <c r="O72" s="904"/>
      <c r="P72" s="915"/>
      <c r="Q72" s="947"/>
      <c r="R72" s="948"/>
      <c r="S72" s="948"/>
      <c r="T72" s="948"/>
      <c r="U72" s="948"/>
      <c r="V72" s="948"/>
      <c r="W72" s="948"/>
      <c r="X72" s="948"/>
      <c r="Y72" s="948"/>
      <c r="Z72" s="948"/>
      <c r="AA72" s="948"/>
      <c r="AB72" s="948"/>
      <c r="AC72" s="948"/>
    </row>
    <row r="73" s="570" customFormat="1" ht="14.75" spans="1:29">
      <c r="A73" s="875"/>
      <c r="B73" s="867">
        <f>B13</f>
        <v>111</v>
      </c>
      <c r="C73" s="876"/>
      <c r="D73" s="876"/>
      <c r="E73" s="876"/>
      <c r="F73" s="876"/>
      <c r="G73" s="876"/>
      <c r="H73" s="877"/>
      <c r="I73" s="877"/>
      <c r="J73" s="877"/>
      <c r="K73" s="877"/>
      <c r="L73" s="912"/>
      <c r="M73" s="913"/>
      <c r="N73" s="914"/>
      <c r="O73" s="914"/>
      <c r="P73" s="916"/>
      <c r="Q73" s="949"/>
      <c r="R73" s="948"/>
      <c r="S73" s="948"/>
      <c r="T73" s="948"/>
      <c r="U73" s="948"/>
      <c r="V73" s="948"/>
      <c r="W73" s="948"/>
      <c r="X73" s="948"/>
      <c r="Y73" s="948"/>
      <c r="Z73" s="948"/>
      <c r="AA73" s="948"/>
      <c r="AB73" s="948"/>
      <c r="AC73" s="948"/>
    </row>
    <row r="74" s="570" customFormat="1" ht="14.75" spans="1:29">
      <c r="A74" s="875"/>
      <c r="B74" s="869"/>
      <c r="C74" s="878"/>
      <c r="D74" s="878"/>
      <c r="E74" s="878"/>
      <c r="F74" s="878"/>
      <c r="G74" s="878"/>
      <c r="H74" s="879"/>
      <c r="I74" s="879"/>
      <c r="J74" s="879"/>
      <c r="K74" s="879"/>
      <c r="L74" s="879"/>
      <c r="M74" s="917"/>
      <c r="N74" s="914"/>
      <c r="O74" s="914"/>
      <c r="P74" s="915"/>
      <c r="Q74" s="947"/>
      <c r="R74" s="948"/>
      <c r="S74" s="948"/>
      <c r="T74" s="948"/>
      <c r="U74" s="948"/>
      <c r="V74" s="948"/>
      <c r="W74" s="948"/>
      <c r="X74" s="948"/>
      <c r="Y74" s="948"/>
      <c r="Z74" s="948"/>
      <c r="AA74" s="948"/>
      <c r="AB74" s="948"/>
      <c r="AC74" s="948"/>
    </row>
    <row r="75" s="570" customFormat="1" ht="14.75" spans="1:29">
      <c r="A75" s="875"/>
      <c r="B75" s="870">
        <f>B14</f>
        <v>111</v>
      </c>
      <c r="C75" s="739"/>
      <c r="D75" s="739"/>
      <c r="E75" s="739"/>
      <c r="F75" s="739"/>
      <c r="G75" s="739"/>
      <c r="H75" s="880"/>
      <c r="I75" s="880"/>
      <c r="J75" s="880"/>
      <c r="K75" s="880"/>
      <c r="L75" s="918"/>
      <c r="M75" s="919"/>
      <c r="N75" s="914"/>
      <c r="O75" s="914"/>
      <c r="P75" s="920"/>
      <c r="Q75" s="947"/>
      <c r="R75" s="948"/>
      <c r="S75" s="948"/>
      <c r="T75" s="948"/>
      <c r="U75" s="948"/>
      <c r="V75" s="948"/>
      <c r="W75" s="948"/>
      <c r="X75" s="948"/>
      <c r="Y75" s="948"/>
      <c r="Z75" s="948"/>
      <c r="AA75" s="948"/>
      <c r="AB75" s="948"/>
      <c r="AC75" s="948"/>
    </row>
    <row r="76" s="570" customFormat="1" ht="14.75" spans="1:29">
      <c r="A76" s="881"/>
      <c r="B76" s="882"/>
      <c r="C76" s="883"/>
      <c r="D76" s="883"/>
      <c r="E76" s="883"/>
      <c r="F76" s="883"/>
      <c r="G76" s="883"/>
      <c r="H76" s="884"/>
      <c r="I76" s="884"/>
      <c r="J76" s="884"/>
      <c r="K76" s="884"/>
      <c r="L76" s="884"/>
      <c r="M76" s="921"/>
      <c r="N76" s="914"/>
      <c r="O76" s="914"/>
      <c r="P76" s="915"/>
      <c r="Q76" s="947"/>
      <c r="R76" s="948"/>
      <c r="S76" s="948"/>
      <c r="T76" s="948"/>
      <c r="U76" s="948"/>
      <c r="V76" s="948"/>
      <c r="W76" s="948"/>
      <c r="X76" s="948"/>
      <c r="Y76" s="948"/>
      <c r="Z76" s="948"/>
      <c r="AA76" s="948"/>
      <c r="AB76" s="948"/>
      <c r="AC76" s="948"/>
    </row>
    <row r="77" spans="1:29">
      <c r="A77" s="741" t="s">
        <v>1186</v>
      </c>
      <c r="B77" s="742" t="s">
        <v>1187</v>
      </c>
      <c r="C77" s="885" t="s">
        <v>1225</v>
      </c>
      <c r="D77" s="885" t="s">
        <v>1226</v>
      </c>
      <c r="E77" s="885" t="s">
        <v>1227</v>
      </c>
      <c r="F77" s="885" t="s">
        <v>1228</v>
      </c>
      <c r="G77" s="885" t="s">
        <v>1229</v>
      </c>
      <c r="H77" s="743"/>
      <c r="I77" s="743"/>
      <c r="J77" s="743"/>
      <c r="K77" s="922"/>
      <c r="L77" s="923"/>
      <c r="M77" s="924"/>
      <c r="N77" s="810"/>
      <c r="O77" s="810"/>
      <c r="P77" s="925"/>
      <c r="Q77" s="843"/>
      <c r="R77" s="710"/>
      <c r="S77" s="710"/>
      <c r="T77" s="710"/>
      <c r="U77" s="710"/>
      <c r="V77" s="710"/>
      <c r="W77" s="710"/>
      <c r="X77" s="710"/>
      <c r="Y77" s="710"/>
      <c r="Z77" s="710"/>
      <c r="AA77" s="710"/>
      <c r="AB77" s="710"/>
      <c r="AC77" s="710"/>
    </row>
    <row r="78" ht="14.75" spans="1:29">
      <c r="A78" s="864"/>
      <c r="B78" s="869"/>
      <c r="C78" s="874">
        <v>100</v>
      </c>
      <c r="D78" s="874">
        <f t="shared" ref="D78:G78" si="66">C78-$K15</f>
        <v>98</v>
      </c>
      <c r="E78" s="874">
        <f t="shared" si="66"/>
        <v>96</v>
      </c>
      <c r="F78" s="874">
        <f t="shared" si="66"/>
        <v>94</v>
      </c>
      <c r="G78" s="874">
        <f t="shared" si="66"/>
        <v>92</v>
      </c>
      <c r="H78" s="874"/>
      <c r="I78" s="874"/>
      <c r="J78" s="874"/>
      <c r="K78" s="874"/>
      <c r="L78" s="874"/>
      <c r="M78" s="911"/>
      <c r="N78" s="904"/>
      <c r="O78" s="904"/>
      <c r="P78" s="811"/>
      <c r="Q78" s="843"/>
      <c r="R78" s="710"/>
      <c r="S78" s="710"/>
      <c r="T78" s="710"/>
      <c r="U78" s="710"/>
      <c r="V78" s="710"/>
      <c r="W78" s="710"/>
      <c r="X78" s="710"/>
      <c r="Y78" s="710"/>
      <c r="Z78" s="710"/>
      <c r="AA78" s="710"/>
      <c r="AB78" s="710"/>
      <c r="AC78" s="710"/>
    </row>
    <row r="79" ht="14.75" spans="1:29">
      <c r="A79" s="864"/>
      <c r="B79" s="867" t="s">
        <v>1191</v>
      </c>
      <c r="C79" s="886" t="s">
        <v>1225</v>
      </c>
      <c r="D79" s="886" t="s">
        <v>1226</v>
      </c>
      <c r="E79" s="886" t="s">
        <v>1227</v>
      </c>
      <c r="F79" s="886" t="s">
        <v>1228</v>
      </c>
      <c r="G79" s="886" t="s">
        <v>1229</v>
      </c>
      <c r="H79" s="887"/>
      <c r="I79" s="887"/>
      <c r="J79" s="887"/>
      <c r="K79" s="926"/>
      <c r="L79" s="927"/>
      <c r="M79" s="928"/>
      <c r="N79" s="810"/>
      <c r="O79" s="810"/>
      <c r="P79" s="811"/>
      <c r="Q79" s="843"/>
      <c r="R79" s="710"/>
      <c r="S79" s="710"/>
      <c r="T79" s="710"/>
      <c r="U79" s="710"/>
      <c r="V79" s="710"/>
      <c r="W79" s="710"/>
      <c r="X79" s="710"/>
      <c r="Y79" s="710"/>
      <c r="Z79" s="710"/>
      <c r="AA79" s="710"/>
      <c r="AB79" s="710"/>
      <c r="AC79" s="710"/>
    </row>
    <row r="80" ht="14.75" spans="1:29">
      <c r="A80" s="864"/>
      <c r="B80" s="869"/>
      <c r="C80" s="874">
        <v>100</v>
      </c>
      <c r="D80" s="874">
        <f t="shared" ref="D80:G80" si="67">C80-$K17</f>
        <v>98</v>
      </c>
      <c r="E80" s="874">
        <f t="shared" si="67"/>
        <v>96</v>
      </c>
      <c r="F80" s="874">
        <f t="shared" si="67"/>
        <v>94</v>
      </c>
      <c r="G80" s="874">
        <f t="shared" si="67"/>
        <v>92</v>
      </c>
      <c r="H80" s="874"/>
      <c r="I80" s="874"/>
      <c r="J80" s="874"/>
      <c r="K80" s="874"/>
      <c r="L80" s="874"/>
      <c r="M80" s="911"/>
      <c r="N80" s="904"/>
      <c r="O80" s="904"/>
      <c r="P80" s="811"/>
      <c r="Q80" s="843"/>
      <c r="R80" s="710"/>
      <c r="S80" s="710"/>
      <c r="T80" s="710"/>
      <c r="U80" s="710"/>
      <c r="V80" s="710"/>
      <c r="W80" s="710"/>
      <c r="X80" s="710"/>
      <c r="Y80" s="710"/>
      <c r="Z80" s="710"/>
      <c r="AA80" s="710"/>
      <c r="AB80" s="710"/>
      <c r="AC80" s="710"/>
    </row>
    <row r="81" ht="14.75" spans="1:29">
      <c r="A81" s="864"/>
      <c r="B81" s="867" t="s">
        <v>1192</v>
      </c>
      <c r="C81" s="886" t="s">
        <v>1225</v>
      </c>
      <c r="D81" s="886" t="s">
        <v>1226</v>
      </c>
      <c r="E81" s="886" t="s">
        <v>1227</v>
      </c>
      <c r="F81" s="886" t="s">
        <v>1228</v>
      </c>
      <c r="G81" s="886" t="s">
        <v>1229</v>
      </c>
      <c r="H81" s="887"/>
      <c r="I81" s="887"/>
      <c r="J81" s="887"/>
      <c r="K81" s="926"/>
      <c r="L81" s="927"/>
      <c r="M81" s="928"/>
      <c r="N81" s="810"/>
      <c r="O81" s="810"/>
      <c r="P81" s="811"/>
      <c r="Q81" s="843"/>
      <c r="R81" s="710"/>
      <c r="S81" s="710"/>
      <c r="T81" s="710"/>
      <c r="U81" s="710"/>
      <c r="V81" s="710"/>
      <c r="W81" s="710"/>
      <c r="X81" s="710"/>
      <c r="Y81" s="710"/>
      <c r="Z81" s="710"/>
      <c r="AA81" s="710"/>
      <c r="AB81" s="710"/>
      <c r="AC81" s="710"/>
    </row>
    <row r="82" ht="14.75" spans="1:29">
      <c r="A82" s="864"/>
      <c r="B82" s="869"/>
      <c r="C82" s="874">
        <v>100</v>
      </c>
      <c r="D82" s="874">
        <f t="shared" ref="D82:G82" si="68">C82-$K19</f>
        <v>98</v>
      </c>
      <c r="E82" s="874">
        <f t="shared" si="68"/>
        <v>96</v>
      </c>
      <c r="F82" s="874">
        <f t="shared" si="68"/>
        <v>94</v>
      </c>
      <c r="G82" s="874">
        <f t="shared" si="68"/>
        <v>92</v>
      </c>
      <c r="H82" s="874"/>
      <c r="I82" s="874"/>
      <c r="J82" s="874"/>
      <c r="K82" s="874"/>
      <c r="L82" s="874"/>
      <c r="M82" s="911"/>
      <c r="N82" s="904"/>
      <c r="O82" s="904"/>
      <c r="P82" s="811"/>
      <c r="Q82" s="843"/>
      <c r="R82" s="710"/>
      <c r="S82" s="710"/>
      <c r="T82" s="710"/>
      <c r="U82" s="710"/>
      <c r="V82" s="710"/>
      <c r="W82" s="710"/>
      <c r="X82" s="710"/>
      <c r="Y82" s="710"/>
      <c r="Z82" s="710"/>
      <c r="AA82" s="710"/>
      <c r="AB82" s="710"/>
      <c r="AC82" s="710"/>
    </row>
    <row r="83" ht="14.75" spans="1:29">
      <c r="A83" s="864"/>
      <c r="B83" s="870" t="s">
        <v>1193</v>
      </c>
      <c r="C83" s="888" t="s">
        <v>1230</v>
      </c>
      <c r="D83" s="888" t="s">
        <v>1231</v>
      </c>
      <c r="E83" s="888" t="s">
        <v>1232</v>
      </c>
      <c r="F83" s="888" t="s">
        <v>1233</v>
      </c>
      <c r="G83" s="888" t="s">
        <v>1234</v>
      </c>
      <c r="H83" s="887"/>
      <c r="I83" s="887"/>
      <c r="J83" s="887"/>
      <c r="K83" s="887"/>
      <c r="L83" s="887"/>
      <c r="M83" s="929"/>
      <c r="N83" s="904"/>
      <c r="O83" s="904"/>
      <c r="P83" s="811"/>
      <c r="Q83" s="843"/>
      <c r="R83" s="710"/>
      <c r="S83" s="710"/>
      <c r="T83" s="710"/>
      <c r="U83" s="710"/>
      <c r="V83" s="710"/>
      <c r="W83" s="710"/>
      <c r="X83" s="710"/>
      <c r="Y83" s="710"/>
      <c r="Z83" s="710"/>
      <c r="AA83" s="710"/>
      <c r="AB83" s="710"/>
      <c r="AC83" s="710"/>
    </row>
    <row r="84" ht="14.75" spans="1:29">
      <c r="A84" s="864"/>
      <c r="B84" s="870"/>
      <c r="C84" s="874">
        <v>100</v>
      </c>
      <c r="D84" s="874">
        <f t="shared" ref="D84:G84" si="69">C84-$K21</f>
        <v>98</v>
      </c>
      <c r="E84" s="874">
        <f t="shared" si="69"/>
        <v>96</v>
      </c>
      <c r="F84" s="874">
        <f t="shared" si="69"/>
        <v>94</v>
      </c>
      <c r="G84" s="874">
        <f t="shared" si="69"/>
        <v>92</v>
      </c>
      <c r="H84" s="888"/>
      <c r="I84" s="888"/>
      <c r="J84" s="888"/>
      <c r="K84" s="888"/>
      <c r="L84" s="888"/>
      <c r="M84" s="658"/>
      <c r="N84" s="904"/>
      <c r="O84" s="904"/>
      <c r="P84" s="811"/>
      <c r="Q84" s="843"/>
      <c r="R84" s="710"/>
      <c r="S84" s="710"/>
      <c r="T84" s="710"/>
      <c r="U84" s="710"/>
      <c r="V84" s="710"/>
      <c r="W84" s="710"/>
      <c r="X84" s="710"/>
      <c r="Y84" s="710"/>
      <c r="Z84" s="710"/>
      <c r="AA84" s="710"/>
      <c r="AB84" s="710"/>
      <c r="AC84" s="710"/>
    </row>
    <row r="85" ht="14.75" spans="1:29">
      <c r="A85" s="864"/>
      <c r="B85" s="867" t="s">
        <v>1194</v>
      </c>
      <c r="C85" s="886" t="s">
        <v>1225</v>
      </c>
      <c r="D85" s="886" t="s">
        <v>1226</v>
      </c>
      <c r="E85" s="886" t="s">
        <v>1227</v>
      </c>
      <c r="F85" s="886" t="s">
        <v>1228</v>
      </c>
      <c r="G85" s="886" t="s">
        <v>1229</v>
      </c>
      <c r="H85" s="887"/>
      <c r="I85" s="887"/>
      <c r="J85" s="887"/>
      <c r="K85" s="926"/>
      <c r="L85" s="927"/>
      <c r="M85" s="928"/>
      <c r="N85" s="810"/>
      <c r="O85" s="810"/>
      <c r="P85" s="811"/>
      <c r="Q85" s="843"/>
      <c r="R85" s="710"/>
      <c r="S85" s="710"/>
      <c r="T85" s="710"/>
      <c r="U85" s="710"/>
      <c r="V85" s="710"/>
      <c r="W85" s="710"/>
      <c r="X85" s="710"/>
      <c r="Y85" s="710"/>
      <c r="Z85" s="710"/>
      <c r="AA85" s="710"/>
      <c r="AB85" s="710"/>
      <c r="AC85" s="710"/>
    </row>
    <row r="86" ht="14.75" spans="1:29">
      <c r="A86" s="864"/>
      <c r="B86" s="869"/>
      <c r="C86" s="874">
        <v>100</v>
      </c>
      <c r="D86" s="874">
        <f t="shared" ref="D86:G86" si="70">C86-$K23</f>
        <v>98</v>
      </c>
      <c r="E86" s="874">
        <f t="shared" si="70"/>
        <v>96</v>
      </c>
      <c r="F86" s="874">
        <f t="shared" si="70"/>
        <v>94</v>
      </c>
      <c r="G86" s="874">
        <f t="shared" si="70"/>
        <v>92</v>
      </c>
      <c r="H86" s="874"/>
      <c r="I86" s="874"/>
      <c r="J86" s="874"/>
      <c r="K86" s="874"/>
      <c r="L86" s="874"/>
      <c r="M86" s="911"/>
      <c r="N86" s="904"/>
      <c r="O86" s="904"/>
      <c r="P86" s="811"/>
      <c r="Q86" s="843"/>
      <c r="R86" s="710"/>
      <c r="S86" s="710"/>
      <c r="T86" s="710"/>
      <c r="U86" s="710"/>
      <c r="V86" s="710"/>
      <c r="W86" s="710"/>
      <c r="X86" s="710"/>
      <c r="Y86" s="710"/>
      <c r="Z86" s="710"/>
      <c r="AA86" s="710"/>
      <c r="AB86" s="710"/>
      <c r="AC86" s="710"/>
    </row>
    <row r="87" s="568" customFormat="1" ht="28.75" spans="1:29">
      <c r="A87" s="889"/>
      <c r="B87" s="867" t="s">
        <v>1195</v>
      </c>
      <c r="C87" s="876"/>
      <c r="D87" s="876"/>
      <c r="E87" s="876"/>
      <c r="F87" s="876"/>
      <c r="G87" s="876"/>
      <c r="H87" s="876"/>
      <c r="I87" s="876"/>
      <c r="J87" s="876"/>
      <c r="K87" s="876"/>
      <c r="L87" s="930"/>
      <c r="M87" s="931"/>
      <c r="N87" s="804"/>
      <c r="O87" s="804"/>
      <c r="P87" s="811"/>
      <c r="Q87" s="843"/>
      <c r="R87" s="845"/>
      <c r="S87" s="845"/>
      <c r="T87" s="845"/>
      <c r="U87" s="845"/>
      <c r="V87" s="845"/>
      <c r="W87" s="845"/>
      <c r="X87" s="845"/>
      <c r="Y87" s="845"/>
      <c r="Z87" s="845"/>
      <c r="AA87" s="845"/>
      <c r="AB87" s="845"/>
      <c r="AC87" s="845"/>
    </row>
    <row r="88" s="568" customFormat="1" ht="14.75" spans="1:29">
      <c r="A88" s="889"/>
      <c r="B88" s="869"/>
      <c r="C88" s="890">
        <v>100</v>
      </c>
      <c r="D88" s="874">
        <f t="shared" ref="D88:M88" si="71">C88-$K25</f>
        <v>100</v>
      </c>
      <c r="E88" s="874">
        <f t="shared" si="71"/>
        <v>100</v>
      </c>
      <c r="F88" s="874">
        <f t="shared" si="71"/>
        <v>100</v>
      </c>
      <c r="G88" s="874">
        <f t="shared" si="71"/>
        <v>100</v>
      </c>
      <c r="H88" s="874">
        <f t="shared" si="71"/>
        <v>100</v>
      </c>
      <c r="I88" s="874">
        <f t="shared" si="71"/>
        <v>100</v>
      </c>
      <c r="J88" s="874">
        <f t="shared" si="71"/>
        <v>100</v>
      </c>
      <c r="K88" s="874">
        <f t="shared" si="71"/>
        <v>100</v>
      </c>
      <c r="L88" s="874">
        <f t="shared" si="71"/>
        <v>100</v>
      </c>
      <c r="M88" s="874">
        <f t="shared" si="71"/>
        <v>100</v>
      </c>
      <c r="N88" s="904"/>
      <c r="O88" s="904"/>
      <c r="P88" s="811"/>
      <c r="Q88" s="843"/>
      <c r="R88" s="845"/>
      <c r="S88" s="845"/>
      <c r="T88" s="845"/>
      <c r="U88" s="845"/>
      <c r="V88" s="845"/>
      <c r="W88" s="845"/>
      <c r="X88" s="845"/>
      <c r="Y88" s="845"/>
      <c r="Z88" s="845"/>
      <c r="AA88" s="845"/>
      <c r="AB88" s="845"/>
      <c r="AC88" s="845"/>
    </row>
    <row r="89" s="568" customFormat="1" ht="14.75" spans="1:29">
      <c r="A89" s="889"/>
      <c r="B89" s="867" t="str">
        <f>B27</f>
        <v>楼层</v>
      </c>
      <c r="C89" s="876"/>
      <c r="D89" s="876"/>
      <c r="E89" s="876"/>
      <c r="F89" s="891"/>
      <c r="G89" s="876"/>
      <c r="H89" s="876"/>
      <c r="I89" s="876"/>
      <c r="J89" s="876"/>
      <c r="K89" s="876"/>
      <c r="L89" s="876"/>
      <c r="M89" s="931"/>
      <c r="N89" s="804"/>
      <c r="O89" s="804"/>
      <c r="P89" s="811"/>
      <c r="Q89" s="843"/>
      <c r="R89" s="845"/>
      <c r="S89" s="845"/>
      <c r="T89" s="845"/>
      <c r="U89" s="845"/>
      <c r="V89" s="845"/>
      <c r="W89" s="845"/>
      <c r="X89" s="845"/>
      <c r="Y89" s="845"/>
      <c r="Z89" s="845"/>
      <c r="AA89" s="845"/>
      <c r="AB89" s="845"/>
      <c r="AC89" s="845"/>
    </row>
    <row r="90" s="568" customFormat="1" ht="14.75" spans="1:29">
      <c r="A90" s="889"/>
      <c r="B90" s="869"/>
      <c r="C90" s="890">
        <v>100</v>
      </c>
      <c r="D90" s="874">
        <f t="shared" ref="D90:M90" si="72">C90-$K27</f>
        <v>100</v>
      </c>
      <c r="E90" s="874">
        <f t="shared" si="72"/>
        <v>100</v>
      </c>
      <c r="F90" s="874">
        <f t="shared" si="72"/>
        <v>100</v>
      </c>
      <c r="G90" s="874">
        <f t="shared" si="72"/>
        <v>100</v>
      </c>
      <c r="H90" s="874">
        <f t="shared" si="72"/>
        <v>100</v>
      </c>
      <c r="I90" s="874">
        <f t="shared" si="72"/>
        <v>100</v>
      </c>
      <c r="J90" s="874">
        <f t="shared" si="72"/>
        <v>100</v>
      </c>
      <c r="K90" s="874">
        <f t="shared" si="72"/>
        <v>100</v>
      </c>
      <c r="L90" s="874">
        <f t="shared" si="72"/>
        <v>100</v>
      </c>
      <c r="M90" s="874">
        <f t="shared" si="72"/>
        <v>100</v>
      </c>
      <c r="N90" s="904"/>
      <c r="O90" s="904"/>
      <c r="P90" s="811"/>
      <c r="Q90" s="843"/>
      <c r="R90" s="845"/>
      <c r="S90" s="845"/>
      <c r="T90" s="845"/>
      <c r="U90" s="845"/>
      <c r="V90" s="845"/>
      <c r="W90" s="845"/>
      <c r="X90" s="845"/>
      <c r="Y90" s="845"/>
      <c r="Z90" s="845"/>
      <c r="AA90" s="845"/>
      <c r="AB90" s="845"/>
      <c r="AC90" s="845"/>
    </row>
    <row r="91" s="570" customFormat="1" ht="14.75" spans="1:29">
      <c r="A91" s="875"/>
      <c r="B91" s="867" t="str">
        <f>B28</f>
        <v>朝向</v>
      </c>
      <c r="C91" s="876"/>
      <c r="D91" s="876"/>
      <c r="E91" s="876"/>
      <c r="F91" s="876"/>
      <c r="G91" s="876"/>
      <c r="H91" s="877"/>
      <c r="I91" s="877"/>
      <c r="J91" s="877"/>
      <c r="K91" s="877"/>
      <c r="L91" s="912"/>
      <c r="M91" s="913"/>
      <c r="N91" s="914"/>
      <c r="O91" s="914"/>
      <c r="P91" s="915"/>
      <c r="Q91" s="947"/>
      <c r="R91" s="948"/>
      <c r="S91" s="948"/>
      <c r="T91" s="948"/>
      <c r="U91" s="948"/>
      <c r="V91" s="948"/>
      <c r="W91" s="948"/>
      <c r="X91" s="948"/>
      <c r="Y91" s="948"/>
      <c r="Z91" s="948"/>
      <c r="AA91" s="948"/>
      <c r="AB91" s="948"/>
      <c r="AC91" s="948"/>
    </row>
    <row r="92" s="570" customFormat="1" ht="14.75" spans="1:29">
      <c r="A92" s="875"/>
      <c r="B92" s="869"/>
      <c r="C92" s="890">
        <v>100</v>
      </c>
      <c r="D92" s="874">
        <f t="shared" ref="D92:M92" si="73">C92-$K28</f>
        <v>100</v>
      </c>
      <c r="E92" s="874">
        <f t="shared" si="73"/>
        <v>100</v>
      </c>
      <c r="F92" s="874">
        <f t="shared" si="73"/>
        <v>100</v>
      </c>
      <c r="G92" s="874">
        <f t="shared" si="73"/>
        <v>100</v>
      </c>
      <c r="H92" s="874">
        <f t="shared" si="73"/>
        <v>100</v>
      </c>
      <c r="I92" s="874">
        <f t="shared" si="73"/>
        <v>100</v>
      </c>
      <c r="J92" s="874">
        <f t="shared" si="73"/>
        <v>100</v>
      </c>
      <c r="K92" s="874">
        <f t="shared" si="73"/>
        <v>100</v>
      </c>
      <c r="L92" s="874">
        <f t="shared" si="73"/>
        <v>100</v>
      </c>
      <c r="M92" s="874">
        <f t="shared" si="73"/>
        <v>100</v>
      </c>
      <c r="N92" s="914"/>
      <c r="O92" s="914"/>
      <c r="P92" s="915"/>
      <c r="Q92" s="947"/>
      <c r="R92" s="948"/>
      <c r="S92" s="948"/>
      <c r="T92" s="948"/>
      <c r="U92" s="948"/>
      <c r="V92" s="948"/>
      <c r="W92" s="948"/>
      <c r="X92" s="948"/>
      <c r="Y92" s="948"/>
      <c r="Z92" s="948"/>
      <c r="AA92" s="948"/>
      <c r="AB92" s="948"/>
      <c r="AC92" s="948"/>
    </row>
    <row r="93" ht="14.75" spans="1:29">
      <c r="A93" s="864"/>
      <c r="B93" s="867">
        <f>B29</f>
        <v>111</v>
      </c>
      <c r="C93" s="876"/>
      <c r="D93" s="876"/>
      <c r="E93" s="876"/>
      <c r="F93" s="876"/>
      <c r="G93" s="876"/>
      <c r="H93" s="876"/>
      <c r="I93" s="876"/>
      <c r="J93" s="876"/>
      <c r="K93" s="876"/>
      <c r="L93" s="930"/>
      <c r="M93" s="931"/>
      <c r="N93" s="810"/>
      <c r="O93" s="810"/>
      <c r="P93" s="811"/>
      <c r="Q93" s="843"/>
      <c r="R93" s="710"/>
      <c r="S93" s="710"/>
      <c r="T93" s="710"/>
      <c r="U93" s="710"/>
      <c r="V93" s="710"/>
      <c r="W93" s="710"/>
      <c r="X93" s="710"/>
      <c r="Y93" s="710"/>
      <c r="Z93" s="710"/>
      <c r="AA93" s="710"/>
      <c r="AB93" s="710"/>
      <c r="AC93" s="710"/>
    </row>
    <row r="94" ht="14.75" spans="1:29">
      <c r="A94" s="864"/>
      <c r="B94" s="869"/>
      <c r="C94" s="878"/>
      <c r="D94" s="866"/>
      <c r="E94" s="866"/>
      <c r="F94" s="866"/>
      <c r="G94" s="866"/>
      <c r="H94" s="866"/>
      <c r="I94" s="866"/>
      <c r="J94" s="866"/>
      <c r="K94" s="866"/>
      <c r="L94" s="866"/>
      <c r="M94" s="903"/>
      <c r="N94" s="904"/>
      <c r="O94" s="904"/>
      <c r="P94" s="811"/>
      <c r="Q94" s="843"/>
      <c r="R94" s="710"/>
      <c r="S94" s="710"/>
      <c r="T94" s="710"/>
      <c r="U94" s="710"/>
      <c r="V94" s="710"/>
      <c r="W94" s="710"/>
      <c r="X94" s="710"/>
      <c r="Y94" s="710"/>
      <c r="Z94" s="710"/>
      <c r="AA94" s="710"/>
      <c r="AB94" s="710"/>
      <c r="AC94" s="710"/>
    </row>
    <row r="95" ht="14.75" spans="1:29">
      <c r="A95" s="864"/>
      <c r="B95" s="867">
        <f>B30</f>
        <v>111</v>
      </c>
      <c r="C95" s="876"/>
      <c r="D95" s="876"/>
      <c r="E95" s="876"/>
      <c r="F95" s="876"/>
      <c r="G95" s="868"/>
      <c r="H95" s="868"/>
      <c r="I95" s="868"/>
      <c r="J95" s="868"/>
      <c r="K95" s="905"/>
      <c r="L95" s="906"/>
      <c r="M95" s="907"/>
      <c r="N95" s="810"/>
      <c r="O95" s="810"/>
      <c r="P95" s="811"/>
      <c r="Q95" s="843"/>
      <c r="R95" s="710"/>
      <c r="S95" s="710"/>
      <c r="T95" s="710"/>
      <c r="U95" s="710"/>
      <c r="V95" s="710"/>
      <c r="W95" s="710"/>
      <c r="X95" s="710"/>
      <c r="Y95" s="710"/>
      <c r="Z95" s="710"/>
      <c r="AA95" s="710"/>
      <c r="AB95" s="710"/>
      <c r="AC95" s="710"/>
    </row>
    <row r="96" ht="14.75" spans="1:29">
      <c r="A96" s="864"/>
      <c r="B96" s="869"/>
      <c r="C96" s="878"/>
      <c r="D96" s="878"/>
      <c r="E96" s="878"/>
      <c r="F96" s="878"/>
      <c r="G96" s="866"/>
      <c r="H96" s="866"/>
      <c r="I96" s="866"/>
      <c r="J96" s="866"/>
      <c r="K96" s="866"/>
      <c r="L96" s="866"/>
      <c r="M96" s="903"/>
      <c r="N96" s="904"/>
      <c r="O96" s="904"/>
      <c r="P96" s="811"/>
      <c r="Q96" s="843"/>
      <c r="R96" s="710"/>
      <c r="S96" s="710"/>
      <c r="T96" s="710"/>
      <c r="U96" s="710"/>
      <c r="V96" s="710"/>
      <c r="W96" s="710"/>
      <c r="X96" s="710"/>
      <c r="Y96" s="710"/>
      <c r="Z96" s="710"/>
      <c r="AA96" s="710"/>
      <c r="AB96" s="710"/>
      <c r="AC96" s="710"/>
    </row>
    <row r="97" ht="14.75" spans="1:29">
      <c r="A97" s="864"/>
      <c r="B97" s="867">
        <f>B31</f>
        <v>111</v>
      </c>
      <c r="C97" s="876"/>
      <c r="D97" s="876"/>
      <c r="E97" s="876"/>
      <c r="F97" s="876"/>
      <c r="G97" s="868"/>
      <c r="H97" s="868"/>
      <c r="I97" s="868"/>
      <c r="J97" s="868"/>
      <c r="K97" s="905"/>
      <c r="L97" s="906"/>
      <c r="M97" s="907"/>
      <c r="N97" s="810"/>
      <c r="O97" s="810"/>
      <c r="P97" s="811"/>
      <c r="Q97" s="843"/>
      <c r="R97" s="710"/>
      <c r="S97" s="710"/>
      <c r="T97" s="710"/>
      <c r="U97" s="710"/>
      <c r="V97" s="710"/>
      <c r="W97" s="710"/>
      <c r="X97" s="710"/>
      <c r="Y97" s="710"/>
      <c r="Z97" s="710"/>
      <c r="AA97" s="710"/>
      <c r="AB97" s="710"/>
      <c r="AC97" s="710"/>
    </row>
    <row r="98" ht="14.75" spans="1:29">
      <c r="A98" s="864"/>
      <c r="B98" s="869"/>
      <c r="C98" s="878"/>
      <c r="D98" s="866"/>
      <c r="E98" s="866"/>
      <c r="F98" s="866"/>
      <c r="G98" s="866"/>
      <c r="H98" s="866"/>
      <c r="I98" s="866"/>
      <c r="J98" s="866"/>
      <c r="K98" s="866"/>
      <c r="L98" s="866"/>
      <c r="M98" s="903"/>
      <c r="N98" s="904"/>
      <c r="O98" s="904"/>
      <c r="P98" s="811"/>
      <c r="Q98" s="843"/>
      <c r="R98" s="710"/>
      <c r="S98" s="710"/>
      <c r="T98" s="710"/>
      <c r="U98" s="710"/>
      <c r="V98" s="710"/>
      <c r="W98" s="710"/>
      <c r="X98" s="710"/>
      <c r="Y98" s="710"/>
      <c r="Z98" s="710"/>
      <c r="AA98" s="710"/>
      <c r="AB98" s="710"/>
      <c r="AC98" s="710"/>
    </row>
    <row r="99" ht="14.75" spans="1:29">
      <c r="A99" s="864"/>
      <c r="B99" s="870">
        <f>B32</f>
        <v>111</v>
      </c>
      <c r="C99" s="739"/>
      <c r="D99" s="739"/>
      <c r="E99" s="739"/>
      <c r="F99" s="739"/>
      <c r="G99" s="892"/>
      <c r="H99" s="892"/>
      <c r="I99" s="892"/>
      <c r="J99" s="892"/>
      <c r="K99" s="932"/>
      <c r="L99" s="933"/>
      <c r="M99" s="934"/>
      <c r="N99" s="810"/>
      <c r="O99" s="810"/>
      <c r="P99" s="811"/>
      <c r="Q99" s="843"/>
      <c r="R99" s="710"/>
      <c r="S99" s="710"/>
      <c r="T99" s="710"/>
      <c r="U99" s="710"/>
      <c r="V99" s="710"/>
      <c r="W99" s="710"/>
      <c r="X99" s="710"/>
      <c r="Y99" s="710"/>
      <c r="Z99" s="710"/>
      <c r="AA99" s="710"/>
      <c r="AB99" s="710"/>
      <c r="AC99" s="710"/>
    </row>
    <row r="100" ht="14.75" spans="1:29">
      <c r="A100" s="893"/>
      <c r="B100" s="882"/>
      <c r="C100" s="883"/>
      <c r="D100" s="883"/>
      <c r="E100" s="883"/>
      <c r="F100" s="883"/>
      <c r="G100" s="894"/>
      <c r="H100" s="894"/>
      <c r="I100" s="894"/>
      <c r="J100" s="894"/>
      <c r="K100" s="894"/>
      <c r="L100" s="894"/>
      <c r="M100" s="935"/>
      <c r="N100" s="904"/>
      <c r="O100" s="904"/>
      <c r="P100" s="811"/>
      <c r="Q100" s="843"/>
      <c r="R100" s="710"/>
      <c r="S100" s="710"/>
      <c r="T100" s="710"/>
      <c r="U100" s="710"/>
      <c r="V100" s="710"/>
      <c r="W100" s="710"/>
      <c r="X100" s="710"/>
      <c r="Y100" s="710"/>
      <c r="Z100" s="710"/>
      <c r="AA100" s="710"/>
      <c r="AB100" s="710"/>
      <c r="AC100" s="710"/>
    </row>
    <row r="101" spans="1:29">
      <c r="A101" s="741" t="s">
        <v>1198</v>
      </c>
      <c r="B101" s="742" t="s">
        <v>1199</v>
      </c>
      <c r="C101" s="744" t="s">
        <v>1201</v>
      </c>
      <c r="D101" s="744" t="s">
        <v>1200</v>
      </c>
      <c r="E101" s="745"/>
      <c r="F101" s="745"/>
      <c r="G101" s="745"/>
      <c r="H101" s="745"/>
      <c r="I101" s="745"/>
      <c r="J101" s="745"/>
      <c r="K101" s="807"/>
      <c r="L101" s="808"/>
      <c r="M101" s="809"/>
      <c r="N101" s="810"/>
      <c r="O101" s="810"/>
      <c r="P101" s="811"/>
      <c r="Q101" s="843"/>
      <c r="R101" s="710"/>
      <c r="S101" s="710"/>
      <c r="T101" s="710"/>
      <c r="U101" s="710"/>
      <c r="V101" s="710"/>
      <c r="W101" s="710"/>
      <c r="X101" s="710"/>
      <c r="Y101" s="710"/>
      <c r="Z101" s="710"/>
      <c r="AA101" s="710"/>
      <c r="AB101" s="710"/>
      <c r="AC101" s="710"/>
    </row>
    <row r="102" ht="14.75" spans="1:29">
      <c r="A102" s="864"/>
      <c r="B102" s="869"/>
      <c r="C102" s="874">
        <v>100</v>
      </c>
      <c r="D102" s="874">
        <f t="shared" ref="D102:M102" si="74">C102-$K33</f>
        <v>98</v>
      </c>
      <c r="E102" s="874">
        <f t="shared" si="74"/>
        <v>96</v>
      </c>
      <c r="F102" s="874">
        <f t="shared" si="74"/>
        <v>94</v>
      </c>
      <c r="G102" s="874">
        <f t="shared" si="74"/>
        <v>92</v>
      </c>
      <c r="H102" s="874">
        <f t="shared" si="74"/>
        <v>90</v>
      </c>
      <c r="I102" s="874">
        <f t="shared" si="74"/>
        <v>88</v>
      </c>
      <c r="J102" s="874">
        <f t="shared" si="74"/>
        <v>86</v>
      </c>
      <c r="K102" s="874">
        <f t="shared" si="74"/>
        <v>84</v>
      </c>
      <c r="L102" s="874">
        <f t="shared" si="74"/>
        <v>82</v>
      </c>
      <c r="M102" s="911">
        <f t="shared" si="74"/>
        <v>80</v>
      </c>
      <c r="N102" s="904"/>
      <c r="O102" s="904"/>
      <c r="P102" s="811"/>
      <c r="Q102" s="843"/>
      <c r="R102" s="710"/>
      <c r="S102" s="710"/>
      <c r="T102" s="710"/>
      <c r="U102" s="710"/>
      <c r="V102" s="710"/>
      <c r="W102" s="710"/>
      <c r="X102" s="710"/>
      <c r="Y102" s="710"/>
      <c r="Z102" s="710"/>
      <c r="AA102" s="710"/>
      <c r="AB102" s="710"/>
      <c r="AC102" s="710"/>
    </row>
    <row r="103" ht="28.75" spans="1:29">
      <c r="A103" s="864"/>
      <c r="B103" s="867" t="s">
        <v>1203</v>
      </c>
      <c r="C103" s="886" t="str">
        <f t="shared" ref="C103:L103" si="75">C104&amp;"(含)"&amp;"-"&amp;D104</f>
        <v>0(含)-500</v>
      </c>
      <c r="D103" s="886" t="str">
        <f t="shared" si="75"/>
        <v>500(含)-1000</v>
      </c>
      <c r="E103" s="886" t="str">
        <f t="shared" si="75"/>
        <v>1000(含)-3000</v>
      </c>
      <c r="F103" s="886" t="str">
        <f t="shared" si="75"/>
        <v>3000(含)-5000</v>
      </c>
      <c r="G103" s="886" t="str">
        <f t="shared" si="75"/>
        <v>5000(含)-8000</v>
      </c>
      <c r="H103" s="886" t="str">
        <f t="shared" si="75"/>
        <v>8000(含)-</v>
      </c>
      <c r="I103" s="886" t="str">
        <f t="shared" si="75"/>
        <v>(含)-</v>
      </c>
      <c r="J103" s="886" t="str">
        <f t="shared" si="75"/>
        <v>(含)-</v>
      </c>
      <c r="K103" s="886" t="str">
        <f t="shared" si="75"/>
        <v>(含)-</v>
      </c>
      <c r="L103" s="886" t="str">
        <f t="shared" si="75"/>
        <v>(含)-</v>
      </c>
      <c r="M103" s="936" t="str">
        <f>M104&amp;"(含)"&amp;"-"&amp;P104</f>
        <v>(含)-</v>
      </c>
      <c r="N103" s="804"/>
      <c r="O103" s="804"/>
      <c r="P103" s="811"/>
      <c r="Q103" s="843"/>
      <c r="R103" s="710"/>
      <c r="S103" s="710"/>
      <c r="T103" s="710"/>
      <c r="U103" s="710"/>
      <c r="V103" s="710"/>
      <c r="W103" s="710"/>
      <c r="X103" s="710"/>
      <c r="Y103" s="710"/>
      <c r="Z103" s="710"/>
      <c r="AA103" s="710"/>
      <c r="AB103" s="710"/>
      <c r="AC103" s="710"/>
    </row>
    <row r="104" s="570" customFormat="1" spans="1:29">
      <c r="A104" s="895"/>
      <c r="B104" s="896"/>
      <c r="C104" s="897">
        <v>0</v>
      </c>
      <c r="D104" s="897">
        <v>500</v>
      </c>
      <c r="E104" s="897">
        <v>1000</v>
      </c>
      <c r="F104" s="897">
        <v>3000</v>
      </c>
      <c r="G104" s="897">
        <v>5000</v>
      </c>
      <c r="H104" s="897">
        <v>8000</v>
      </c>
      <c r="I104" s="897"/>
      <c r="J104" s="937"/>
      <c r="K104" s="937"/>
      <c r="L104" s="938"/>
      <c r="M104" s="939"/>
      <c r="N104" s="914"/>
      <c r="O104" s="914"/>
      <c r="P104" s="915"/>
      <c r="Q104" s="947"/>
      <c r="R104" s="948"/>
      <c r="S104" s="948"/>
      <c r="T104" s="948"/>
      <c r="U104" s="948"/>
      <c r="V104" s="948"/>
      <c r="W104" s="948"/>
      <c r="X104" s="948"/>
      <c r="Y104" s="948"/>
      <c r="Z104" s="948"/>
      <c r="AA104" s="948"/>
      <c r="AB104" s="948"/>
      <c r="AC104" s="948"/>
    </row>
    <row r="105" s="570" customFormat="1" ht="14.75" spans="1:29">
      <c r="A105" s="875"/>
      <c r="B105" s="869"/>
      <c r="C105" s="878">
        <v>100</v>
      </c>
      <c r="D105" s="866">
        <v>99</v>
      </c>
      <c r="E105" s="878">
        <v>98</v>
      </c>
      <c r="F105" s="866">
        <v>97</v>
      </c>
      <c r="G105" s="878">
        <v>96</v>
      </c>
      <c r="H105" s="866">
        <v>95</v>
      </c>
      <c r="I105" s="866"/>
      <c r="J105" s="866"/>
      <c r="K105" s="866"/>
      <c r="L105" s="866"/>
      <c r="M105" s="903"/>
      <c r="N105" s="904"/>
      <c r="O105" s="904"/>
      <c r="P105" s="915"/>
      <c r="Q105" s="947"/>
      <c r="R105" s="948"/>
      <c r="S105" s="948"/>
      <c r="T105" s="948"/>
      <c r="U105" s="948"/>
      <c r="V105" s="948"/>
      <c r="W105" s="948"/>
      <c r="X105" s="948"/>
      <c r="Y105" s="948"/>
      <c r="Z105" s="948"/>
      <c r="AA105" s="948"/>
      <c r="AB105" s="948"/>
      <c r="AC105" s="948"/>
    </row>
    <row r="106" ht="14.75" spans="1:29">
      <c r="A106" s="898"/>
      <c r="B106" s="867" t="s">
        <v>1204</v>
      </c>
      <c r="C106" s="876"/>
      <c r="D106" s="876"/>
      <c r="E106" s="868"/>
      <c r="F106" s="868"/>
      <c r="G106" s="868"/>
      <c r="H106" s="868"/>
      <c r="I106" s="868"/>
      <c r="J106" s="868"/>
      <c r="K106" s="905"/>
      <c r="L106" s="906"/>
      <c r="M106" s="907"/>
      <c r="N106" s="810"/>
      <c r="O106" s="810"/>
      <c r="P106" s="811"/>
      <c r="Q106" s="843"/>
      <c r="R106" s="710"/>
      <c r="S106" s="710"/>
      <c r="T106" s="710"/>
      <c r="U106" s="710"/>
      <c r="V106" s="710"/>
      <c r="W106" s="710"/>
      <c r="X106" s="710"/>
      <c r="Y106" s="710"/>
      <c r="Z106" s="710"/>
      <c r="AA106" s="710"/>
      <c r="AB106" s="710"/>
      <c r="AC106" s="710"/>
    </row>
    <row r="107" ht="14.75" spans="1:29">
      <c r="A107" s="864"/>
      <c r="B107" s="869"/>
      <c r="C107" s="874">
        <v>100</v>
      </c>
      <c r="D107" s="874">
        <f t="shared" ref="D107:M107" si="76">C107-$K35</f>
        <v>100</v>
      </c>
      <c r="E107" s="874">
        <f t="shared" si="76"/>
        <v>100</v>
      </c>
      <c r="F107" s="874">
        <f t="shared" si="76"/>
        <v>100</v>
      </c>
      <c r="G107" s="874">
        <f t="shared" si="76"/>
        <v>100</v>
      </c>
      <c r="H107" s="874">
        <f t="shared" si="76"/>
        <v>100</v>
      </c>
      <c r="I107" s="874">
        <f t="shared" si="76"/>
        <v>100</v>
      </c>
      <c r="J107" s="874">
        <f t="shared" si="76"/>
        <v>100</v>
      </c>
      <c r="K107" s="874">
        <f t="shared" si="76"/>
        <v>100</v>
      </c>
      <c r="L107" s="874">
        <f t="shared" si="76"/>
        <v>100</v>
      </c>
      <c r="M107" s="911">
        <f t="shared" si="76"/>
        <v>100</v>
      </c>
      <c r="N107" s="904"/>
      <c r="O107" s="904"/>
      <c r="P107" s="811"/>
      <c r="Q107" s="843"/>
      <c r="R107" s="710"/>
      <c r="S107" s="710"/>
      <c r="T107" s="710"/>
      <c r="U107" s="710"/>
      <c r="V107" s="710"/>
      <c r="W107" s="710"/>
      <c r="X107" s="710"/>
      <c r="Y107" s="710"/>
      <c r="Z107" s="710"/>
      <c r="AA107" s="710"/>
      <c r="AB107" s="710"/>
      <c r="AC107" s="710"/>
    </row>
    <row r="108" ht="14.75" spans="1:29">
      <c r="A108" s="898"/>
      <c r="B108" s="867" t="s">
        <v>1205</v>
      </c>
      <c r="C108" s="876"/>
      <c r="D108" s="876"/>
      <c r="E108" s="876"/>
      <c r="F108" s="868"/>
      <c r="G108" s="868"/>
      <c r="H108" s="868"/>
      <c r="I108" s="868"/>
      <c r="J108" s="868"/>
      <c r="K108" s="905"/>
      <c r="L108" s="906"/>
      <c r="M108" s="907"/>
      <c r="N108" s="810"/>
      <c r="O108" s="810"/>
      <c r="P108" s="811"/>
      <c r="Q108" s="843"/>
      <c r="R108" s="710"/>
      <c r="S108" s="710"/>
      <c r="T108" s="710"/>
      <c r="U108" s="710"/>
      <c r="V108" s="710"/>
      <c r="W108" s="710"/>
      <c r="X108" s="710"/>
      <c r="Y108" s="710"/>
      <c r="Z108" s="710"/>
      <c r="AA108" s="710"/>
      <c r="AB108" s="710"/>
      <c r="AC108" s="710"/>
    </row>
    <row r="109" ht="14.75" spans="1:29">
      <c r="A109" s="864"/>
      <c r="B109" s="869"/>
      <c r="C109" s="874">
        <v>100</v>
      </c>
      <c r="D109" s="874">
        <f t="shared" ref="D109:M109" si="77">C109-$K36</f>
        <v>100</v>
      </c>
      <c r="E109" s="874">
        <f t="shared" si="77"/>
        <v>100</v>
      </c>
      <c r="F109" s="874">
        <f t="shared" si="77"/>
        <v>100</v>
      </c>
      <c r="G109" s="874">
        <f t="shared" si="77"/>
        <v>100</v>
      </c>
      <c r="H109" s="874">
        <f t="shared" si="77"/>
        <v>100</v>
      </c>
      <c r="I109" s="874">
        <f t="shared" si="77"/>
        <v>100</v>
      </c>
      <c r="J109" s="874">
        <f t="shared" si="77"/>
        <v>100</v>
      </c>
      <c r="K109" s="874">
        <f t="shared" si="77"/>
        <v>100</v>
      </c>
      <c r="L109" s="874">
        <f t="shared" si="77"/>
        <v>100</v>
      </c>
      <c r="M109" s="911">
        <f t="shared" si="77"/>
        <v>100</v>
      </c>
      <c r="N109" s="904"/>
      <c r="O109" s="904"/>
      <c r="P109" s="811"/>
      <c r="Q109" s="843"/>
      <c r="R109" s="710"/>
      <c r="S109" s="710"/>
      <c r="T109" s="710"/>
      <c r="U109" s="710"/>
      <c r="V109" s="710"/>
      <c r="W109" s="710"/>
      <c r="X109" s="710"/>
      <c r="Y109" s="710"/>
      <c r="Z109" s="710"/>
      <c r="AA109" s="710"/>
      <c r="AB109" s="710"/>
      <c r="AC109" s="710"/>
    </row>
    <row r="110" ht="14.75" spans="1:29">
      <c r="A110" s="898"/>
      <c r="B110" s="867" t="s">
        <v>636</v>
      </c>
      <c r="C110" s="886" t="str">
        <f t="shared" ref="C110:F110" si="78">C111&amp;"(含)"&amp;"-"&amp;D111</f>
        <v>0.5(含)-0.6</v>
      </c>
      <c r="D110" s="886" t="str">
        <f t="shared" si="78"/>
        <v>0.6(含)-0.7</v>
      </c>
      <c r="E110" s="886" t="str">
        <f t="shared" si="78"/>
        <v>0.7(含)-0.8</v>
      </c>
      <c r="F110" s="886" t="str">
        <f t="shared" si="78"/>
        <v>0.8(含)-0.9</v>
      </c>
      <c r="G110" s="886" t="str">
        <f>G111&amp;"(含)"&amp;"-"&amp;ROUND(H111,0)&amp;"(含)"</f>
        <v>0.9(含)-1(含)</v>
      </c>
      <c r="H110" s="886"/>
      <c r="I110" s="868"/>
      <c r="J110" s="868"/>
      <c r="K110" s="905"/>
      <c r="L110" s="906"/>
      <c r="M110" s="907"/>
      <c r="N110" s="810"/>
      <c r="O110" s="810"/>
      <c r="P110" s="811"/>
      <c r="Q110" s="843"/>
      <c r="R110" s="710"/>
      <c r="S110" s="710"/>
      <c r="T110" s="710"/>
      <c r="U110" s="710"/>
      <c r="V110" s="710"/>
      <c r="W110" s="710"/>
      <c r="X110" s="710"/>
      <c r="Y110" s="710"/>
      <c r="Z110" s="710"/>
      <c r="AA110" s="710"/>
      <c r="AB110" s="710"/>
      <c r="AC110" s="710"/>
    </row>
    <row r="111" spans="1:29">
      <c r="A111" s="898"/>
      <c r="B111" s="870"/>
      <c r="C111" s="899">
        <v>0.5</v>
      </c>
      <c r="D111" s="899">
        <v>0.6</v>
      </c>
      <c r="E111" s="899">
        <v>0.7</v>
      </c>
      <c r="F111" s="899">
        <v>0.8</v>
      </c>
      <c r="G111" s="899">
        <v>0.9</v>
      </c>
      <c r="H111" s="899">
        <v>1.0001</v>
      </c>
      <c r="I111" s="940"/>
      <c r="J111" s="940"/>
      <c r="K111" s="941"/>
      <c r="L111" s="942"/>
      <c r="M111" s="943"/>
      <c r="N111" s="810"/>
      <c r="O111" s="810"/>
      <c r="P111" s="811"/>
      <c r="Q111" s="843"/>
      <c r="R111" s="710"/>
      <c r="S111" s="710"/>
      <c r="T111" s="710"/>
      <c r="U111" s="710"/>
      <c r="V111" s="710"/>
      <c r="W111" s="710"/>
      <c r="X111" s="710"/>
      <c r="Y111" s="710"/>
      <c r="Z111" s="710"/>
      <c r="AA111" s="710"/>
      <c r="AB111" s="710"/>
      <c r="AC111" s="710"/>
    </row>
    <row r="112" ht="14.75" spans="1:29">
      <c r="A112" s="864"/>
      <c r="B112" s="869"/>
      <c r="C112" s="890">
        <v>100</v>
      </c>
      <c r="D112" s="874">
        <f t="shared" ref="D112:M112" si="79">C112+$K37</f>
        <v>101</v>
      </c>
      <c r="E112" s="874">
        <f t="shared" si="79"/>
        <v>102</v>
      </c>
      <c r="F112" s="874">
        <f t="shared" si="79"/>
        <v>103</v>
      </c>
      <c r="G112" s="874">
        <f t="shared" si="79"/>
        <v>104</v>
      </c>
      <c r="H112" s="874">
        <f t="shared" si="79"/>
        <v>105</v>
      </c>
      <c r="I112" s="874">
        <f t="shared" si="79"/>
        <v>106</v>
      </c>
      <c r="J112" s="874">
        <f t="shared" si="79"/>
        <v>107</v>
      </c>
      <c r="K112" s="874">
        <f t="shared" si="79"/>
        <v>108</v>
      </c>
      <c r="L112" s="874">
        <f t="shared" si="79"/>
        <v>109</v>
      </c>
      <c r="M112" s="874">
        <f t="shared" si="79"/>
        <v>110</v>
      </c>
      <c r="N112" s="904"/>
      <c r="O112" s="904"/>
      <c r="P112" s="811"/>
      <c r="Q112" s="843"/>
      <c r="R112" s="710"/>
      <c r="S112" s="710"/>
      <c r="T112" s="710"/>
      <c r="U112" s="710"/>
      <c r="V112" s="710"/>
      <c r="W112" s="710"/>
      <c r="X112" s="710"/>
      <c r="Y112" s="710"/>
      <c r="Z112" s="710"/>
      <c r="AA112" s="710"/>
      <c r="AB112" s="710"/>
      <c r="AC112" s="710"/>
    </row>
    <row r="113" s="570" customFormat="1" ht="14.75" spans="1:29">
      <c r="A113" s="895"/>
      <c r="B113" s="867" t="s">
        <v>1206</v>
      </c>
      <c r="C113" s="876"/>
      <c r="D113" s="876"/>
      <c r="E113" s="876"/>
      <c r="F113" s="876"/>
      <c r="G113" s="876"/>
      <c r="H113" s="868"/>
      <c r="I113" s="868"/>
      <c r="J113" s="868"/>
      <c r="K113" s="905"/>
      <c r="L113" s="906"/>
      <c r="M113" s="907"/>
      <c r="N113" s="914"/>
      <c r="O113" s="914"/>
      <c r="P113" s="915"/>
      <c r="Q113" s="947"/>
      <c r="R113" s="948"/>
      <c r="S113" s="948"/>
      <c r="T113" s="948"/>
      <c r="U113" s="948"/>
      <c r="V113" s="948"/>
      <c r="W113" s="948"/>
      <c r="X113" s="948"/>
      <c r="Y113" s="948"/>
      <c r="Z113" s="948"/>
      <c r="AA113" s="948"/>
      <c r="AB113" s="948"/>
      <c r="AC113" s="948"/>
    </row>
    <row r="114" s="570" customFormat="1" ht="14.75" spans="1:29">
      <c r="A114" s="875"/>
      <c r="B114" s="869"/>
      <c r="C114" s="874">
        <v>100</v>
      </c>
      <c r="D114" s="874">
        <f t="shared" ref="D114:M114" si="80">C114-$K38</f>
        <v>100</v>
      </c>
      <c r="E114" s="874">
        <f t="shared" si="80"/>
        <v>100</v>
      </c>
      <c r="F114" s="874">
        <f t="shared" si="80"/>
        <v>100</v>
      </c>
      <c r="G114" s="874">
        <f t="shared" si="80"/>
        <v>100</v>
      </c>
      <c r="H114" s="874">
        <f t="shared" si="80"/>
        <v>100</v>
      </c>
      <c r="I114" s="874">
        <f t="shared" si="80"/>
        <v>100</v>
      </c>
      <c r="J114" s="874">
        <f t="shared" si="80"/>
        <v>100</v>
      </c>
      <c r="K114" s="874">
        <f t="shared" si="80"/>
        <v>100</v>
      </c>
      <c r="L114" s="874">
        <f t="shared" si="80"/>
        <v>100</v>
      </c>
      <c r="M114" s="874">
        <f t="shared" si="80"/>
        <v>100</v>
      </c>
      <c r="N114" s="914"/>
      <c r="O114" s="914"/>
      <c r="P114" s="915"/>
      <c r="Q114" s="947"/>
      <c r="R114" s="948"/>
      <c r="S114" s="948"/>
      <c r="T114" s="948"/>
      <c r="U114" s="948"/>
      <c r="V114" s="948"/>
      <c r="W114" s="948"/>
      <c r="X114" s="948"/>
      <c r="Y114" s="948"/>
      <c r="Z114" s="948"/>
      <c r="AA114" s="948"/>
      <c r="AB114" s="948"/>
      <c r="AC114" s="948"/>
    </row>
    <row r="115" ht="14.75" spans="1:29">
      <c r="A115" s="898"/>
      <c r="B115" s="867" t="s">
        <v>1207</v>
      </c>
      <c r="C115" s="876"/>
      <c r="D115" s="876"/>
      <c r="E115" s="868"/>
      <c r="F115" s="868"/>
      <c r="G115" s="868"/>
      <c r="H115" s="868"/>
      <c r="I115" s="868"/>
      <c r="J115" s="868"/>
      <c r="K115" s="905"/>
      <c r="L115" s="906"/>
      <c r="M115" s="907"/>
      <c r="N115" s="810"/>
      <c r="O115" s="810"/>
      <c r="P115" s="811"/>
      <c r="Q115" s="843"/>
      <c r="R115" s="710"/>
      <c r="S115" s="710"/>
      <c r="T115" s="710"/>
      <c r="U115" s="710"/>
      <c r="V115" s="710"/>
      <c r="W115" s="710"/>
      <c r="X115" s="710"/>
      <c r="Y115" s="710"/>
      <c r="Z115" s="710"/>
      <c r="AA115" s="710"/>
      <c r="AB115" s="710"/>
      <c r="AC115" s="710"/>
    </row>
    <row r="116" ht="14.75" spans="1:29">
      <c r="A116" s="864"/>
      <c r="B116" s="869"/>
      <c r="C116" s="874">
        <v>100</v>
      </c>
      <c r="D116" s="874">
        <f t="shared" ref="D116:M116" si="81">C116-$K39</f>
        <v>100</v>
      </c>
      <c r="E116" s="874">
        <f t="shared" si="81"/>
        <v>100</v>
      </c>
      <c r="F116" s="874">
        <f t="shared" si="81"/>
        <v>100</v>
      </c>
      <c r="G116" s="874">
        <f t="shared" si="81"/>
        <v>100</v>
      </c>
      <c r="H116" s="874">
        <f t="shared" si="81"/>
        <v>100</v>
      </c>
      <c r="I116" s="874">
        <f t="shared" si="81"/>
        <v>100</v>
      </c>
      <c r="J116" s="874">
        <f t="shared" si="81"/>
        <v>100</v>
      </c>
      <c r="K116" s="874">
        <f t="shared" si="81"/>
        <v>100</v>
      </c>
      <c r="L116" s="874">
        <f t="shared" si="81"/>
        <v>100</v>
      </c>
      <c r="M116" s="911">
        <f t="shared" si="81"/>
        <v>100</v>
      </c>
      <c r="N116" s="904"/>
      <c r="O116" s="904"/>
      <c r="P116" s="811"/>
      <c r="Q116" s="843"/>
      <c r="R116" s="710"/>
      <c r="S116" s="710"/>
      <c r="T116" s="710"/>
      <c r="U116" s="710"/>
      <c r="V116" s="710"/>
      <c r="W116" s="710"/>
      <c r="X116" s="710"/>
      <c r="Y116" s="710"/>
      <c r="Z116" s="710"/>
      <c r="AA116" s="710"/>
      <c r="AB116" s="710"/>
      <c r="AC116" s="710"/>
    </row>
    <row r="117" ht="14.75" spans="1:29">
      <c r="A117" s="898"/>
      <c r="B117" s="867" t="s">
        <v>1208</v>
      </c>
      <c r="C117" s="876"/>
      <c r="D117" s="876"/>
      <c r="E117" s="876"/>
      <c r="F117" s="876"/>
      <c r="G117" s="876"/>
      <c r="H117" s="868"/>
      <c r="I117" s="868"/>
      <c r="J117" s="868"/>
      <c r="K117" s="905"/>
      <c r="L117" s="906"/>
      <c r="M117" s="907"/>
      <c r="N117" s="810"/>
      <c r="O117" s="810"/>
      <c r="P117" s="811"/>
      <c r="Q117" s="843"/>
      <c r="R117" s="710"/>
      <c r="S117" s="710"/>
      <c r="T117" s="710"/>
      <c r="U117" s="710"/>
      <c r="V117" s="710"/>
      <c r="W117" s="710"/>
      <c r="X117" s="710"/>
      <c r="Y117" s="710"/>
      <c r="Z117" s="710"/>
      <c r="AA117" s="710"/>
      <c r="AB117" s="710"/>
      <c r="AC117" s="710"/>
    </row>
    <row r="118" ht="14.75" spans="1:29">
      <c r="A118" s="864"/>
      <c r="B118" s="869"/>
      <c r="C118" s="874">
        <v>100</v>
      </c>
      <c r="D118" s="874">
        <f t="shared" ref="D118:G118" si="82">C118-$K40</f>
        <v>100</v>
      </c>
      <c r="E118" s="874">
        <f t="shared" si="82"/>
        <v>100</v>
      </c>
      <c r="F118" s="874">
        <f t="shared" si="82"/>
        <v>100</v>
      </c>
      <c r="G118" s="874">
        <f t="shared" si="82"/>
        <v>100</v>
      </c>
      <c r="H118" s="874"/>
      <c r="I118" s="874"/>
      <c r="J118" s="874"/>
      <c r="K118" s="874"/>
      <c r="L118" s="874"/>
      <c r="M118" s="911"/>
      <c r="N118" s="904"/>
      <c r="O118" s="904"/>
      <c r="P118" s="811"/>
      <c r="Q118" s="843"/>
      <c r="R118" s="710"/>
      <c r="S118" s="710"/>
      <c r="T118" s="710"/>
      <c r="U118" s="710"/>
      <c r="V118" s="710"/>
      <c r="W118" s="710"/>
      <c r="X118" s="710"/>
      <c r="Y118" s="710"/>
      <c r="Z118" s="710"/>
      <c r="AA118" s="710"/>
      <c r="AB118" s="710"/>
      <c r="AC118" s="710"/>
    </row>
    <row r="119" ht="14.75" spans="1:29">
      <c r="A119" s="898"/>
      <c r="B119" s="900" t="s">
        <v>1235</v>
      </c>
      <c r="C119" s="868"/>
      <c r="D119" s="868"/>
      <c r="E119" s="868"/>
      <c r="F119" s="868"/>
      <c r="G119" s="868"/>
      <c r="H119" s="868"/>
      <c r="I119" s="868"/>
      <c r="J119" s="868"/>
      <c r="K119" s="868"/>
      <c r="L119" s="944"/>
      <c r="M119" s="945"/>
      <c r="N119" s="904"/>
      <c r="O119" s="904"/>
      <c r="P119" s="946"/>
      <c r="Q119" s="950"/>
      <c r="R119" s="710"/>
      <c r="S119" s="710"/>
      <c r="T119" s="710"/>
      <c r="U119" s="710"/>
      <c r="V119" s="710"/>
      <c r="W119" s="710"/>
      <c r="X119" s="710"/>
      <c r="Y119" s="710"/>
      <c r="Z119" s="710"/>
      <c r="AA119" s="710"/>
      <c r="AB119" s="710"/>
      <c r="AC119" s="710"/>
    </row>
    <row r="120" ht="14.75" spans="1:29">
      <c r="A120" s="864"/>
      <c r="B120" s="869"/>
      <c r="C120" s="890">
        <v>100</v>
      </c>
      <c r="D120" s="874">
        <f t="shared" ref="D120:M120" si="83">C120-$K41</f>
        <v>100</v>
      </c>
      <c r="E120" s="874">
        <f t="shared" si="83"/>
        <v>100</v>
      </c>
      <c r="F120" s="874">
        <f t="shared" si="83"/>
        <v>100</v>
      </c>
      <c r="G120" s="874">
        <f t="shared" si="83"/>
        <v>100</v>
      </c>
      <c r="H120" s="874">
        <f t="shared" si="83"/>
        <v>100</v>
      </c>
      <c r="I120" s="874">
        <f t="shared" si="83"/>
        <v>100</v>
      </c>
      <c r="J120" s="874">
        <f t="shared" si="83"/>
        <v>100</v>
      </c>
      <c r="K120" s="874">
        <f t="shared" si="83"/>
        <v>100</v>
      </c>
      <c r="L120" s="874">
        <f t="shared" si="83"/>
        <v>100</v>
      </c>
      <c r="M120" s="874">
        <f t="shared" si="83"/>
        <v>100</v>
      </c>
      <c r="N120" s="904"/>
      <c r="O120" s="904"/>
      <c r="P120" s="811"/>
      <c r="Q120" s="843"/>
      <c r="R120" s="710"/>
      <c r="S120" s="710"/>
      <c r="T120" s="710"/>
      <c r="U120" s="710"/>
      <c r="V120" s="710"/>
      <c r="W120" s="710"/>
      <c r="X120" s="710"/>
      <c r="Y120" s="710"/>
      <c r="Z120" s="710"/>
      <c r="AA120" s="710"/>
      <c r="AB120" s="710"/>
      <c r="AC120" s="710"/>
    </row>
    <row r="121" s="570" customFormat="1" ht="14.75" spans="1:29">
      <c r="A121" s="895"/>
      <c r="B121" s="867" t="s">
        <v>1236</v>
      </c>
      <c r="C121" s="876"/>
      <c r="D121" s="876"/>
      <c r="E121" s="876"/>
      <c r="F121" s="868"/>
      <c r="G121" s="877"/>
      <c r="H121" s="877"/>
      <c r="I121" s="877"/>
      <c r="J121" s="877"/>
      <c r="K121" s="877"/>
      <c r="L121" s="912"/>
      <c r="M121" s="913"/>
      <c r="N121" s="914"/>
      <c r="O121" s="914"/>
      <c r="P121" s="915"/>
      <c r="Q121" s="947"/>
      <c r="R121" s="948"/>
      <c r="S121" s="948"/>
      <c r="T121" s="948"/>
      <c r="U121" s="948"/>
      <c r="V121" s="948"/>
      <c r="W121" s="948"/>
      <c r="X121" s="948"/>
      <c r="Y121" s="948"/>
      <c r="Z121" s="948"/>
      <c r="AA121" s="948"/>
      <c r="AB121" s="948"/>
      <c r="AC121" s="948"/>
    </row>
    <row r="122" s="570" customFormat="1" ht="14.75" spans="1:29">
      <c r="A122" s="875"/>
      <c r="B122" s="865"/>
      <c r="C122" s="878"/>
      <c r="D122" s="878"/>
      <c r="E122" s="878"/>
      <c r="F122" s="878"/>
      <c r="G122" s="878"/>
      <c r="H122" s="878"/>
      <c r="I122" s="878"/>
      <c r="J122" s="878"/>
      <c r="K122" s="878"/>
      <c r="L122" s="878"/>
      <c r="M122" s="878"/>
      <c r="N122" s="914"/>
      <c r="O122" s="914"/>
      <c r="P122" s="915"/>
      <c r="Q122" s="947"/>
      <c r="R122" s="948"/>
      <c r="S122" s="948"/>
      <c r="T122" s="948"/>
      <c r="U122" s="948"/>
      <c r="V122" s="948"/>
      <c r="W122" s="948"/>
      <c r="X122" s="948"/>
      <c r="Y122" s="948"/>
      <c r="Z122" s="948"/>
      <c r="AA122" s="948"/>
      <c r="AB122" s="948"/>
      <c r="AC122" s="948"/>
    </row>
    <row r="123" ht="14.75" spans="1:29">
      <c r="A123" s="898"/>
      <c r="B123" s="867" t="s">
        <v>1211</v>
      </c>
      <c r="C123" s="901" t="s">
        <v>1237</v>
      </c>
      <c r="D123" s="901" t="s">
        <v>1212</v>
      </c>
      <c r="E123" s="901" t="s">
        <v>1238</v>
      </c>
      <c r="F123" s="902" t="s">
        <v>1239</v>
      </c>
      <c r="G123" s="868"/>
      <c r="H123" s="868"/>
      <c r="I123" s="868"/>
      <c r="J123" s="868"/>
      <c r="K123" s="905"/>
      <c r="L123" s="906"/>
      <c r="M123" s="907"/>
      <c r="N123" s="810"/>
      <c r="O123" s="810"/>
      <c r="P123" s="811"/>
      <c r="Q123" s="843"/>
      <c r="R123" s="710"/>
      <c r="S123" s="710"/>
      <c r="T123" s="710"/>
      <c r="U123" s="710"/>
      <c r="V123" s="710"/>
      <c r="W123" s="710"/>
      <c r="X123" s="710"/>
      <c r="Y123" s="710"/>
      <c r="Z123" s="710"/>
      <c r="AA123" s="710"/>
      <c r="AB123" s="710"/>
      <c r="AC123" s="710"/>
    </row>
    <row r="124" ht="14.75" spans="1:29">
      <c r="A124" s="864"/>
      <c r="B124" s="869"/>
      <c r="C124" s="874">
        <v>100</v>
      </c>
      <c r="D124" s="874">
        <f t="shared" ref="D124:M124" si="84">C124-$K43</f>
        <v>98</v>
      </c>
      <c r="E124" s="874">
        <f t="shared" si="84"/>
        <v>96</v>
      </c>
      <c r="F124" s="874">
        <f t="shared" si="84"/>
        <v>94</v>
      </c>
      <c r="G124" s="874">
        <f t="shared" si="84"/>
        <v>92</v>
      </c>
      <c r="H124" s="874">
        <f t="shared" si="84"/>
        <v>90</v>
      </c>
      <c r="I124" s="874">
        <f t="shared" si="84"/>
        <v>88</v>
      </c>
      <c r="J124" s="874">
        <f t="shared" si="84"/>
        <v>86</v>
      </c>
      <c r="K124" s="874">
        <f t="shared" si="84"/>
        <v>84</v>
      </c>
      <c r="L124" s="874">
        <f t="shared" si="84"/>
        <v>82</v>
      </c>
      <c r="M124" s="911">
        <f t="shared" si="84"/>
        <v>80</v>
      </c>
      <c r="N124" s="904"/>
      <c r="O124" s="904"/>
      <c r="P124" s="811"/>
      <c r="Q124" s="843"/>
      <c r="R124" s="710"/>
      <c r="S124" s="710"/>
      <c r="T124" s="710"/>
      <c r="U124" s="710"/>
      <c r="V124" s="710"/>
      <c r="W124" s="710"/>
      <c r="X124" s="710"/>
      <c r="Y124" s="710"/>
      <c r="Z124" s="710"/>
      <c r="AA124" s="710"/>
      <c r="AB124" s="710"/>
      <c r="AC124" s="710"/>
    </row>
    <row r="125" ht="28.75" spans="1:29">
      <c r="A125" s="898"/>
      <c r="B125" s="867" t="s">
        <v>1213</v>
      </c>
      <c r="C125" s="886" t="s">
        <v>1225</v>
      </c>
      <c r="D125" s="886" t="s">
        <v>1226</v>
      </c>
      <c r="E125" s="886" t="s">
        <v>1227</v>
      </c>
      <c r="F125" s="886" t="s">
        <v>1228</v>
      </c>
      <c r="G125" s="886" t="s">
        <v>1229</v>
      </c>
      <c r="H125" s="887"/>
      <c r="I125" s="887"/>
      <c r="J125" s="887"/>
      <c r="K125" s="926"/>
      <c r="L125" s="927"/>
      <c r="M125" s="928"/>
      <c r="N125" s="810"/>
      <c r="O125" s="810"/>
      <c r="P125" s="915"/>
      <c r="Q125" s="843"/>
      <c r="R125" s="710"/>
      <c r="S125" s="710"/>
      <c r="T125" s="710"/>
      <c r="U125" s="710"/>
      <c r="V125" s="710"/>
      <c r="W125" s="710"/>
      <c r="X125" s="710"/>
      <c r="Y125" s="710"/>
      <c r="Z125" s="710"/>
      <c r="AA125" s="710"/>
      <c r="AB125" s="710"/>
      <c r="AC125" s="710"/>
    </row>
    <row r="126" ht="14.75" spans="1:29">
      <c r="A126" s="864"/>
      <c r="B126" s="869"/>
      <c r="C126" s="874">
        <v>100</v>
      </c>
      <c r="D126" s="874">
        <f t="shared" ref="D126:G126" si="85">C126-$K44</f>
        <v>98</v>
      </c>
      <c r="E126" s="874">
        <f t="shared" si="85"/>
        <v>96</v>
      </c>
      <c r="F126" s="874">
        <f t="shared" si="85"/>
        <v>94</v>
      </c>
      <c r="G126" s="874">
        <f t="shared" si="85"/>
        <v>92</v>
      </c>
      <c r="H126" s="874"/>
      <c r="I126" s="874"/>
      <c r="J126" s="874"/>
      <c r="K126" s="874"/>
      <c r="L126" s="874"/>
      <c r="M126" s="911"/>
      <c r="N126" s="904"/>
      <c r="O126" s="904"/>
      <c r="P126" s="811"/>
      <c r="Q126" s="843"/>
      <c r="R126" s="710"/>
      <c r="S126" s="710"/>
      <c r="T126" s="710"/>
      <c r="U126" s="710"/>
      <c r="V126" s="710"/>
      <c r="W126" s="710"/>
      <c r="X126" s="710"/>
      <c r="Y126" s="710"/>
      <c r="Z126" s="710"/>
      <c r="AA126" s="710"/>
      <c r="AB126" s="710"/>
      <c r="AC126" s="710"/>
    </row>
    <row r="127" s="570" customFormat="1" ht="14.75" spans="1:29">
      <c r="A127" s="895"/>
      <c r="B127" s="867">
        <f>B45</f>
        <v>111</v>
      </c>
      <c r="C127" s="876"/>
      <c r="D127" s="876"/>
      <c r="E127" s="876"/>
      <c r="F127" s="876"/>
      <c r="G127" s="876"/>
      <c r="H127" s="877"/>
      <c r="I127" s="877"/>
      <c r="J127" s="877"/>
      <c r="K127" s="877"/>
      <c r="L127" s="912"/>
      <c r="M127" s="913"/>
      <c r="N127" s="914"/>
      <c r="O127" s="914"/>
      <c r="P127" s="915"/>
      <c r="Q127" s="947"/>
      <c r="R127" s="948"/>
      <c r="S127" s="948"/>
      <c r="T127" s="948"/>
      <c r="U127" s="948"/>
      <c r="V127" s="948"/>
      <c r="W127" s="948"/>
      <c r="X127" s="948"/>
      <c r="Y127" s="948"/>
      <c r="Z127" s="948"/>
      <c r="AA127" s="948"/>
      <c r="AB127" s="948"/>
      <c r="AC127" s="948"/>
    </row>
    <row r="128" s="570" customFormat="1" ht="14.75" spans="1:29">
      <c r="A128" s="875"/>
      <c r="B128" s="869"/>
      <c r="C128" s="878"/>
      <c r="D128" s="866"/>
      <c r="E128" s="866"/>
      <c r="F128" s="866"/>
      <c r="G128" s="878"/>
      <c r="H128" s="879"/>
      <c r="I128" s="879"/>
      <c r="J128" s="879"/>
      <c r="K128" s="879"/>
      <c r="L128" s="879"/>
      <c r="M128" s="917"/>
      <c r="N128" s="914"/>
      <c r="O128" s="914"/>
      <c r="P128" s="915"/>
      <c r="Q128" s="947"/>
      <c r="R128" s="948"/>
      <c r="S128" s="948"/>
      <c r="T128" s="948"/>
      <c r="U128" s="948"/>
      <c r="V128" s="948"/>
      <c r="W128" s="948"/>
      <c r="X128" s="948"/>
      <c r="Y128" s="948"/>
      <c r="Z128" s="948"/>
      <c r="AA128" s="948"/>
      <c r="AB128" s="948"/>
      <c r="AC128" s="948"/>
    </row>
    <row r="129" ht="14.75" spans="1:29">
      <c r="A129" s="898"/>
      <c r="B129" s="867">
        <f>B46</f>
        <v>111</v>
      </c>
      <c r="C129" s="876"/>
      <c r="D129" s="876"/>
      <c r="E129" s="876"/>
      <c r="F129" s="876"/>
      <c r="G129" s="868"/>
      <c r="H129" s="868"/>
      <c r="I129" s="868"/>
      <c r="J129" s="868"/>
      <c r="K129" s="905"/>
      <c r="L129" s="906"/>
      <c r="M129" s="907"/>
      <c r="N129" s="810"/>
      <c r="O129" s="810"/>
      <c r="P129" s="811"/>
      <c r="Q129" s="843"/>
      <c r="R129" s="710"/>
      <c r="S129" s="710"/>
      <c r="T129" s="710"/>
      <c r="U129" s="710"/>
      <c r="V129" s="710"/>
      <c r="W129" s="710"/>
      <c r="X129" s="710"/>
      <c r="Y129" s="710"/>
      <c r="Z129" s="710"/>
      <c r="AA129" s="710"/>
      <c r="AB129" s="710"/>
      <c r="AC129" s="710"/>
    </row>
    <row r="130" ht="14.75" spans="1:29">
      <c r="A130" s="864"/>
      <c r="B130" s="869"/>
      <c r="C130" s="878"/>
      <c r="D130" s="878"/>
      <c r="E130" s="878"/>
      <c r="F130" s="878"/>
      <c r="G130" s="866"/>
      <c r="H130" s="866"/>
      <c r="I130" s="866"/>
      <c r="J130" s="866"/>
      <c r="K130" s="866"/>
      <c r="L130" s="866"/>
      <c r="M130" s="903"/>
      <c r="N130" s="904"/>
      <c r="O130" s="904"/>
      <c r="P130" s="811"/>
      <c r="Q130" s="843"/>
      <c r="R130" s="710"/>
      <c r="S130" s="710"/>
      <c r="T130" s="710"/>
      <c r="U130" s="710"/>
      <c r="V130" s="710"/>
      <c r="W130" s="710"/>
      <c r="X130" s="710"/>
      <c r="Y130" s="710"/>
      <c r="Z130" s="710"/>
      <c r="AA130" s="710"/>
      <c r="AB130" s="710"/>
      <c r="AC130" s="710"/>
    </row>
    <row r="131" ht="14.75" spans="1:29">
      <c r="A131" s="898"/>
      <c r="B131" s="870">
        <f>B47</f>
        <v>111</v>
      </c>
      <c r="C131" s="739"/>
      <c r="D131" s="739"/>
      <c r="E131" s="739"/>
      <c r="F131" s="739"/>
      <c r="G131" s="892"/>
      <c r="H131" s="892"/>
      <c r="I131" s="892"/>
      <c r="J131" s="892"/>
      <c r="K131" s="739"/>
      <c r="L131" s="802"/>
      <c r="M131" s="934"/>
      <c r="N131" s="810"/>
      <c r="O131" s="810"/>
      <c r="P131" s="811"/>
      <c r="Q131" s="843"/>
      <c r="R131" s="710"/>
      <c r="S131" s="710"/>
      <c r="T131" s="710"/>
      <c r="U131" s="710"/>
      <c r="V131" s="710"/>
      <c r="W131" s="710"/>
      <c r="X131" s="710"/>
      <c r="Y131" s="710"/>
      <c r="Z131" s="710"/>
      <c r="AA131" s="710"/>
      <c r="AB131" s="710"/>
      <c r="AC131" s="710"/>
    </row>
    <row r="132" ht="14.75" spans="1:29">
      <c r="A132" s="893"/>
      <c r="B132" s="882"/>
      <c r="C132" s="883"/>
      <c r="D132" s="883"/>
      <c r="E132" s="883"/>
      <c r="F132" s="883"/>
      <c r="G132" s="894"/>
      <c r="H132" s="894"/>
      <c r="I132" s="894"/>
      <c r="J132" s="894"/>
      <c r="K132" s="894"/>
      <c r="L132" s="894"/>
      <c r="M132" s="935"/>
      <c r="N132" s="904"/>
      <c r="O132" s="904"/>
      <c r="P132" s="811"/>
      <c r="Q132" s="843"/>
      <c r="R132" s="710"/>
      <c r="S132" s="710"/>
      <c r="T132" s="710"/>
      <c r="U132" s="710"/>
      <c r="V132" s="710"/>
      <c r="W132" s="710"/>
      <c r="X132" s="710"/>
      <c r="Y132" s="710"/>
      <c r="Z132" s="710"/>
      <c r="AA132" s="710"/>
      <c r="AB132" s="710"/>
      <c r="AC132" s="71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'比较法-办公租金'!办公交易情况</formula1>
    </dataValidation>
    <dataValidation type="list" allowBlank="1" showInputMessage="1" showErrorMessage="1" sqref="E9 G9 I9">
      <formula1>'比较法-办公租金'!办公用途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'比较法-办公租金'!办公道路级别</formula1>
    </dataValidation>
    <dataValidation type="list" allowBlank="1" showInputMessage="1" showErrorMessage="1" sqref="C27 E27 G27 I27">
      <formula1>'比较法-办公租金'!办公楼层</formula1>
    </dataValidation>
    <dataValidation type="list" allowBlank="1" showInputMessage="1" showErrorMessage="1" sqref="C28 E28 G28 I28">
      <formula1>'比较法-办公租金'!办公朝向</formula1>
    </dataValidation>
    <dataValidation type="list" allowBlank="1" showInputMessage="1" showErrorMessage="1" sqref="C33 E33 G33 I33">
      <formula1>'比较法-办公租金'!办公建筑类型</formula1>
    </dataValidation>
    <dataValidation type="list" allowBlank="1" showInputMessage="1" showErrorMessage="1" sqref="C35 E35 G35 I35">
      <formula1>'比较法-办公租金'!办公建筑结构</formula1>
    </dataValidation>
    <dataValidation type="list" allowBlank="1" showInputMessage="1" showErrorMessage="1" sqref="C36 E36 G36 I36">
      <formula1>'比较法-办公租金'!办公公共部分装修</formula1>
    </dataValidation>
    <dataValidation type="list" allowBlank="1" showInputMessage="1" showErrorMessage="1" sqref="C38 E38 G38 I38">
      <formula1>'比较法-办公租金'!写字楼等级</formula1>
    </dataValidation>
    <dataValidation type="list" allowBlank="1" showInputMessage="1" showErrorMessage="1" sqref="C39 E39 G39 I39">
      <formula1>'比较法-办公租金'!办公物业管理</formula1>
    </dataValidation>
    <dataValidation type="list" allowBlank="1" showInputMessage="1" showErrorMessage="1" sqref="C40 E40 G40 I40">
      <formula1>'比较法-办公租金'!办公基础设施水平</formula1>
    </dataValidation>
    <dataValidation type="list" allowBlank="1" showInputMessage="1" showErrorMessage="1" sqref="C41 E41 G41 I41">
      <formula1>'比较法-办公租金'!办公层高</formula1>
    </dataValidation>
    <dataValidation type="list" allowBlank="1" showInputMessage="1" showErrorMessage="1" sqref="C43 E43 G43 I43">
      <formula1>'比较法-办公租金'!办公内部装修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52" workbookViewId="0">
      <selection activeCell="E73" sqref="E73"/>
    </sheetView>
  </sheetViews>
  <sheetFormatPr defaultColWidth="8.75454545454545" defaultRowHeight="14"/>
  <sheetData/>
  <pageMargins left="0.75" right="0.75" top="1" bottom="1" header="0.5" footer="0.5"/>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497" customWidth="1"/>
    <col min="14" max="14" width="10" style="497" customWidth="1"/>
    <col min="15" max="16" width="8.25454545454545" style="497"/>
    <col min="17" max="17" width="34.1272727272727" style="497" customWidth="1"/>
    <col min="18" max="18" width="8.25454545454545" style="497" customWidth="1"/>
    <col min="19" max="19" width="8.25454545454545" style="497"/>
    <col min="20" max="20" width="11.6272727272727" style="497" customWidth="1"/>
    <col min="21" max="16384" width="8.2545454545454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1916</v>
      </c>
      <c r="B2" s="501">
        <v>3.5</v>
      </c>
      <c r="C2" s="501">
        <v>3.5</v>
      </c>
      <c r="D2" s="502">
        <v>2.5</v>
      </c>
      <c r="E2" s="502">
        <v>2.5</v>
      </c>
      <c r="F2" s="502">
        <v>2.5</v>
      </c>
      <c r="G2" s="502">
        <v>2.5</v>
      </c>
      <c r="H2" s="502">
        <v>2.5</v>
      </c>
      <c r="I2" s="501">
        <v>2</v>
      </c>
      <c r="J2" s="501">
        <v>2</v>
      </c>
      <c r="K2" s="501">
        <v>2</v>
      </c>
      <c r="L2" s="501">
        <v>2</v>
      </c>
      <c r="M2" s="555">
        <v>2</v>
      </c>
    </row>
    <row r="3" customHeight="1" spans="1:13">
      <c r="A3" s="503" t="s">
        <v>1181</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1917</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1918</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1919</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1920</v>
      </c>
      <c r="B18" s="517"/>
      <c r="C18" s="518"/>
      <c r="D18" s="518"/>
      <c r="E18" s="517"/>
      <c r="F18" s="518"/>
      <c r="G18" s="518"/>
    </row>
    <row r="19" customHeight="1" spans="1:7">
      <c r="A19" s="516" t="s">
        <v>1921</v>
      </c>
      <c r="B19" s="519" t="s">
        <v>1922</v>
      </c>
      <c r="C19" s="519" t="s">
        <v>1923</v>
      </c>
      <c r="D19" s="520"/>
      <c r="E19" s="516" t="s">
        <v>1924</v>
      </c>
      <c r="F19" s="521"/>
      <c r="G19" s="521"/>
    </row>
    <row r="20" customHeight="1" spans="1:7">
      <c r="A20" s="522" t="s">
        <v>1916</v>
      </c>
      <c r="B20" s="523" t="s">
        <v>1925</v>
      </c>
      <c r="C20" s="524" t="s">
        <v>1926</v>
      </c>
      <c r="D20" s="525"/>
      <c r="E20" s="526">
        <v>1</v>
      </c>
      <c r="F20" s="527" t="s">
        <v>1927</v>
      </c>
      <c r="G20" s="527"/>
    </row>
    <row r="21" customHeight="1" spans="1:7">
      <c r="A21" s="528"/>
      <c r="B21" s="529"/>
      <c r="C21" s="530" t="s">
        <v>1928</v>
      </c>
      <c r="D21" s="531"/>
      <c r="E21" s="532">
        <v>1</v>
      </c>
      <c r="F21" s="527" t="s">
        <v>1929</v>
      </c>
      <c r="G21" s="527"/>
    </row>
    <row r="22" customHeight="1" spans="1:7">
      <c r="A22" s="528"/>
      <c r="B22" s="529"/>
      <c r="C22" s="530" t="s">
        <v>1930</v>
      </c>
      <c r="D22" s="531"/>
      <c r="E22" s="532">
        <v>0.9</v>
      </c>
      <c r="F22" s="527" t="s">
        <v>1931</v>
      </c>
      <c r="G22" s="527"/>
    </row>
    <row r="23" customHeight="1" spans="1:7">
      <c r="A23" s="528"/>
      <c r="B23" s="529"/>
      <c r="C23" s="530" t="s">
        <v>1932</v>
      </c>
      <c r="D23" s="531"/>
      <c r="E23" s="532">
        <v>0.9</v>
      </c>
      <c r="F23" s="527" t="s">
        <v>1933</v>
      </c>
      <c r="G23" s="527"/>
    </row>
    <row r="24" customHeight="1" spans="1:7">
      <c r="A24" s="528"/>
      <c r="B24" s="529"/>
      <c r="C24" s="530" t="s">
        <v>1934</v>
      </c>
      <c r="D24" s="531"/>
      <c r="E24" s="532">
        <v>0.8</v>
      </c>
      <c r="F24" s="527" t="s">
        <v>1935</v>
      </c>
      <c r="G24" s="527"/>
    </row>
    <row r="25" customHeight="1" spans="1:7">
      <c r="A25" s="533"/>
      <c r="B25" s="534"/>
      <c r="C25" s="535" t="s">
        <v>1936</v>
      </c>
      <c r="D25" s="536"/>
      <c r="E25" s="537">
        <v>0.8</v>
      </c>
      <c r="F25" s="527" t="s">
        <v>1937</v>
      </c>
      <c r="G25" s="527"/>
    </row>
    <row r="26" customHeight="1" spans="1:7">
      <c r="A26" s="538" t="s">
        <v>1181</v>
      </c>
      <c r="B26" s="539" t="s">
        <v>1925</v>
      </c>
      <c r="C26" s="540" t="s">
        <v>1938</v>
      </c>
      <c r="D26" s="541"/>
      <c r="E26" s="542">
        <v>1</v>
      </c>
      <c r="F26" s="527" t="s">
        <v>1939</v>
      </c>
      <c r="G26" s="527"/>
    </row>
    <row r="27" customHeight="1" spans="1:7">
      <c r="A27" s="543" t="s">
        <v>280</v>
      </c>
      <c r="B27" s="523" t="s">
        <v>280</v>
      </c>
      <c r="C27" s="524" t="s">
        <v>1940</v>
      </c>
      <c r="D27" s="525"/>
      <c r="E27" s="526">
        <v>1</v>
      </c>
      <c r="F27" s="527" t="s">
        <v>1941</v>
      </c>
      <c r="G27" s="527"/>
    </row>
    <row r="28" customHeight="1" spans="1:7">
      <c r="A28" s="544"/>
      <c r="B28" s="529"/>
      <c r="C28" s="530" t="s">
        <v>1942</v>
      </c>
      <c r="D28" s="531"/>
      <c r="E28" s="532">
        <v>1</v>
      </c>
      <c r="F28" s="527" t="s">
        <v>1943</v>
      </c>
      <c r="G28" s="527"/>
    </row>
    <row r="29" customHeight="1" spans="1:7">
      <c r="A29" s="544"/>
      <c r="B29" s="529"/>
      <c r="C29" s="530" t="s">
        <v>1944</v>
      </c>
      <c r="D29" s="531"/>
      <c r="E29" s="532">
        <v>0.8</v>
      </c>
      <c r="F29" s="527" t="s">
        <v>1945</v>
      </c>
      <c r="G29" s="527"/>
    </row>
    <row r="30" customHeight="1" spans="1:7">
      <c r="A30" s="544"/>
      <c r="B30" s="529"/>
      <c r="C30" s="530" t="s">
        <v>1946</v>
      </c>
      <c r="D30" s="531"/>
      <c r="E30" s="532">
        <v>0.8</v>
      </c>
      <c r="F30" s="527" t="s">
        <v>1947</v>
      </c>
      <c r="G30" s="527"/>
    </row>
    <row r="31" customHeight="1" spans="1:7">
      <c r="A31" s="544"/>
      <c r="B31" s="529"/>
      <c r="C31" s="530" t="s">
        <v>1948</v>
      </c>
      <c r="D31" s="531"/>
      <c r="E31" s="532">
        <v>0.8</v>
      </c>
      <c r="F31" s="527" t="s">
        <v>1949</v>
      </c>
      <c r="G31" s="527"/>
    </row>
    <row r="32" customHeight="1" spans="1:7">
      <c r="A32" s="544"/>
      <c r="B32" s="529"/>
      <c r="C32" s="530" t="s">
        <v>1950</v>
      </c>
      <c r="D32" s="531"/>
      <c r="E32" s="532">
        <v>0.7</v>
      </c>
      <c r="F32" s="527" t="s">
        <v>1951</v>
      </c>
      <c r="G32" s="527"/>
    </row>
    <row r="33" customHeight="1" spans="1:7">
      <c r="A33" s="544"/>
      <c r="B33" s="529"/>
      <c r="C33" s="530" t="s">
        <v>1952</v>
      </c>
      <c r="D33" s="531"/>
      <c r="E33" s="532">
        <v>0.8</v>
      </c>
      <c r="F33" s="527" t="s">
        <v>1953</v>
      </c>
      <c r="G33" s="527"/>
    </row>
    <row r="34" customHeight="1" spans="1:7">
      <c r="A34" s="544"/>
      <c r="B34" s="529"/>
      <c r="C34" s="530" t="s">
        <v>1954</v>
      </c>
      <c r="D34" s="531"/>
      <c r="E34" s="532">
        <v>0.6</v>
      </c>
      <c r="F34" s="527" t="s">
        <v>1955</v>
      </c>
      <c r="G34" s="527"/>
    </row>
    <row r="35" customHeight="1" spans="1:7">
      <c r="A35" s="544"/>
      <c r="B35" s="529"/>
      <c r="C35" s="530" t="s">
        <v>1956</v>
      </c>
      <c r="D35" s="531"/>
      <c r="E35" s="532">
        <v>0.2</v>
      </c>
      <c r="F35" s="527" t="s">
        <v>1957</v>
      </c>
      <c r="G35" s="527"/>
    </row>
    <row r="36" customHeight="1" spans="1:7">
      <c r="A36" s="544"/>
      <c r="B36" s="529"/>
      <c r="C36" s="530" t="s">
        <v>1958</v>
      </c>
      <c r="D36" s="531"/>
      <c r="E36" s="532">
        <v>0.2</v>
      </c>
      <c r="F36" s="527" t="s">
        <v>1959</v>
      </c>
      <c r="G36" s="527"/>
    </row>
    <row r="37" customHeight="1" spans="1:7">
      <c r="A37" s="544"/>
      <c r="B37" s="545" t="s">
        <v>1960</v>
      </c>
      <c r="C37" s="530" t="s">
        <v>1961</v>
      </c>
      <c r="D37" s="531"/>
      <c r="E37" s="532">
        <v>0.6</v>
      </c>
      <c r="F37" s="527" t="s">
        <v>1962</v>
      </c>
      <c r="G37" s="527"/>
    </row>
    <row r="38" customHeight="1" spans="1:7">
      <c r="A38" s="544"/>
      <c r="B38" s="529"/>
      <c r="C38" s="530" t="s">
        <v>1963</v>
      </c>
      <c r="D38" s="531"/>
      <c r="E38" s="532">
        <v>0.6</v>
      </c>
      <c r="F38" s="527" t="s">
        <v>1964</v>
      </c>
      <c r="G38" s="527"/>
    </row>
    <row r="39" customHeight="1" spans="1:7">
      <c r="A39" s="546"/>
      <c r="B39" s="534"/>
      <c r="C39" s="535" t="s">
        <v>1965</v>
      </c>
      <c r="D39" s="536"/>
      <c r="E39" s="537">
        <v>0.6</v>
      </c>
      <c r="F39" s="527" t="s">
        <v>1966</v>
      </c>
      <c r="G39" s="527"/>
    </row>
    <row r="40" customHeight="1" spans="1:7">
      <c r="A40" s="538" t="s">
        <v>412</v>
      </c>
      <c r="B40" s="539" t="s">
        <v>412</v>
      </c>
      <c r="C40" s="540" t="s">
        <v>1967</v>
      </c>
      <c r="D40" s="541"/>
      <c r="E40" s="542">
        <v>1</v>
      </c>
      <c r="F40" s="527" t="s">
        <v>1968</v>
      </c>
      <c r="G40" s="527"/>
    </row>
    <row r="41" customHeight="1" spans="1:7">
      <c r="A41" s="522" t="s">
        <v>408</v>
      </c>
      <c r="B41" s="523" t="s">
        <v>1969</v>
      </c>
      <c r="C41" s="524" t="s">
        <v>1724</v>
      </c>
      <c r="D41" s="525"/>
      <c r="E41" s="526">
        <v>1</v>
      </c>
      <c r="F41" s="527" t="s">
        <v>1970</v>
      </c>
      <c r="G41" s="527"/>
    </row>
    <row r="42" customHeight="1" spans="1:7">
      <c r="A42" s="528"/>
      <c r="B42" s="529"/>
      <c r="C42" s="530" t="s">
        <v>1971</v>
      </c>
      <c r="D42" s="531"/>
      <c r="E42" s="532">
        <v>1</v>
      </c>
      <c r="F42" s="527" t="s">
        <v>1972</v>
      </c>
      <c r="G42" s="527"/>
    </row>
    <row r="43" customHeight="1" spans="1:7">
      <c r="A43" s="528"/>
      <c r="B43" s="547"/>
      <c r="C43" s="530" t="s">
        <v>1973</v>
      </c>
      <c r="D43" s="531"/>
      <c r="E43" s="532">
        <v>1.5</v>
      </c>
      <c r="F43" s="527" t="s">
        <v>1974</v>
      </c>
      <c r="G43" s="527"/>
    </row>
    <row r="44" customHeight="1" spans="1:7">
      <c r="A44" s="528"/>
      <c r="B44" s="548" t="s">
        <v>280</v>
      </c>
      <c r="C44" s="530" t="s">
        <v>1917</v>
      </c>
      <c r="D44" s="531"/>
      <c r="E44" s="532">
        <v>2</v>
      </c>
      <c r="F44" s="527" t="s">
        <v>1975</v>
      </c>
      <c r="G44" s="527"/>
    </row>
    <row r="45" customHeight="1" spans="1:7">
      <c r="A45" s="528"/>
      <c r="B45" s="545" t="s">
        <v>1976</v>
      </c>
      <c r="C45" s="530" t="s">
        <v>1977</v>
      </c>
      <c r="D45" s="531"/>
      <c r="E45" s="532">
        <v>1</v>
      </c>
      <c r="F45" s="527" t="s">
        <v>1978</v>
      </c>
      <c r="G45" s="527"/>
    </row>
    <row r="46" customHeight="1" spans="1:7">
      <c r="A46" s="528"/>
      <c r="B46" s="529"/>
      <c r="C46" s="530" t="s">
        <v>1979</v>
      </c>
      <c r="D46" s="531"/>
      <c r="E46" s="532">
        <v>1</v>
      </c>
      <c r="F46" s="527" t="s">
        <v>1980</v>
      </c>
      <c r="G46" s="527"/>
    </row>
    <row r="47" customHeight="1" spans="1:7">
      <c r="A47" s="528"/>
      <c r="B47" s="529"/>
      <c r="C47" s="530" t="s">
        <v>1981</v>
      </c>
      <c r="D47" s="531"/>
      <c r="E47" s="532">
        <v>1</v>
      </c>
      <c r="F47" s="527" t="s">
        <v>1982</v>
      </c>
      <c r="G47" s="527"/>
    </row>
    <row r="48" customHeight="1" spans="1:7">
      <c r="A48" s="528"/>
      <c r="B48" s="529"/>
      <c r="C48" s="530" t="s">
        <v>1983</v>
      </c>
      <c r="D48" s="531"/>
      <c r="E48" s="532">
        <v>1</v>
      </c>
      <c r="F48" s="527" t="s">
        <v>1984</v>
      </c>
      <c r="G48" s="527"/>
    </row>
    <row r="49" customHeight="1" spans="1:7">
      <c r="A49" s="528"/>
      <c r="B49" s="529"/>
      <c r="C49" s="530" t="s">
        <v>1985</v>
      </c>
      <c r="D49" s="531"/>
      <c r="E49" s="532">
        <v>1</v>
      </c>
      <c r="F49" s="527" t="s">
        <v>1986</v>
      </c>
      <c r="G49" s="527"/>
    </row>
    <row r="50" customHeight="1" spans="1:7">
      <c r="A50" s="528"/>
      <c r="B50" s="529"/>
      <c r="C50" s="530" t="s">
        <v>1987</v>
      </c>
      <c r="D50" s="531"/>
      <c r="E50" s="532">
        <v>1</v>
      </c>
      <c r="F50" s="527" t="s">
        <v>1988</v>
      </c>
      <c r="G50" s="527"/>
    </row>
    <row r="51" customHeight="1" spans="1:7">
      <c r="A51" s="533"/>
      <c r="B51" s="534"/>
      <c r="C51" s="535" t="s">
        <v>1989</v>
      </c>
      <c r="D51" s="536"/>
      <c r="E51" s="537">
        <v>1</v>
      </c>
      <c r="F51" s="527" t="s">
        <v>1990</v>
      </c>
      <c r="G51" s="527"/>
    </row>
    <row r="52" customHeight="1" spans="1:7">
      <c r="A52" s="549"/>
      <c r="B52" s="549"/>
      <c r="C52" s="549"/>
      <c r="D52" s="549"/>
      <c r="E52" s="549"/>
      <c r="F52" s="549"/>
      <c r="G52" s="549"/>
    </row>
    <row r="54" customHeight="1" spans="1:7">
      <c r="A54" s="550"/>
      <c r="B54" s="514" t="s">
        <v>1991</v>
      </c>
      <c r="C54" s="514" t="s">
        <v>1991</v>
      </c>
      <c r="D54" s="514" t="s">
        <v>1991</v>
      </c>
      <c r="E54" s="516" t="s">
        <v>1991</v>
      </c>
      <c r="F54" s="516" t="s">
        <v>1992</v>
      </c>
      <c r="G54" s="516" t="s">
        <v>1991</v>
      </c>
    </row>
    <row r="55" customHeight="1" spans="1:7">
      <c r="A55" s="551"/>
      <c r="B55" s="516" t="s">
        <v>1916</v>
      </c>
      <c r="C55" s="516" t="s">
        <v>1916</v>
      </c>
      <c r="D55" s="516" t="s">
        <v>1916</v>
      </c>
      <c r="E55" s="514" t="s">
        <v>1181</v>
      </c>
      <c r="F55" s="514" t="s">
        <v>408</v>
      </c>
      <c r="G55" s="514" t="s">
        <v>1496</v>
      </c>
    </row>
    <row r="56" customHeight="1" spans="1:7">
      <c r="A56" s="552"/>
      <c r="B56" s="514">
        <v>1</v>
      </c>
      <c r="C56" s="514">
        <v>2</v>
      </c>
      <c r="D56" s="514">
        <v>3</v>
      </c>
      <c r="E56" s="553" t="s">
        <v>1993</v>
      </c>
      <c r="F56" s="553" t="s">
        <v>1993</v>
      </c>
      <c r="G56" s="553" t="s">
        <v>1993</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1994</v>
      </c>
      <c r="E70" s="565"/>
      <c r="F70" s="565"/>
    </row>
    <row r="71" customHeight="1" spans="1:6">
      <c r="A71" s="548" t="s">
        <v>1995</v>
      </c>
      <c r="B71" s="548" t="s">
        <v>1996</v>
      </c>
      <c r="C71" s="548" t="s">
        <v>1997</v>
      </c>
      <c r="D71" s="548" t="s">
        <v>1998</v>
      </c>
      <c r="E71" s="548" t="s">
        <v>1999</v>
      </c>
      <c r="F71" s="548" t="s">
        <v>2000</v>
      </c>
    </row>
    <row r="72" ht="14" spans="1:6">
      <c r="A72" s="548"/>
      <c r="B72" s="548"/>
      <c r="C72" s="548" t="s">
        <v>1741</v>
      </c>
      <c r="D72" s="548"/>
      <c r="E72" s="548" t="s">
        <v>124</v>
      </c>
      <c r="F72" s="548" t="s">
        <v>124</v>
      </c>
    </row>
    <row r="73" ht="14" spans="1:6">
      <c r="A73" s="548">
        <v>1</v>
      </c>
      <c r="B73" s="545" t="s">
        <v>2001</v>
      </c>
      <c r="C73" s="514" t="s">
        <v>2002</v>
      </c>
      <c r="D73" s="514" t="s">
        <v>2003</v>
      </c>
      <c r="E73" s="548">
        <v>0.2</v>
      </c>
      <c r="F73" s="548">
        <v>25</v>
      </c>
    </row>
    <row r="74" ht="26" spans="1:6">
      <c r="A74" s="548">
        <v>2</v>
      </c>
      <c r="B74" s="529"/>
      <c r="C74" s="514" t="s">
        <v>2004</v>
      </c>
      <c r="D74" s="514" t="s">
        <v>2005</v>
      </c>
      <c r="E74" s="548">
        <v>0.2</v>
      </c>
      <c r="F74" s="548">
        <v>25</v>
      </c>
    </row>
    <row r="75" ht="26" spans="1:6">
      <c r="A75" s="548">
        <v>3</v>
      </c>
      <c r="B75" s="529"/>
      <c r="C75" s="514" t="s">
        <v>2006</v>
      </c>
      <c r="D75" s="514" t="s">
        <v>2007</v>
      </c>
      <c r="E75" s="548">
        <v>0.2</v>
      </c>
      <c r="F75" s="548">
        <v>25</v>
      </c>
    </row>
    <row r="76" ht="14" spans="1:6">
      <c r="A76" s="548">
        <v>4</v>
      </c>
      <c r="B76" s="529"/>
      <c r="C76" s="514" t="s">
        <v>2008</v>
      </c>
      <c r="D76" s="514" t="s">
        <v>2009</v>
      </c>
      <c r="E76" s="548">
        <v>0.15</v>
      </c>
      <c r="F76" s="548">
        <v>20</v>
      </c>
    </row>
    <row r="77" ht="26" spans="1:6">
      <c r="A77" s="548">
        <v>5</v>
      </c>
      <c r="B77" s="529"/>
      <c r="C77" s="514" t="s">
        <v>2010</v>
      </c>
      <c r="D77" s="514" t="s">
        <v>2011</v>
      </c>
      <c r="E77" s="548">
        <v>0.15</v>
      </c>
      <c r="F77" s="548">
        <v>20</v>
      </c>
    </row>
    <row r="78" ht="26" spans="1:6">
      <c r="A78" s="548">
        <v>6</v>
      </c>
      <c r="B78" s="529"/>
      <c r="C78" s="514" t="s">
        <v>2012</v>
      </c>
      <c r="D78" s="514" t="s">
        <v>2013</v>
      </c>
      <c r="E78" s="548">
        <v>0.15</v>
      </c>
      <c r="F78" s="548">
        <v>20</v>
      </c>
    </row>
    <row r="79" ht="26" spans="1:6">
      <c r="A79" s="548">
        <v>7</v>
      </c>
      <c r="B79" s="529"/>
      <c r="C79" s="514" t="s">
        <v>2014</v>
      </c>
      <c r="D79" s="514" t="s">
        <v>2015</v>
      </c>
      <c r="E79" s="548">
        <v>0.15</v>
      </c>
      <c r="F79" s="548">
        <v>20</v>
      </c>
    </row>
    <row r="80" ht="26" spans="1:6">
      <c r="A80" s="548">
        <v>8</v>
      </c>
      <c r="B80" s="529"/>
      <c r="C80" s="514" t="s">
        <v>2016</v>
      </c>
      <c r="D80" s="514" t="s">
        <v>2017</v>
      </c>
      <c r="E80" s="548">
        <v>0.1</v>
      </c>
      <c r="F80" s="548">
        <v>15</v>
      </c>
    </row>
    <row r="81" ht="26" spans="1:6">
      <c r="A81" s="548">
        <v>9</v>
      </c>
      <c r="B81" s="529"/>
      <c r="C81" s="514" t="s">
        <v>2018</v>
      </c>
      <c r="D81" s="514" t="s">
        <v>2019</v>
      </c>
      <c r="E81" s="548">
        <v>0.1</v>
      </c>
      <c r="F81" s="548">
        <v>15</v>
      </c>
    </row>
    <row r="82" ht="26" spans="1:6">
      <c r="A82" s="548">
        <v>10</v>
      </c>
      <c r="B82" s="529"/>
      <c r="C82" s="514" t="s">
        <v>2020</v>
      </c>
      <c r="D82" s="514" t="s">
        <v>2021</v>
      </c>
      <c r="E82" s="548">
        <v>0.1</v>
      </c>
      <c r="F82" s="548">
        <v>15</v>
      </c>
    </row>
    <row r="83" ht="26" spans="1:6">
      <c r="A83" s="548">
        <v>11</v>
      </c>
      <c r="B83" s="529"/>
      <c r="C83" s="514" t="s">
        <v>2022</v>
      </c>
      <c r="D83" s="514" t="s">
        <v>2023</v>
      </c>
      <c r="E83" s="548">
        <v>0.1</v>
      </c>
      <c r="F83" s="548">
        <v>15</v>
      </c>
    </row>
    <row r="84" ht="26" spans="1:6">
      <c r="A84" s="548">
        <v>12</v>
      </c>
      <c r="B84" s="529"/>
      <c r="C84" s="514" t="s">
        <v>2024</v>
      </c>
      <c r="D84" s="514" t="s">
        <v>2025</v>
      </c>
      <c r="E84" s="548">
        <v>0.1</v>
      </c>
      <c r="F84" s="548">
        <v>15</v>
      </c>
    </row>
    <row r="85" ht="14" spans="1:6">
      <c r="A85" s="548">
        <v>13</v>
      </c>
      <c r="B85" s="529"/>
      <c r="C85" s="514" t="s">
        <v>2026</v>
      </c>
      <c r="D85" s="514" t="s">
        <v>2027</v>
      </c>
      <c r="E85" s="548">
        <v>0.1</v>
      </c>
      <c r="F85" s="548">
        <v>15</v>
      </c>
    </row>
    <row r="86" ht="14" spans="1:6">
      <c r="A86" s="548">
        <v>14</v>
      </c>
      <c r="B86" s="529"/>
      <c r="C86" s="514" t="s">
        <v>2028</v>
      </c>
      <c r="D86" s="514" t="s">
        <v>2029</v>
      </c>
      <c r="E86" s="548">
        <v>0.1</v>
      </c>
      <c r="F86" s="548">
        <v>15</v>
      </c>
    </row>
    <row r="87" ht="14" spans="1:6">
      <c r="A87" s="548">
        <v>15</v>
      </c>
      <c r="B87" s="529"/>
      <c r="C87" s="514" t="s">
        <v>2030</v>
      </c>
      <c r="D87" s="514" t="s">
        <v>2031</v>
      </c>
      <c r="E87" s="548">
        <v>0.1</v>
      </c>
      <c r="F87" s="548">
        <v>15</v>
      </c>
    </row>
    <row r="88" ht="26" spans="1:6">
      <c r="A88" s="548">
        <v>16</v>
      </c>
      <c r="B88" s="529"/>
      <c r="C88" s="514" t="s">
        <v>2032</v>
      </c>
      <c r="D88" s="514" t="s">
        <v>2033</v>
      </c>
      <c r="E88" s="548">
        <v>0.1</v>
      </c>
      <c r="F88" s="548">
        <v>15</v>
      </c>
    </row>
    <row r="89" ht="26" spans="1:6">
      <c r="A89" s="548">
        <v>17</v>
      </c>
      <c r="B89" s="547"/>
      <c r="C89" s="514" t="s">
        <v>2034</v>
      </c>
      <c r="D89" s="514" t="s">
        <v>2035</v>
      </c>
      <c r="E89" s="548">
        <v>0.1</v>
      </c>
      <c r="F89" s="548">
        <v>15</v>
      </c>
    </row>
    <row r="90" ht="14" spans="1:6">
      <c r="A90" s="548">
        <v>18</v>
      </c>
      <c r="B90" s="545" t="s">
        <v>2036</v>
      </c>
      <c r="C90" s="514" t="s">
        <v>2037</v>
      </c>
      <c r="D90" s="514" t="s">
        <v>2038</v>
      </c>
      <c r="E90" s="548">
        <v>0.2</v>
      </c>
      <c r="F90" s="548">
        <v>25</v>
      </c>
    </row>
    <row r="91" ht="26" spans="1:6">
      <c r="A91" s="548">
        <v>19</v>
      </c>
      <c r="B91" s="529"/>
      <c r="C91" s="514" t="s">
        <v>2039</v>
      </c>
      <c r="D91" s="514" t="s">
        <v>2040</v>
      </c>
      <c r="E91" s="548">
        <v>0.2</v>
      </c>
      <c r="F91" s="548">
        <v>25</v>
      </c>
    </row>
    <row r="92" ht="14" spans="1:6">
      <c r="A92" s="548">
        <v>20</v>
      </c>
      <c r="B92" s="529"/>
      <c r="C92" s="514" t="s">
        <v>2041</v>
      </c>
      <c r="D92" s="514" t="s">
        <v>2042</v>
      </c>
      <c r="E92" s="548">
        <v>0.15</v>
      </c>
      <c r="F92" s="548">
        <v>20</v>
      </c>
    </row>
    <row r="93" ht="26" spans="1:6">
      <c r="A93" s="548">
        <v>21</v>
      </c>
      <c r="B93" s="529"/>
      <c r="C93" s="514" t="s">
        <v>2043</v>
      </c>
      <c r="D93" s="514" t="s">
        <v>2044</v>
      </c>
      <c r="E93" s="548">
        <v>0.15</v>
      </c>
      <c r="F93" s="548">
        <v>20</v>
      </c>
    </row>
    <row r="94" ht="26" spans="1:6">
      <c r="A94" s="548">
        <v>22</v>
      </c>
      <c r="B94" s="529"/>
      <c r="C94" s="514" t="s">
        <v>2045</v>
      </c>
      <c r="D94" s="514" t="s">
        <v>2046</v>
      </c>
      <c r="E94" s="548">
        <v>0.15</v>
      </c>
      <c r="F94" s="548">
        <v>20</v>
      </c>
    </row>
    <row r="95" ht="39" spans="1:6">
      <c r="A95" s="548">
        <v>23</v>
      </c>
      <c r="B95" s="529"/>
      <c r="C95" s="514" t="s">
        <v>2047</v>
      </c>
      <c r="D95" s="514" t="s">
        <v>2048</v>
      </c>
      <c r="E95" s="548">
        <v>0.15</v>
      </c>
      <c r="F95" s="548">
        <v>20</v>
      </c>
    </row>
    <row r="96" ht="14" spans="1:6">
      <c r="A96" s="548">
        <v>24</v>
      </c>
      <c r="B96" s="529"/>
      <c r="C96" s="514" t="s">
        <v>2049</v>
      </c>
      <c r="D96" s="514" t="s">
        <v>2050</v>
      </c>
      <c r="E96" s="548">
        <v>0.1</v>
      </c>
      <c r="F96" s="548">
        <v>15</v>
      </c>
    </row>
    <row r="97" ht="26" spans="1:6">
      <c r="A97" s="548">
        <v>25</v>
      </c>
      <c r="B97" s="529"/>
      <c r="C97" s="514" t="s">
        <v>2051</v>
      </c>
      <c r="D97" s="514" t="s">
        <v>2052</v>
      </c>
      <c r="E97" s="548">
        <v>0.1</v>
      </c>
      <c r="F97" s="548">
        <v>15</v>
      </c>
    </row>
    <row r="98" ht="26" spans="1:6">
      <c r="A98" s="548">
        <v>26</v>
      </c>
      <c r="B98" s="529"/>
      <c r="C98" s="514" t="s">
        <v>2053</v>
      </c>
      <c r="D98" s="514" t="s">
        <v>2054</v>
      </c>
      <c r="E98" s="548">
        <v>0.1</v>
      </c>
      <c r="F98" s="548">
        <v>15</v>
      </c>
    </row>
    <row r="99" ht="26" spans="1:6">
      <c r="A99" s="548">
        <v>27</v>
      </c>
      <c r="B99" s="529"/>
      <c r="C99" s="514" t="s">
        <v>2055</v>
      </c>
      <c r="D99" s="514" t="s">
        <v>2056</v>
      </c>
      <c r="E99" s="548">
        <v>0.1</v>
      </c>
      <c r="F99" s="548">
        <v>15</v>
      </c>
    </row>
    <row r="100" ht="26" spans="1:6">
      <c r="A100" s="548">
        <v>28</v>
      </c>
      <c r="B100" s="529"/>
      <c r="C100" s="514" t="s">
        <v>2057</v>
      </c>
      <c r="D100" s="514" t="s">
        <v>2058</v>
      </c>
      <c r="E100" s="548">
        <v>0.1</v>
      </c>
      <c r="F100" s="548">
        <v>15</v>
      </c>
    </row>
    <row r="101" ht="26" spans="1:6">
      <c r="A101" s="548">
        <v>29</v>
      </c>
      <c r="B101" s="529"/>
      <c r="C101" s="514" t="s">
        <v>2059</v>
      </c>
      <c r="D101" s="514" t="s">
        <v>2060</v>
      </c>
      <c r="E101" s="548">
        <v>0.1</v>
      </c>
      <c r="F101" s="548">
        <v>15</v>
      </c>
    </row>
    <row r="102" ht="26" spans="1:6">
      <c r="A102" s="548">
        <v>30</v>
      </c>
      <c r="B102" s="529"/>
      <c r="C102" s="514" t="s">
        <v>2061</v>
      </c>
      <c r="D102" s="514" t="s">
        <v>2062</v>
      </c>
      <c r="E102" s="548">
        <v>0.1</v>
      </c>
      <c r="F102" s="548">
        <v>15</v>
      </c>
    </row>
    <row r="103" ht="26" spans="1:6">
      <c r="A103" s="548">
        <v>31</v>
      </c>
      <c r="B103" s="529"/>
      <c r="C103" s="514" t="s">
        <v>2063</v>
      </c>
      <c r="D103" s="514" t="s">
        <v>2064</v>
      </c>
      <c r="E103" s="548">
        <v>0.1</v>
      </c>
      <c r="F103" s="548">
        <v>15</v>
      </c>
    </row>
    <row r="104" ht="26" spans="1:6">
      <c r="A104" s="548">
        <v>32</v>
      </c>
      <c r="B104" s="529"/>
      <c r="C104" s="514" t="s">
        <v>2065</v>
      </c>
      <c r="D104" s="514" t="s">
        <v>2066</v>
      </c>
      <c r="E104" s="548">
        <v>0.1</v>
      </c>
      <c r="F104" s="548">
        <v>15</v>
      </c>
    </row>
    <row r="105" ht="26" spans="1:6">
      <c r="A105" s="548">
        <v>33</v>
      </c>
      <c r="B105" s="529"/>
      <c r="C105" s="514" t="s">
        <v>2067</v>
      </c>
      <c r="D105" s="514" t="s">
        <v>2068</v>
      </c>
      <c r="E105" s="548">
        <v>0.1</v>
      </c>
      <c r="F105" s="548">
        <v>15</v>
      </c>
    </row>
    <row r="106" ht="26" spans="1:6">
      <c r="A106" s="548">
        <v>34</v>
      </c>
      <c r="B106" s="547"/>
      <c r="C106" s="514" t="s">
        <v>2069</v>
      </c>
      <c r="D106" s="514" t="s">
        <v>2070</v>
      </c>
      <c r="E106" s="548">
        <v>0.1</v>
      </c>
      <c r="F106" s="548">
        <v>15</v>
      </c>
    </row>
    <row r="107" ht="26" spans="1:6">
      <c r="A107" s="548">
        <v>35</v>
      </c>
      <c r="B107" s="545" t="s">
        <v>2071</v>
      </c>
      <c r="C107" s="548" t="s">
        <v>2072</v>
      </c>
      <c r="D107" s="514" t="s">
        <v>2073</v>
      </c>
      <c r="E107" s="548">
        <v>0.15</v>
      </c>
      <c r="F107" s="548">
        <v>20</v>
      </c>
    </row>
    <row r="108" ht="26" spans="1:6">
      <c r="A108" s="548">
        <v>36</v>
      </c>
      <c r="B108" s="529"/>
      <c r="C108" s="548" t="s">
        <v>2074</v>
      </c>
      <c r="D108" s="514" t="s">
        <v>2075</v>
      </c>
      <c r="E108" s="548">
        <v>0.15</v>
      </c>
      <c r="F108" s="548">
        <v>20</v>
      </c>
    </row>
    <row r="109" ht="26" spans="1:6">
      <c r="A109" s="548">
        <v>37</v>
      </c>
      <c r="B109" s="529"/>
      <c r="C109" s="548" t="s">
        <v>2076</v>
      </c>
      <c r="D109" s="514" t="s">
        <v>2077</v>
      </c>
      <c r="E109" s="548">
        <v>0.15</v>
      </c>
      <c r="F109" s="548">
        <v>20</v>
      </c>
    </row>
    <row r="110" ht="14" spans="1:6">
      <c r="A110" s="548">
        <v>38</v>
      </c>
      <c r="B110" s="529"/>
      <c r="C110" s="548" t="s">
        <v>2078</v>
      </c>
      <c r="D110" s="514" t="s">
        <v>2079</v>
      </c>
      <c r="E110" s="548">
        <v>0.1</v>
      </c>
      <c r="F110" s="548">
        <v>15</v>
      </c>
    </row>
    <row r="111" ht="26" spans="1:6">
      <c r="A111" s="548">
        <v>39</v>
      </c>
      <c r="B111" s="529"/>
      <c r="C111" s="548" t="s">
        <v>2080</v>
      </c>
      <c r="D111" s="514" t="s">
        <v>2081</v>
      </c>
      <c r="E111" s="548">
        <v>0.1</v>
      </c>
      <c r="F111" s="548">
        <v>15</v>
      </c>
    </row>
    <row r="112" ht="26" spans="1:6">
      <c r="A112" s="548">
        <v>40</v>
      </c>
      <c r="B112" s="547"/>
      <c r="C112" s="548" t="s">
        <v>2082</v>
      </c>
      <c r="D112" s="514" t="s">
        <v>2083</v>
      </c>
      <c r="E112" s="548">
        <v>0.1</v>
      </c>
      <c r="F112" s="548">
        <v>15</v>
      </c>
    </row>
    <row r="113" ht="26" spans="1:6">
      <c r="A113" s="548">
        <v>41</v>
      </c>
      <c r="B113" s="548" t="s">
        <v>2084</v>
      </c>
      <c r="C113" s="548" t="s">
        <v>2085</v>
      </c>
      <c r="D113" s="514" t="s">
        <v>2086</v>
      </c>
      <c r="E113" s="548">
        <v>0.1</v>
      </c>
      <c r="F113" s="548">
        <v>15</v>
      </c>
    </row>
    <row r="114" ht="14" spans="1:6">
      <c r="A114" s="548">
        <v>42</v>
      </c>
      <c r="B114" s="548"/>
      <c r="C114" s="548" t="s">
        <v>2087</v>
      </c>
      <c r="D114" s="514" t="s">
        <v>2088</v>
      </c>
      <c r="E114" s="548">
        <v>0.1</v>
      </c>
      <c r="F114" s="548">
        <v>15</v>
      </c>
    </row>
    <row r="115" ht="26" spans="1:6">
      <c r="A115" s="548">
        <v>43</v>
      </c>
      <c r="B115" s="548"/>
      <c r="C115" s="548" t="s">
        <v>2089</v>
      </c>
      <c r="D115" s="514" t="s">
        <v>2090</v>
      </c>
      <c r="E115" s="548">
        <v>0.1</v>
      </c>
      <c r="F115" s="548">
        <v>15</v>
      </c>
    </row>
    <row r="116" ht="26" spans="1:6">
      <c r="A116" s="548">
        <v>44</v>
      </c>
      <c r="B116" s="545" t="s">
        <v>2091</v>
      </c>
      <c r="C116" s="548" t="s">
        <v>2092</v>
      </c>
      <c r="D116" s="514" t="s">
        <v>2093</v>
      </c>
      <c r="E116" s="548">
        <v>0.1</v>
      </c>
      <c r="F116" s="548">
        <v>15</v>
      </c>
    </row>
    <row r="117" ht="26" spans="1:6">
      <c r="A117" s="548">
        <v>45</v>
      </c>
      <c r="B117" s="547"/>
      <c r="C117" s="514" t="s">
        <v>2094</v>
      </c>
      <c r="D117" s="514" t="s">
        <v>2095</v>
      </c>
      <c r="E117" s="548">
        <v>0.1</v>
      </c>
      <c r="F117" s="548">
        <v>15</v>
      </c>
    </row>
    <row r="118" ht="26" spans="1:6">
      <c r="A118" s="548">
        <v>46</v>
      </c>
      <c r="B118" s="545" t="s">
        <v>2096</v>
      </c>
      <c r="C118" s="548" t="s">
        <v>2097</v>
      </c>
      <c r="D118" s="514" t="s">
        <v>2098</v>
      </c>
      <c r="E118" s="548">
        <v>0.1</v>
      </c>
      <c r="F118" s="548">
        <v>15</v>
      </c>
    </row>
    <row r="119" ht="26" spans="1:6">
      <c r="A119" s="548">
        <v>47</v>
      </c>
      <c r="B119" s="547"/>
      <c r="C119" s="548" t="s">
        <v>2099</v>
      </c>
      <c r="D119" s="514" t="s">
        <v>2100</v>
      </c>
      <c r="E119" s="548">
        <v>0.1</v>
      </c>
      <c r="F119" s="548">
        <v>15</v>
      </c>
    </row>
    <row r="120" ht="26" spans="1:6">
      <c r="A120" s="548">
        <v>48</v>
      </c>
      <c r="B120" s="545" t="s">
        <v>2101</v>
      </c>
      <c r="C120" s="548" t="s">
        <v>2102</v>
      </c>
      <c r="D120" s="514" t="s">
        <v>2103</v>
      </c>
      <c r="E120" s="548">
        <v>0.1</v>
      </c>
      <c r="F120" s="548">
        <v>15</v>
      </c>
    </row>
    <row r="121" ht="14" spans="1:6">
      <c r="A121" s="548">
        <v>49</v>
      </c>
      <c r="B121" s="547"/>
      <c r="C121" s="548" t="s">
        <v>2104</v>
      </c>
      <c r="D121" s="514" t="s">
        <v>2105</v>
      </c>
      <c r="E121" s="548">
        <v>0.1</v>
      </c>
      <c r="F121" s="548">
        <v>15</v>
      </c>
    </row>
    <row r="122" ht="26" spans="1:6">
      <c r="A122" s="548">
        <v>50</v>
      </c>
      <c r="B122" s="548" t="s">
        <v>2106</v>
      </c>
      <c r="C122" s="548" t="s">
        <v>2107</v>
      </c>
      <c r="D122" s="514" t="s">
        <v>2108</v>
      </c>
      <c r="E122" s="548">
        <v>0.1</v>
      </c>
      <c r="F122" s="548">
        <v>15</v>
      </c>
    </row>
    <row r="123" ht="26" spans="1:6">
      <c r="A123" s="548">
        <v>51</v>
      </c>
      <c r="B123" s="548"/>
      <c r="C123" s="548" t="s">
        <v>2109</v>
      </c>
      <c r="D123" s="514" t="s">
        <v>2110</v>
      </c>
      <c r="E123" s="548">
        <v>0.1</v>
      </c>
      <c r="F123" s="548">
        <v>15</v>
      </c>
    </row>
    <row r="124" ht="26" spans="1:6">
      <c r="A124" s="548">
        <v>52</v>
      </c>
      <c r="B124" s="548" t="s">
        <v>2111</v>
      </c>
      <c r="C124" s="548" t="s">
        <v>2112</v>
      </c>
      <c r="D124" s="514" t="s">
        <v>2113</v>
      </c>
      <c r="E124" s="548">
        <v>0.1</v>
      </c>
      <c r="F124" s="548">
        <v>15</v>
      </c>
    </row>
    <row r="125" ht="26" spans="1:6">
      <c r="A125" s="548">
        <v>53</v>
      </c>
      <c r="B125" s="548"/>
      <c r="C125" s="548" t="s">
        <v>2114</v>
      </c>
      <c r="D125" s="514" t="s">
        <v>2115</v>
      </c>
      <c r="E125" s="548">
        <v>0.1</v>
      </c>
      <c r="F125" s="548">
        <v>15</v>
      </c>
    </row>
    <row r="126" ht="26" spans="1:6">
      <c r="A126" s="548">
        <v>54</v>
      </c>
      <c r="B126" s="548" t="s">
        <v>2116</v>
      </c>
      <c r="C126" s="548" t="s">
        <v>2117</v>
      </c>
      <c r="D126" s="514" t="s">
        <v>2118</v>
      </c>
      <c r="E126" s="548">
        <v>0.1</v>
      </c>
      <c r="F126" s="548">
        <v>15</v>
      </c>
    </row>
    <row r="127" ht="14" spans="1:6">
      <c r="A127" s="548">
        <v>55</v>
      </c>
      <c r="B127" s="548" t="s">
        <v>2119</v>
      </c>
      <c r="C127" s="548" t="s">
        <v>2120</v>
      </c>
      <c r="D127" s="514" t="s">
        <v>2121</v>
      </c>
      <c r="E127" s="548">
        <v>0.1</v>
      </c>
      <c r="F127" s="548">
        <v>15</v>
      </c>
    </row>
    <row r="128" ht="14" spans="1:6">
      <c r="A128" s="548">
        <v>56</v>
      </c>
      <c r="B128" s="548"/>
      <c r="C128" s="548" t="s">
        <v>2122</v>
      </c>
      <c r="D128" s="514" t="s">
        <v>2123</v>
      </c>
      <c r="E128" s="548">
        <v>0.1</v>
      </c>
      <c r="F128" s="548">
        <v>15</v>
      </c>
    </row>
    <row r="129" ht="26" spans="1:6">
      <c r="A129" s="548">
        <v>57</v>
      </c>
      <c r="B129" s="548"/>
      <c r="C129" s="548" t="s">
        <v>2124</v>
      </c>
      <c r="D129" s="514" t="s">
        <v>2125</v>
      </c>
      <c r="E129" s="548">
        <v>0.1</v>
      </c>
      <c r="F129" s="548">
        <v>15</v>
      </c>
    </row>
    <row r="130" ht="26" spans="1:6">
      <c r="A130" s="548">
        <v>58</v>
      </c>
      <c r="B130" s="548" t="s">
        <v>2126</v>
      </c>
      <c r="C130" s="548" t="s">
        <v>2127</v>
      </c>
      <c r="D130" s="514" t="s">
        <v>2128</v>
      </c>
      <c r="E130" s="548">
        <v>0.1</v>
      </c>
      <c r="F130" s="548">
        <v>15</v>
      </c>
    </row>
    <row r="131" ht="26" spans="1:6">
      <c r="A131" s="548">
        <v>59</v>
      </c>
      <c r="B131" s="548"/>
      <c r="C131" s="548" t="s">
        <v>2129</v>
      </c>
      <c r="D131" s="514" t="s">
        <v>2130</v>
      </c>
      <c r="E131" s="548">
        <v>0.1</v>
      </c>
      <c r="F131" s="548">
        <v>15</v>
      </c>
    </row>
    <row r="132" ht="26" spans="1:6">
      <c r="A132" s="548">
        <v>60</v>
      </c>
      <c r="B132" s="545" t="s">
        <v>2131</v>
      </c>
      <c r="C132" s="548" t="s">
        <v>2132</v>
      </c>
      <c r="D132" s="514" t="s">
        <v>2133</v>
      </c>
      <c r="E132" s="548">
        <v>0.1</v>
      </c>
      <c r="F132" s="548">
        <v>15</v>
      </c>
    </row>
    <row r="133" ht="26" spans="1:6">
      <c r="A133" s="548">
        <v>61</v>
      </c>
      <c r="B133" s="547"/>
      <c r="C133" s="548" t="s">
        <v>2134</v>
      </c>
      <c r="D133" s="514" t="s">
        <v>2135</v>
      </c>
      <c r="E133" s="548">
        <v>0.1</v>
      </c>
      <c r="F133" s="548">
        <v>15</v>
      </c>
    </row>
    <row r="134" ht="26" spans="1:6">
      <c r="A134" s="548">
        <v>62</v>
      </c>
      <c r="B134" s="548" t="s">
        <v>2136</v>
      </c>
      <c r="C134" s="548" t="s">
        <v>2137</v>
      </c>
      <c r="D134" s="514" t="s">
        <v>2138</v>
      </c>
      <c r="E134" s="548">
        <v>0.1</v>
      </c>
      <c r="F134" s="548">
        <v>15</v>
      </c>
    </row>
    <row r="135" ht="26" spans="1:6">
      <c r="A135" s="548">
        <v>63</v>
      </c>
      <c r="B135" s="548" t="s">
        <v>2139</v>
      </c>
      <c r="C135" s="548" t="s">
        <v>2140</v>
      </c>
      <c r="D135" s="514" t="s">
        <v>2141</v>
      </c>
      <c r="E135" s="548">
        <v>0.1</v>
      </c>
      <c r="F135" s="548">
        <v>15</v>
      </c>
    </row>
    <row r="136" ht="14" spans="1:6">
      <c r="A136" s="548">
        <v>64</v>
      </c>
      <c r="B136" s="548"/>
      <c r="C136" s="548" t="s">
        <v>2142</v>
      </c>
      <c r="D136" s="514" t="s">
        <v>2143</v>
      </c>
      <c r="E136" s="548">
        <v>0.1</v>
      </c>
      <c r="F136" s="548">
        <v>15</v>
      </c>
    </row>
    <row r="137" ht="26" spans="1:6">
      <c r="A137" s="548">
        <v>65</v>
      </c>
      <c r="B137" s="548" t="s">
        <v>2144</v>
      </c>
      <c r="C137" s="548" t="s">
        <v>2145</v>
      </c>
      <c r="D137" s="514" t="s">
        <v>2146</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46" customWidth="1"/>
    <col min="2" max="2" width="37.2545454545455" style="3646" customWidth="1"/>
    <col min="3" max="3" width="11.3727272727273" style="3646" customWidth="1"/>
    <col min="4" max="4" width="31.7545454545455" style="3646" customWidth="1"/>
    <col min="5" max="5" width="0.5" style="3646" customWidth="1"/>
    <col min="6" max="7" width="13" style="3646" customWidth="1"/>
    <col min="8" max="16384" width="9" style="3646"/>
  </cols>
  <sheetData>
    <row r="1" ht="17.5" spans="1:5">
      <c r="A1" s="3647" t="s">
        <v>94</v>
      </c>
      <c r="B1" s="3648"/>
      <c r="C1" s="3648"/>
      <c r="D1" s="3648"/>
      <c r="E1" s="3648"/>
    </row>
    <row r="2" ht="78" customHeight="1" spans="1:5">
      <c r="A2" s="364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9"/>
      <c r="C2" s="3649"/>
      <c r="D2" s="3649"/>
      <c r="E2" s="3649"/>
    </row>
    <row r="3" ht="18" spans="1:5">
      <c r="A3" s="3650" t="str">
        <f>IF(项目基本情况!B9="房地产市场价值","估价结果一览表（市场价值不需“结果表-1”）","估价结果一览表")</f>
        <v>估价结果一览表</v>
      </c>
      <c r="B3" s="3650"/>
      <c r="C3" s="3650"/>
      <c r="D3" s="3650"/>
      <c r="E3" s="3650"/>
    </row>
    <row r="4" ht="18.75" spans="1:5">
      <c r="A4" s="3650"/>
      <c r="B4" s="3651" t="s">
        <v>95</v>
      </c>
      <c r="C4" s="3651"/>
      <c r="D4" s="3651"/>
      <c r="E4" s="3650"/>
    </row>
    <row r="5" ht="16.25" spans="1:5">
      <c r="A5" s="3648"/>
      <c r="B5" s="3652" t="s">
        <v>96</v>
      </c>
      <c r="C5" s="3653" t="s">
        <v>97</v>
      </c>
      <c r="D5" s="3654">
        <f ca="1">结果表!H101</f>
        <v>7020</v>
      </c>
      <c r="E5" s="3648"/>
    </row>
    <row r="6" ht="15" spans="1:5">
      <c r="A6" s="3648"/>
      <c r="B6" s="3652"/>
      <c r="C6" s="3653" t="s">
        <v>98</v>
      </c>
      <c r="D6" s="3654" t="str">
        <f ca="1">NUMBERSTRING(INT(D5*10000),2)&amp;"元整"</f>
        <v>柒仟零贰拾万元整</v>
      </c>
      <c r="E6" s="3648"/>
    </row>
    <row r="7" ht="15.5" spans="1:5">
      <c r="A7" s="3648"/>
      <c r="B7" s="3655"/>
      <c r="C7" s="3656" t="s">
        <v>99</v>
      </c>
      <c r="D7" s="3657">
        <f ca="1">结果表!H102</f>
        <v>23299</v>
      </c>
      <c r="E7" s="3648"/>
    </row>
    <row r="8" ht="15.5" spans="1:5">
      <c r="A8" s="3648"/>
      <c r="B8" s="3658" t="str">
        <f>结果表!E103</f>
        <v>2.估价师知悉的法定优先受偿款</v>
      </c>
      <c r="C8" s="3659" t="s">
        <v>100</v>
      </c>
      <c r="D8" s="3657">
        <f>结果表!H103</f>
        <v>0</v>
      </c>
      <c r="E8" s="3648"/>
    </row>
    <row r="9" ht="15" spans="1:5">
      <c r="A9" s="3648"/>
      <c r="B9" s="3660"/>
      <c r="C9" s="3653" t="s">
        <v>98</v>
      </c>
      <c r="D9" s="3654" t="str">
        <f>NUMBERSTRING(INT(D8*10000),2)&amp;"元整"</f>
        <v>零元整</v>
      </c>
      <c r="E9" s="3648"/>
    </row>
    <row r="10" ht="15.5" spans="1:5">
      <c r="A10" s="3648"/>
      <c r="B10" s="3661" t="s">
        <v>101</v>
      </c>
      <c r="C10" s="3662" t="s">
        <v>102</v>
      </c>
      <c r="D10" s="3663">
        <f>结果表!H104</f>
        <v>0</v>
      </c>
      <c r="E10" s="3648"/>
    </row>
    <row r="11" ht="15.5" spans="1:5">
      <c r="A11" s="3648"/>
      <c r="B11" s="3661" t="s">
        <v>103</v>
      </c>
      <c r="C11" s="3662" t="s">
        <v>102</v>
      </c>
      <c r="D11" s="3663">
        <f>结果表!H105</f>
        <v>0</v>
      </c>
      <c r="E11" s="3648"/>
    </row>
    <row r="12" ht="15.5" spans="1:5">
      <c r="A12" s="3648"/>
      <c r="B12" s="3661" t="s">
        <v>104</v>
      </c>
      <c r="C12" s="3662" t="s">
        <v>102</v>
      </c>
      <c r="D12" s="3663">
        <f>结果表!H106</f>
        <v>0</v>
      </c>
      <c r="E12" s="3648"/>
    </row>
    <row r="13" ht="15.5" spans="1:5">
      <c r="A13" s="3648"/>
      <c r="B13" s="3664" t="str">
        <f>结果表!E107</f>
        <v>3.房地产抵押价值</v>
      </c>
      <c r="C13" s="3665" t="s">
        <v>97</v>
      </c>
      <c r="D13" s="3666">
        <f ca="1">结果表!H107</f>
        <v>7020</v>
      </c>
      <c r="E13" s="3648"/>
    </row>
    <row r="14" ht="15" spans="1:5">
      <c r="A14" s="3648"/>
      <c r="B14" s="3652"/>
      <c r="C14" s="3653" t="s">
        <v>98</v>
      </c>
      <c r="D14" s="3654" t="str">
        <f ca="1">NUMBERSTRING(INT(D13*10000),2)&amp;"元整"</f>
        <v>柒仟零贰拾万元整</v>
      </c>
      <c r="E14" s="3648"/>
    </row>
    <row r="15" ht="15.5" spans="1:5">
      <c r="A15" s="3648"/>
      <c r="B15" s="3655"/>
      <c r="C15" s="3656" t="s">
        <v>99</v>
      </c>
      <c r="D15" s="3667">
        <f ca="1">结果表!H108</f>
        <v>23299</v>
      </c>
      <c r="E15" s="3648"/>
    </row>
    <row r="16" ht="15" spans="1:5">
      <c r="A16" s="3648"/>
      <c r="B16" s="3658" t="str">
        <f>结果表!E109</f>
        <v>——</v>
      </c>
      <c r="C16" s="3665" t="s">
        <v>97</v>
      </c>
      <c r="D16" s="3668" t="str">
        <f ca="1">结果表!H109</f>
        <v>——</v>
      </c>
      <c r="E16" s="3648"/>
    </row>
    <row r="17" ht="15.5" spans="1:5">
      <c r="A17" s="3648"/>
      <c r="B17" s="3669"/>
      <c r="C17" s="3653" t="s">
        <v>98</v>
      </c>
      <c r="D17" s="3654" t="e">
        <f ca="1">NUMBERSTRING(INT(D16*10000),2)&amp;"元整"</f>
        <v>#VALUE!</v>
      </c>
      <c r="E17" s="3648"/>
    </row>
    <row r="18" ht="15.5" spans="1:5">
      <c r="A18" s="3648"/>
      <c r="B18" s="3660"/>
      <c r="C18" s="3656" t="s">
        <v>99</v>
      </c>
      <c r="D18" s="3667" t="str">
        <f ca="1">结果表!H110</f>
        <v>——</v>
      </c>
      <c r="E18" s="3648"/>
    </row>
    <row r="19" ht="15.5" spans="1:5">
      <c r="A19" s="3648"/>
      <c r="B19" s="3664" t="str">
        <f>结果表!E111</f>
        <v>——</v>
      </c>
      <c r="C19" s="3665" t="s">
        <v>97</v>
      </c>
      <c r="D19" s="3657" t="str">
        <f ca="1">结果表!H111</f>
        <v>——</v>
      </c>
      <c r="E19" s="3648"/>
    </row>
    <row r="20" ht="15.5" spans="1:5">
      <c r="A20" s="3648"/>
      <c r="B20" s="3652"/>
      <c r="C20" s="3653" t="s">
        <v>98</v>
      </c>
      <c r="D20" s="3654" t="e">
        <f ca="1">NUMBERSTRING(INT(D19*10000),2)&amp;"元整"</f>
        <v>#VALUE!</v>
      </c>
      <c r="E20" s="3648"/>
    </row>
    <row r="21" ht="16.25" spans="1:5">
      <c r="A21" s="3648"/>
      <c r="B21" s="3670"/>
      <c r="C21" s="3671" t="s">
        <v>99</v>
      </c>
      <c r="D21" s="3672" t="str">
        <f ca="1">结果表!H112</f>
        <v>——</v>
      </c>
      <c r="E21" s="3648"/>
    </row>
    <row r="22" ht="14.75" spans="1:5">
      <c r="A22" s="3648"/>
      <c r="B22" s="3673" t="s">
        <v>105</v>
      </c>
      <c r="C22" s="3648"/>
      <c r="D22" s="3648"/>
      <c r="E22" s="3648"/>
    </row>
    <row r="23" spans="1:5">
      <c r="A23" s="3648"/>
      <c r="B23" s="3648"/>
      <c r="C23" s="3648"/>
      <c r="D23" s="3648"/>
      <c r="E23" s="3648"/>
    </row>
    <row r="24" ht="17.5" spans="1:5">
      <c r="A24" s="3674"/>
      <c r="B24" s="3675" t="s">
        <v>106</v>
      </c>
      <c r="C24" s="3674"/>
      <c r="D24" s="3674"/>
      <c r="E24" s="3674"/>
    </row>
    <row r="25" spans="1:5">
      <c r="A25" s="3674"/>
      <c r="B25" s="3674"/>
      <c r="C25" s="3674"/>
      <c r="D25" s="3674"/>
      <c r="E25" s="3674"/>
    </row>
    <row r="26" spans="1:5">
      <c r="A26" s="3674"/>
      <c r="B26" s="3674"/>
      <c r="C26" s="3674"/>
      <c r="D26" s="3674"/>
      <c r="E26" s="3674"/>
    </row>
    <row r="27" spans="1:5">
      <c r="A27" s="3674"/>
      <c r="B27" s="3674"/>
      <c r="C27" s="3674"/>
      <c r="D27" s="3674"/>
      <c r="E27" s="3674"/>
    </row>
    <row r="28" spans="1:5">
      <c r="A28" s="3674"/>
      <c r="B28" s="3674"/>
      <c r="C28" s="3674"/>
      <c r="D28" s="3674"/>
      <c r="E28" s="3674"/>
    </row>
    <row r="29" spans="1:5">
      <c r="A29" s="3674"/>
      <c r="B29" s="3674"/>
      <c r="C29" s="3674"/>
      <c r="D29" s="3674"/>
      <c r="E29" s="3674"/>
    </row>
    <row r="30" spans="1:5">
      <c r="A30" s="3674"/>
      <c r="B30" s="3674"/>
      <c r="C30" s="3674"/>
      <c r="D30" s="3674"/>
      <c r="E30" s="3674"/>
    </row>
    <row r="31" spans="1:5">
      <c r="A31" s="3674"/>
      <c r="B31" s="3674"/>
      <c r="C31" s="3674"/>
      <c r="D31" s="3674"/>
      <c r="E31" s="3674"/>
    </row>
    <row r="32" spans="1:5">
      <c r="A32" s="3674"/>
      <c r="B32" s="3674"/>
      <c r="C32" s="3674"/>
      <c r="D32" s="3674"/>
      <c r="E32" s="3674"/>
    </row>
    <row r="33" spans="1:5">
      <c r="A33" s="3674"/>
      <c r="B33" s="3674"/>
      <c r="C33" s="3674"/>
      <c r="D33" s="3674"/>
      <c r="E33" s="3674"/>
    </row>
    <row r="34" spans="1:5">
      <c r="A34" s="3674"/>
      <c r="B34" s="3674"/>
      <c r="C34" s="3674"/>
      <c r="D34" s="3674"/>
      <c r="E34" s="3674"/>
    </row>
    <row r="35" spans="1:5">
      <c r="A35" s="3674"/>
      <c r="B35" s="3674"/>
      <c r="C35" s="3674"/>
      <c r="D35" s="3674"/>
      <c r="E35" s="3674"/>
    </row>
    <row r="36" spans="1:5">
      <c r="A36" s="3674"/>
      <c r="B36" s="3674"/>
      <c r="C36" s="3674"/>
      <c r="D36" s="3674"/>
      <c r="E36" s="3674"/>
    </row>
    <row r="37" spans="1:5">
      <c r="A37" s="3674"/>
      <c r="B37" s="3674"/>
      <c r="C37" s="3674"/>
      <c r="D37" s="3674"/>
      <c r="E37" s="3674"/>
    </row>
    <row r="38" spans="1:5">
      <c r="A38" s="3674"/>
      <c r="B38" s="3674"/>
      <c r="C38" s="3674"/>
      <c r="D38" s="3674"/>
      <c r="E38" s="3674"/>
    </row>
    <row r="39" spans="1:5">
      <c r="A39" s="3674"/>
      <c r="B39" s="3674"/>
      <c r="C39" s="3674"/>
      <c r="D39" s="3674"/>
      <c r="E39" s="3674"/>
    </row>
    <row r="40" spans="1:5">
      <c r="A40" s="3674"/>
      <c r="B40" s="3674"/>
      <c r="C40" s="3674"/>
      <c r="D40" s="3674"/>
      <c r="E40" s="3674"/>
    </row>
    <row r="41" spans="1:5">
      <c r="A41" s="3674"/>
      <c r="B41" s="3674"/>
      <c r="C41" s="3674"/>
      <c r="D41" s="3674"/>
      <c r="E41" s="3674"/>
    </row>
    <row r="42" spans="1:5">
      <c r="A42" s="3674"/>
      <c r="B42" s="3674"/>
      <c r="C42" s="3674"/>
      <c r="D42" s="3674"/>
      <c r="E42" s="367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2147</v>
      </c>
      <c r="B1" s="479"/>
      <c r="C1" s="479"/>
      <c r="D1" s="479"/>
      <c r="E1" s="479"/>
      <c r="F1" s="479"/>
      <c r="G1" s="479"/>
      <c r="H1" s="479"/>
      <c r="I1" s="479"/>
      <c r="J1" s="479"/>
      <c r="K1" s="479"/>
      <c r="L1" s="479"/>
      <c r="M1" s="479"/>
      <c r="N1" s="486"/>
    </row>
    <row r="2" spans="1:20">
      <c r="A2" s="480" t="s">
        <v>2148</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2149</v>
      </c>
      <c r="R2" s="491" t="s">
        <v>2150</v>
      </c>
      <c r="S2" s="491" t="s">
        <v>2151</v>
      </c>
      <c r="T2" s="491" t="s">
        <v>2152</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2153</v>
      </c>
      <c r="B93" s="479"/>
      <c r="C93" s="479"/>
      <c r="D93" s="479"/>
      <c r="E93" s="479"/>
      <c r="F93" s="479"/>
      <c r="G93" s="479"/>
      <c r="H93" s="479"/>
      <c r="I93" s="479"/>
      <c r="J93" s="479"/>
      <c r="K93" s="479"/>
      <c r="L93" s="479"/>
      <c r="M93" s="479"/>
    </row>
    <row r="94" spans="1:20">
      <c r="A94" s="480" t="s">
        <v>2148</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v>
      </c>
      <c r="Q94" s="491" t="s">
        <v>2149</v>
      </c>
      <c r="R94" s="491" t="s">
        <v>2150</v>
      </c>
      <c r="S94" s="491" t="s">
        <v>2151</v>
      </c>
      <c r="T94" s="491" t="s">
        <v>2152</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2154</v>
      </c>
      <c r="B185" s="479"/>
      <c r="C185" s="479"/>
      <c r="D185" s="479"/>
      <c r="E185" s="479"/>
      <c r="F185" s="479"/>
      <c r="G185" s="479"/>
      <c r="H185" s="479"/>
      <c r="I185" s="479"/>
      <c r="J185" s="479"/>
      <c r="K185" s="479"/>
      <c r="L185" s="479"/>
      <c r="M185" s="479"/>
    </row>
    <row r="186" spans="1:20">
      <c r="A186" s="480" t="s">
        <v>2148</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2149</v>
      </c>
      <c r="R186" s="491" t="s">
        <v>2150</v>
      </c>
      <c r="S186" s="491" t="s">
        <v>2151</v>
      </c>
      <c r="T186" s="491" t="s">
        <v>2152</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2155</v>
      </c>
      <c r="B277" s="479"/>
      <c r="C277" s="479"/>
      <c r="D277" s="479"/>
      <c r="E277" s="479"/>
      <c r="F277" s="479"/>
      <c r="G277" s="479"/>
      <c r="H277" s="479"/>
      <c r="I277" s="479"/>
      <c r="J277" s="479"/>
      <c r="K277" s="479"/>
      <c r="L277" s="479"/>
      <c r="M277" s="479"/>
    </row>
    <row r="278" spans="1:21">
      <c r="A278" s="480" t="s">
        <v>2148</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2149</v>
      </c>
      <c r="R278" s="491" t="s">
        <v>2150</v>
      </c>
      <c r="S278" s="491" t="s">
        <v>2156</v>
      </c>
      <c r="T278" s="491" t="s">
        <v>2157</v>
      </c>
      <c r="U278" s="491" t="s">
        <v>2152</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2158</v>
      </c>
      <c r="B369" s="495"/>
      <c r="C369" s="495"/>
      <c r="D369" s="495"/>
      <c r="E369" s="495"/>
      <c r="F369" s="495"/>
      <c r="G369" s="495"/>
      <c r="H369" s="495"/>
      <c r="I369" s="495"/>
      <c r="J369" s="495"/>
      <c r="K369" s="495"/>
      <c r="L369" s="495"/>
      <c r="M369" s="495"/>
    </row>
    <row r="370" spans="1:20">
      <c r="A370" s="480" t="s">
        <v>2148</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0.9512</v>
      </c>
      <c r="Q370" s="491" t="s">
        <v>2149</v>
      </c>
      <c r="R370" s="491" t="s">
        <v>2150</v>
      </c>
      <c r="S370" s="491" t="s">
        <v>2151</v>
      </c>
      <c r="T370" s="491" t="s">
        <v>2152</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2159</v>
      </c>
      <c r="B1" s="390"/>
      <c r="C1" s="391"/>
      <c r="D1" s="391"/>
      <c r="E1" s="391"/>
      <c r="F1" s="391"/>
      <c r="G1" s="392"/>
    </row>
    <row r="2" s="381" customFormat="1" ht="18" customHeight="1" spans="1:7">
      <c r="A2" s="393" t="s">
        <v>2160</v>
      </c>
      <c r="B2" s="394">
        <f ca="1">C52</f>
        <v>27719</v>
      </c>
      <c r="C2" s="395" t="s">
        <v>1438</v>
      </c>
      <c r="D2" s="392"/>
      <c r="E2" s="392"/>
      <c r="F2" s="392"/>
      <c r="G2" s="392"/>
    </row>
    <row r="3" s="381" customFormat="1" ht="18" customHeight="1" spans="1:7">
      <c r="A3" s="396" t="s">
        <v>2161</v>
      </c>
      <c r="B3" s="397">
        <f ca="1">ROUND(B2*10000/'数据-汇总表'!E3,0)</f>
        <v>91998</v>
      </c>
      <c r="C3" s="395" t="s">
        <v>1506</v>
      </c>
      <c r="D3" s="392"/>
      <c r="E3" s="392"/>
      <c r="F3" s="392"/>
      <c r="G3" s="392"/>
    </row>
    <row r="4" s="382" customFormat="1" ht="15.5" spans="1:7">
      <c r="A4" s="398" t="s">
        <v>2162</v>
      </c>
      <c r="B4" s="399"/>
      <c r="C4" s="399"/>
      <c r="D4" s="399"/>
      <c r="E4" s="399"/>
      <c r="F4" s="399"/>
      <c r="G4" s="400"/>
    </row>
    <row r="5" s="383" customFormat="1" ht="13.5" customHeight="1" spans="1:7">
      <c r="A5" s="401" t="s">
        <v>1000</v>
      </c>
      <c r="B5" s="402" t="s">
        <v>2163</v>
      </c>
      <c r="C5" s="403">
        <f ca="1">C6+C7+C8</f>
        <v>20610</v>
      </c>
      <c r="D5" s="403" t="s">
        <v>2164</v>
      </c>
      <c r="E5" s="404" t="s">
        <v>2165</v>
      </c>
      <c r="F5" s="404" t="s">
        <v>2166</v>
      </c>
      <c r="G5" s="405"/>
    </row>
    <row r="6" s="383" customFormat="1" ht="13.5" customHeight="1" spans="1:7">
      <c r="A6" s="406" t="s">
        <v>1004</v>
      </c>
      <c r="B6" s="407" t="s">
        <v>2167</v>
      </c>
      <c r="C6" s="408">
        <v>20000</v>
      </c>
      <c r="D6" s="409"/>
      <c r="E6" s="410"/>
      <c r="F6" s="410"/>
      <c r="G6" s="411"/>
    </row>
    <row r="7" s="383" customFormat="1" ht="13.5" customHeight="1" spans="1:7">
      <c r="A7" s="406" t="s">
        <v>1006</v>
      </c>
      <c r="B7" s="407" t="s">
        <v>2168</v>
      </c>
      <c r="C7" s="412">
        <f>ROUND(C6*F7,0)</f>
        <v>610</v>
      </c>
      <c r="D7" s="412"/>
      <c r="E7" s="410"/>
      <c r="F7" s="413">
        <f>'数据-取费表'!B48+'数据-取费表'!B49</f>
        <v>0.0305</v>
      </c>
      <c r="G7" s="411"/>
    </row>
    <row r="8" s="384" customFormat="1" ht="13" spans="1:7">
      <c r="A8" s="406" t="s">
        <v>1008</v>
      </c>
      <c r="B8" s="407" t="s">
        <v>2169</v>
      </c>
      <c r="C8" s="412" t="str">
        <f ca="1">IF(G8="已包含在土地购买价格中","0",'数据-取费表'!B29)</f>
        <v>0</v>
      </c>
      <c r="D8" s="414"/>
      <c r="E8" s="412"/>
      <c r="F8" s="413"/>
      <c r="G8" s="415" t="s">
        <v>2170</v>
      </c>
    </row>
    <row r="9" s="383" customFormat="1" ht="13.5" customHeight="1" spans="1:7">
      <c r="A9" s="416" t="s">
        <v>1011</v>
      </c>
      <c r="B9" s="417" t="s">
        <v>2171</v>
      </c>
      <c r="C9" s="418">
        <f>ROUND(D9*E9/10000,0)</f>
        <v>0</v>
      </c>
      <c r="D9" s="419">
        <f>'数据-汇总表'!E5</f>
        <v>0</v>
      </c>
      <c r="E9" s="418">
        <f>'数据-取费表'!B27</f>
        <v>0</v>
      </c>
      <c r="F9" s="413"/>
      <c r="G9" s="420"/>
    </row>
    <row r="10" s="383" customFormat="1" ht="13.5" customHeight="1" spans="1:7">
      <c r="A10" s="416" t="s">
        <v>1014</v>
      </c>
      <c r="B10" s="417" t="s">
        <v>2172</v>
      </c>
      <c r="C10" s="418">
        <f>ROUND(D10*E10/10000,0)</f>
        <v>60</v>
      </c>
      <c r="D10" s="419">
        <f>'数据-汇总表'!E6</f>
        <v>3013</v>
      </c>
      <c r="E10" s="418">
        <f>'数据-取费表'!B28</f>
        <v>200</v>
      </c>
      <c r="F10" s="413"/>
      <c r="G10" s="420"/>
    </row>
    <row r="11" s="383" customFormat="1" ht="13.5" hidden="1" customHeight="1" spans="1:7">
      <c r="A11" s="421" t="s">
        <v>1016</v>
      </c>
      <c r="B11" s="407" t="s">
        <v>2173</v>
      </c>
      <c r="C11" s="403"/>
      <c r="D11" s="422"/>
      <c r="E11" s="410"/>
      <c r="F11" s="410"/>
      <c r="G11" s="411"/>
    </row>
    <row r="12" s="383" customFormat="1" ht="13.5" hidden="1" customHeight="1" spans="1:7">
      <c r="A12" s="421" t="s">
        <v>1018</v>
      </c>
      <c r="B12" s="407" t="s">
        <v>2174</v>
      </c>
      <c r="C12" s="403">
        <v>0</v>
      </c>
      <c r="D12" s="422"/>
      <c r="E12" s="423"/>
      <c r="F12" s="413">
        <v>0.0305</v>
      </c>
      <c r="G12" s="411"/>
    </row>
    <row r="13" s="383" customFormat="1" ht="13.5" hidden="1" customHeight="1" spans="1:7">
      <c r="A13" s="421" t="s">
        <v>1019</v>
      </c>
      <c r="B13" s="407" t="s">
        <v>2175</v>
      </c>
      <c r="C13" s="403"/>
      <c r="D13" s="422"/>
      <c r="E13" s="410"/>
      <c r="F13" s="410"/>
      <c r="G13" s="411"/>
    </row>
    <row r="14" s="383" customFormat="1" ht="13.5" hidden="1" customHeight="1" spans="1:7">
      <c r="A14" s="421" t="s">
        <v>1021</v>
      </c>
      <c r="B14" s="407" t="s">
        <v>2169</v>
      </c>
      <c r="C14" s="403"/>
      <c r="D14" s="422"/>
      <c r="E14" s="410"/>
      <c r="F14" s="410"/>
      <c r="G14" s="411" t="s">
        <v>2176</v>
      </c>
    </row>
    <row r="15" s="383" customFormat="1" ht="13.5" hidden="1" customHeight="1" spans="1:7">
      <c r="A15" s="421" t="s">
        <v>1023</v>
      </c>
      <c r="B15" s="407" t="s">
        <v>2177</v>
      </c>
      <c r="C15" s="412"/>
      <c r="D15" s="422"/>
      <c r="E15" s="410"/>
      <c r="F15" s="410"/>
      <c r="G15" s="411" t="s">
        <v>2178</v>
      </c>
    </row>
    <row r="16" s="383" customFormat="1" ht="13.5" hidden="1" customHeight="1" spans="1:7">
      <c r="A16" s="421" t="s">
        <v>1026</v>
      </c>
      <c r="B16" s="407" t="s">
        <v>2169</v>
      </c>
      <c r="C16" s="412"/>
      <c r="D16" s="422"/>
      <c r="E16" s="410"/>
      <c r="F16" s="410"/>
      <c r="G16" s="411"/>
    </row>
    <row r="17" s="383" customFormat="1" ht="13.5" hidden="1" customHeight="1" spans="1:7">
      <c r="A17" s="421" t="s">
        <v>1027</v>
      </c>
      <c r="B17" s="407" t="s">
        <v>2179</v>
      </c>
      <c r="C17" s="424"/>
      <c r="D17" s="425"/>
      <c r="E17" s="424"/>
      <c r="F17" s="424"/>
      <c r="G17" s="411" t="s">
        <v>2178</v>
      </c>
    </row>
    <row r="18" s="383" customFormat="1" ht="13.5" hidden="1" customHeight="1" spans="1:7">
      <c r="A18" s="421" t="s">
        <v>1029</v>
      </c>
      <c r="B18" s="407" t="s">
        <v>2180</v>
      </c>
      <c r="C18" s="412">
        <v>0</v>
      </c>
      <c r="D18" s="422"/>
      <c r="E18" s="410"/>
      <c r="F18" s="413">
        <v>0.0305</v>
      </c>
      <c r="G18" s="411" t="s">
        <v>2181</v>
      </c>
    </row>
    <row r="19" s="384" customFormat="1" ht="13.5" customHeight="1" spans="1:7">
      <c r="A19" s="426" t="s">
        <v>1734</v>
      </c>
      <c r="B19" s="402" t="s">
        <v>2182</v>
      </c>
      <c r="C19" s="403">
        <f>IF(G19="已包含在土地取得成本中","0",ROUND(D19*E19/10000,0))</f>
        <v>60</v>
      </c>
      <c r="D19" s="427">
        <f>'数据-汇总表'!E3</f>
        <v>3013</v>
      </c>
      <c r="E19" s="403">
        <f>'数据-取费表'!B31</f>
        <v>200</v>
      </c>
      <c r="F19" s="428"/>
      <c r="G19" s="415" t="s">
        <v>2183</v>
      </c>
    </row>
    <row r="20" s="383" customFormat="1" ht="13.5" customHeight="1" spans="1:7">
      <c r="A20" s="426" t="s">
        <v>1771</v>
      </c>
      <c r="B20" s="402" t="s">
        <v>2184</v>
      </c>
      <c r="C20" s="429">
        <f ca="1">ROUND((C5+C19)*F20,0)</f>
        <v>413</v>
      </c>
      <c r="D20" s="429"/>
      <c r="E20" s="429"/>
      <c r="F20" s="430">
        <f>'数据-取费表'!B37</f>
        <v>0.02</v>
      </c>
      <c r="G20" s="431" t="s">
        <v>2185</v>
      </c>
    </row>
    <row r="21" s="383" customFormat="1" ht="13.5" customHeight="1" spans="1:7">
      <c r="A21" s="426" t="s">
        <v>1776</v>
      </c>
      <c r="B21" s="402" t="s">
        <v>2186</v>
      </c>
      <c r="C21" s="432">
        <f>F21</f>
        <v>0.02</v>
      </c>
      <c r="D21" s="433" t="s">
        <v>2187</v>
      </c>
      <c r="E21" s="429"/>
      <c r="F21" s="430">
        <f>'数据-取费表'!B38</f>
        <v>0.02</v>
      </c>
      <c r="G21" s="434" t="s">
        <v>2188</v>
      </c>
    </row>
    <row r="22" s="383" customFormat="1" ht="13.5" customHeight="1" spans="1:7">
      <c r="A22" s="426" t="s">
        <v>1785</v>
      </c>
      <c r="B22" s="402" t="s">
        <v>2189</v>
      </c>
      <c r="C22" s="435">
        <f ca="1">ROUND(SUM(C23:C25),0)</f>
        <v>1422</v>
      </c>
      <c r="D22" s="432">
        <f ca="1">C26</f>
        <v>0.0007</v>
      </c>
      <c r="E22" s="433" t="s">
        <v>2187</v>
      </c>
      <c r="F22" s="436">
        <f ca="1">'数据-取费表'!B40</f>
        <v>0.0335</v>
      </c>
      <c r="G22" s="431" t="str">
        <f>IF('数据-取费表'!B22&lt;=1,"单利计息","复利计息")</f>
        <v>复利计息</v>
      </c>
    </row>
    <row r="23" s="383" customFormat="1" ht="13.5" customHeight="1" spans="1:7">
      <c r="A23" s="437" t="s">
        <v>1004</v>
      </c>
      <c r="B23" s="407" t="s">
        <v>2190</v>
      </c>
      <c r="C23" s="438">
        <f ca="1">ROUND(IF('数据-取费表'!B22&lt;=1,C5*F22*'数据-取费表'!B23,C5*(POWER((1+F22),'数据-取费表'!B23)-1)),0)</f>
        <v>1404</v>
      </c>
      <c r="D23" s="439"/>
      <c r="E23" s="439"/>
      <c r="F23" s="440"/>
      <c r="G23" s="441" t="s">
        <v>2191</v>
      </c>
    </row>
    <row r="24" s="383" customFormat="1" ht="13.5" customHeight="1" spans="1:7">
      <c r="A24" s="437" t="s">
        <v>1006</v>
      </c>
      <c r="B24" s="407" t="s">
        <v>2192</v>
      </c>
      <c r="C24" s="438">
        <f ca="1">ROUND(IF('数据-取费表'!B22&lt;=1,C19*F22*('数据-取费表'!B19/2+'数据-取费表'!B21),C19*(POWER((1+F22),('数据-取费表'!B19/2+'数据-取费表'!B21))-1)),0)</f>
        <v>4</v>
      </c>
      <c r="D24" s="439"/>
      <c r="E24" s="439"/>
      <c r="F24" s="440"/>
      <c r="G24" s="441" t="s">
        <v>2193</v>
      </c>
    </row>
    <row r="25" s="383" customFormat="1" ht="26" spans="1:7">
      <c r="A25" s="437" t="s">
        <v>1008</v>
      </c>
      <c r="B25" s="407" t="s">
        <v>2194</v>
      </c>
      <c r="C25" s="438">
        <f ca="1">ROUND(IF('数据-取费表'!B22&lt;=1,C20*F22*'数据-取费表'!B23/2,C20*(POWER((1+F22),'数据-取费表'!B23/2)-1)),0)</f>
        <v>14</v>
      </c>
      <c r="D25" s="439"/>
      <c r="E25" s="442"/>
      <c r="F25" s="440"/>
      <c r="G25" s="443" t="s">
        <v>2195</v>
      </c>
    </row>
    <row r="26" s="383" customFormat="1" ht="13" spans="1:7">
      <c r="A26" s="437" t="s">
        <v>1050</v>
      </c>
      <c r="B26" s="407" t="s">
        <v>2196</v>
      </c>
      <c r="C26" s="439">
        <f ca="1">ROUND(IF('数据-取费表'!B22&lt;=1,F21*F22*'数据-取费表'!B23/2,F21*(POWER((1+F22),'数据-取费表'!B23/2)-1)),4)</f>
        <v>0.0007</v>
      </c>
      <c r="D26" s="439"/>
      <c r="E26" s="442"/>
      <c r="F26" s="440"/>
      <c r="G26" s="444"/>
    </row>
    <row r="27" s="383" customFormat="1" ht="26" spans="1:7">
      <c r="A27" s="426" t="s">
        <v>1794</v>
      </c>
      <c r="B27" s="445" t="s">
        <v>2197</v>
      </c>
      <c r="C27" s="446">
        <f ca="1">C28</f>
        <v>2108</v>
      </c>
      <c r="D27" s="432">
        <f>C29</f>
        <v>0.002</v>
      </c>
      <c r="E27" s="433" t="s">
        <v>2187</v>
      </c>
      <c r="F27" s="447">
        <f>'数据-取费表'!Q16</f>
        <v>0.1</v>
      </c>
      <c r="G27" s="448" t="s">
        <v>2198</v>
      </c>
    </row>
    <row r="28" s="383" customFormat="1" ht="13.5" customHeight="1" spans="1:7">
      <c r="A28" s="437" t="s">
        <v>1004</v>
      </c>
      <c r="B28" s="449" t="s">
        <v>2199</v>
      </c>
      <c r="C28" s="450">
        <f ca="1">ROUND((C5+C19+C20)*F27*'数据-取费表'!B21/'数据-取费表'!B20,0)</f>
        <v>2108</v>
      </c>
      <c r="D28" s="432"/>
      <c r="E28" s="433"/>
      <c r="F28" s="447"/>
      <c r="G28" s="448"/>
    </row>
    <row r="29" s="383" customFormat="1" ht="13.5" customHeight="1" spans="1:7">
      <c r="A29" s="437" t="s">
        <v>1006</v>
      </c>
      <c r="B29" s="449" t="s">
        <v>2200</v>
      </c>
      <c r="C29" s="439">
        <f>ROUND(C21*F27*'数据-取费表'!B21/'数据-取费表'!B20,4)</f>
        <v>0.002</v>
      </c>
      <c r="D29" s="432"/>
      <c r="E29" s="433"/>
      <c r="F29" s="447"/>
      <c r="G29" s="448"/>
    </row>
    <row r="30" s="383" customFormat="1" ht="13.5" customHeight="1" spans="1:7">
      <c r="A30" s="426" t="s">
        <v>2201</v>
      </c>
      <c r="B30" s="402" t="s">
        <v>2202</v>
      </c>
      <c r="C30" s="432">
        <f>F30</f>
        <v>0.056</v>
      </c>
      <c r="D30" s="433" t="s">
        <v>2203</v>
      </c>
      <c r="E30" s="442"/>
      <c r="F30" s="436">
        <f>'数据-取费表'!B41</f>
        <v>0.056</v>
      </c>
      <c r="G30" s="434" t="s">
        <v>2204</v>
      </c>
    </row>
    <row r="31" ht="16.5" customHeight="1" spans="1:7">
      <c r="A31" s="451">
        <v>1</v>
      </c>
      <c r="B31" s="402" t="s">
        <v>2205</v>
      </c>
      <c r="C31" s="403">
        <f ca="1">ROUND((C5+C19+C20+C22+C27)/(1-C21-D22-D27-C30/(1+'数据-取费表'!B42)),0)</f>
        <v>26638</v>
      </c>
      <c r="D31" s="452"/>
      <c r="E31" s="403"/>
      <c r="F31" s="453"/>
      <c r="G31" s="434" t="s">
        <v>2206</v>
      </c>
    </row>
    <row r="32" s="382" customFormat="1" ht="15.5" spans="1:7">
      <c r="A32" s="454" t="s">
        <v>2207</v>
      </c>
      <c r="B32" s="455"/>
      <c r="C32" s="455"/>
      <c r="D32" s="455"/>
      <c r="E32" s="455"/>
      <c r="F32" s="455"/>
      <c r="G32" s="456"/>
    </row>
    <row r="33" s="383" customFormat="1" ht="13.5" customHeight="1" spans="1:7">
      <c r="A33" s="401" t="s">
        <v>1000</v>
      </c>
      <c r="B33" s="402" t="s">
        <v>2208</v>
      </c>
      <c r="C33" s="457">
        <f>SUM(C34:C38)</f>
        <v>1168</v>
      </c>
      <c r="D33" s="429"/>
      <c r="E33" s="404"/>
      <c r="F33" s="442"/>
      <c r="G33" s="434"/>
    </row>
    <row r="34" s="385" customFormat="1" ht="13.5" customHeight="1" spans="1:7">
      <c r="A34" s="437" t="s">
        <v>1004</v>
      </c>
      <c r="B34" s="407" t="s">
        <v>2209</v>
      </c>
      <c r="C34" s="412">
        <f>IF(F34=100%,'数据-取费表'!M16-SUMIF('数据-取费表'!C:C,"公共配套",'数据-取费表'!M:M),'数据-取费表'!O16-SUMIF('数据-取费表'!C:C,"公共配套",'数据-取费表'!O:O))</f>
        <v>1055</v>
      </c>
      <c r="D34" s="409"/>
      <c r="E34" s="412"/>
      <c r="F34" s="458">
        <f>IF('数据-取费表'!B24=0,1,'数据-取费表'!N16)</f>
        <v>1</v>
      </c>
      <c r="G34" s="411" t="s">
        <v>2210</v>
      </c>
    </row>
    <row r="35" ht="13.5" customHeight="1" spans="1:7">
      <c r="A35" s="437" t="s">
        <v>1006</v>
      </c>
      <c r="B35" s="407" t="s">
        <v>2211</v>
      </c>
      <c r="C35" s="412">
        <f>ROUND(C34*F35,0)</f>
        <v>32</v>
      </c>
      <c r="D35" s="412"/>
      <c r="E35" s="412"/>
      <c r="F35" s="459">
        <f>'数据-取费表'!B33</f>
        <v>0.03</v>
      </c>
      <c r="G35" s="411" t="s">
        <v>2212</v>
      </c>
    </row>
    <row r="36" ht="26" spans="1:7">
      <c r="A36" s="437" t="s">
        <v>1008</v>
      </c>
      <c r="B36" s="407" t="s">
        <v>2213</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2214</v>
      </c>
    </row>
    <row r="37" s="385" customFormat="1" ht="13.5" customHeight="1" spans="1:7">
      <c r="A37" s="437" t="s">
        <v>1050</v>
      </c>
      <c r="B37" s="407" t="s">
        <v>2215</v>
      </c>
      <c r="C37" s="450">
        <f>ROUND(E37*D37*F34/10000,0)</f>
        <v>60</v>
      </c>
      <c r="D37" s="409">
        <f>'数据-汇总表'!E3</f>
        <v>3013</v>
      </c>
      <c r="E37" s="450">
        <f>'数据-取费表'!B35</f>
        <v>200</v>
      </c>
      <c r="F37" s="459"/>
      <c r="G37" s="461" t="s">
        <v>2216</v>
      </c>
    </row>
    <row r="38" ht="13.5" customHeight="1" spans="1:7">
      <c r="A38" s="437" t="s">
        <v>1072</v>
      </c>
      <c r="B38" s="407" t="s">
        <v>2174</v>
      </c>
      <c r="C38" s="412">
        <f>ROUND(C34*F38,0)</f>
        <v>21</v>
      </c>
      <c r="D38" s="412"/>
      <c r="E38" s="412"/>
      <c r="F38" s="459">
        <f>'数据-取费表'!B36</f>
        <v>0.02</v>
      </c>
      <c r="G38" s="411" t="s">
        <v>2212</v>
      </c>
    </row>
    <row r="39" s="383" customFormat="1" ht="13.5" customHeight="1" spans="1:7">
      <c r="A39" s="426" t="s">
        <v>1734</v>
      </c>
      <c r="B39" s="402" t="s">
        <v>2184</v>
      </c>
      <c r="C39" s="429">
        <f>ROUND(C33*F20,0)</f>
        <v>23</v>
      </c>
      <c r="D39" s="429"/>
      <c r="E39" s="429"/>
      <c r="F39" s="430"/>
      <c r="G39" s="431" t="s">
        <v>2217</v>
      </c>
    </row>
    <row r="40" s="383" customFormat="1" ht="13.5" customHeight="1" spans="1:7">
      <c r="A40" s="426" t="s">
        <v>1771</v>
      </c>
      <c r="B40" s="402" t="s">
        <v>2186</v>
      </c>
      <c r="C40" s="462">
        <f>F21</f>
        <v>0.02</v>
      </c>
      <c r="D40" s="433" t="s">
        <v>2218</v>
      </c>
      <c r="E40" s="429"/>
      <c r="F40" s="430"/>
      <c r="G40" s="434" t="s">
        <v>2219</v>
      </c>
    </row>
    <row r="41" s="383" customFormat="1" ht="13.5" customHeight="1" spans="1:7">
      <c r="A41" s="426" t="s">
        <v>1776</v>
      </c>
      <c r="B41" s="402" t="s">
        <v>2189</v>
      </c>
      <c r="C41" s="429">
        <f ca="1">ROUND(SUM(C42:C43),0)</f>
        <v>40</v>
      </c>
      <c r="D41" s="432">
        <f ca="1">C44</f>
        <v>0.0007</v>
      </c>
      <c r="E41" s="433" t="s">
        <v>2218</v>
      </c>
      <c r="F41" s="436"/>
      <c r="G41" s="431" t="str">
        <f>IF('数据-取费表'!B22&lt;=1,"单利计息","复利计息")</f>
        <v>复利计息</v>
      </c>
    </row>
    <row r="42" ht="13.5" customHeight="1" spans="1:7">
      <c r="A42" s="437" t="s">
        <v>1004</v>
      </c>
      <c r="B42" s="407" t="s">
        <v>2190</v>
      </c>
      <c r="C42" s="439">
        <f ca="1">ROUND(IF('数据-取费表'!B22&lt;=1,C33*F22*'数据-取费表'!B21/2,C33*(POWER((1+F22),'数据-取费表'!B21/2)-1)),0)</f>
        <v>39</v>
      </c>
      <c r="D42" s="439"/>
      <c r="E42" s="439"/>
      <c r="F42" s="440"/>
      <c r="G42" s="463" t="s">
        <v>2220</v>
      </c>
    </row>
    <row r="43" ht="13.5" customHeight="1" spans="1:7">
      <c r="A43" s="437" t="s">
        <v>1006</v>
      </c>
      <c r="B43" s="407" t="s">
        <v>2192</v>
      </c>
      <c r="C43" s="439">
        <f ca="1">ROUND(IF('数据-取费表'!B22&lt;=1,C39*F22*'数据-取费表'!B21/2,C39*(POWER((1+F22),'数据-取费表'!B21/2)-1)),0)</f>
        <v>1</v>
      </c>
      <c r="D43" s="439"/>
      <c r="E43" s="439"/>
      <c r="F43" s="440"/>
      <c r="G43" s="464"/>
    </row>
    <row r="44" ht="13.5" customHeight="1" spans="1:7">
      <c r="A44" s="437" t="s">
        <v>1008</v>
      </c>
      <c r="B44" s="407" t="s">
        <v>2194</v>
      </c>
      <c r="C44" s="439">
        <f ca="1">ROUND(IF('数据-取费表'!B22&lt;=1,C40*F22*'数据-取费表'!B21/2,C40*(POWER((1+F22),'数据-取费表'!B21/2)-1)),4)</f>
        <v>0.0007</v>
      </c>
      <c r="D44" s="439"/>
      <c r="E44" s="439"/>
      <c r="F44" s="440"/>
      <c r="G44" s="465"/>
    </row>
    <row r="45" s="383" customFormat="1" ht="13.5" customHeight="1" spans="1:7">
      <c r="A45" s="426" t="s">
        <v>1785</v>
      </c>
      <c r="B45" s="445" t="s">
        <v>2197</v>
      </c>
      <c r="C45" s="446">
        <f>C46</f>
        <v>119</v>
      </c>
      <c r="D45" s="432">
        <f>C47</f>
        <v>0.002</v>
      </c>
      <c r="E45" s="433" t="s">
        <v>2218</v>
      </c>
      <c r="F45" s="447"/>
      <c r="G45" s="448" t="s">
        <v>2221</v>
      </c>
    </row>
    <row r="46" s="383" customFormat="1" ht="13.5" customHeight="1" spans="1:7">
      <c r="A46" s="437" t="s">
        <v>1004</v>
      </c>
      <c r="B46" s="449" t="s">
        <v>2222</v>
      </c>
      <c r="C46" s="450">
        <f>ROUND((C33+C39)*F27,0)</f>
        <v>119</v>
      </c>
      <c r="D46" s="466"/>
      <c r="E46" s="433"/>
      <c r="F46" s="447"/>
      <c r="G46" s="448"/>
    </row>
    <row r="47" s="383" customFormat="1" ht="13.5" customHeight="1" spans="1:7">
      <c r="A47" s="437" t="s">
        <v>1006</v>
      </c>
      <c r="B47" s="449" t="s">
        <v>2223</v>
      </c>
      <c r="C47" s="439">
        <f>ROUND(C40*F27,4)</f>
        <v>0.002</v>
      </c>
      <c r="D47" s="466"/>
      <c r="E47" s="433"/>
      <c r="F47" s="447"/>
      <c r="G47" s="448"/>
    </row>
    <row r="48" s="383" customFormat="1" ht="13.5" customHeight="1" spans="1:7">
      <c r="A48" s="426" t="s">
        <v>1794</v>
      </c>
      <c r="B48" s="402" t="s">
        <v>2202</v>
      </c>
      <c r="C48" s="462">
        <f>F30</f>
        <v>0.056</v>
      </c>
      <c r="D48" s="433" t="s">
        <v>2224</v>
      </c>
      <c r="E48" s="429"/>
      <c r="F48" s="436"/>
      <c r="G48" s="434" t="s">
        <v>2225</v>
      </c>
    </row>
    <row r="49" ht="16.5" customHeight="1" spans="1:7">
      <c r="A49" s="426" t="s">
        <v>2201</v>
      </c>
      <c r="B49" s="402" t="s">
        <v>2226</v>
      </c>
      <c r="C49" s="429">
        <f ca="1">ROUND((C33+C39+C41+C45)/(1-C40-D41-D45-C48/(1+'数据-取费表'!B42)),0)</f>
        <v>1461</v>
      </c>
      <c r="D49" s="429"/>
      <c r="E49" s="429"/>
      <c r="F49" s="467"/>
      <c r="G49" s="434" t="s">
        <v>2227</v>
      </c>
    </row>
    <row r="50" s="385" customFormat="1" ht="26" spans="1:7">
      <c r="A50" s="426" t="s">
        <v>2228</v>
      </c>
      <c r="B50" s="402" t="s">
        <v>2229</v>
      </c>
      <c r="C50" s="429"/>
      <c r="D50" s="429"/>
      <c r="E50" s="429"/>
      <c r="F50" s="467">
        <f>IF('数据-取费表'!B24=0,'数据-取费表'!N16,1)</f>
        <v>0.74</v>
      </c>
      <c r="G50" s="448" t="s">
        <v>2230</v>
      </c>
    </row>
    <row r="51" ht="16.5" customHeight="1" spans="1:7">
      <c r="A51" s="426" t="s">
        <v>2231</v>
      </c>
      <c r="B51" s="402" t="s">
        <v>2232</v>
      </c>
      <c r="C51" s="429">
        <f ca="1">ROUND(C49*F50,0)</f>
        <v>1081</v>
      </c>
      <c r="D51" s="429"/>
      <c r="E51" s="429"/>
      <c r="F51" s="467"/>
      <c r="G51" s="434" t="s">
        <v>2233</v>
      </c>
    </row>
    <row r="52" s="382" customFormat="1" ht="16.25" spans="1:7">
      <c r="A52" s="468" t="s">
        <v>2234</v>
      </c>
      <c r="B52" s="469"/>
      <c r="C52" s="470">
        <f ca="1">C31+C51</f>
        <v>27719</v>
      </c>
      <c r="D52" s="469"/>
      <c r="E52" s="469"/>
      <c r="F52" s="469"/>
      <c r="G52" s="471"/>
    </row>
    <row r="55" ht="15.5" spans="2:3">
      <c r="B55" s="472" t="s">
        <v>2235</v>
      </c>
      <c r="C55" s="473"/>
    </row>
    <row r="56" ht="13" spans="2:3">
      <c r="B56" s="474" t="s">
        <v>2236</v>
      </c>
      <c r="C56" s="475">
        <f ca="1">ROUND(C51/C52,3)</f>
        <v>0.039</v>
      </c>
    </row>
    <row r="57" ht="13" spans="2:3">
      <c r="B57" s="474" t="s">
        <v>2237</v>
      </c>
      <c r="C57" s="476">
        <f ca="1">1-C56</f>
        <v>0.961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Q80" sqref="Q80"/>
    </sheetView>
  </sheetViews>
  <sheetFormatPr defaultColWidth="8.87272727272727" defaultRowHeight="12"/>
  <cols>
    <col min="1" max="1" width="9.62727272727273" style="348" customWidth="1"/>
    <col min="2" max="2" width="18.6272727272727" style="348" customWidth="1"/>
    <col min="3" max="6" width="10.2545454545455" style="348" customWidth="1"/>
    <col min="7" max="7" width="10.5" style="348" customWidth="1"/>
    <col min="8" max="8" width="8.87272727272727" style="347"/>
    <col min="9" max="9" width="13.3727272727273" style="347" customWidth="1"/>
    <col min="10" max="13" width="13.3727272727273" style="348" customWidth="1"/>
    <col min="14" max="14" width="18.2545454545455" style="348" customWidth="1"/>
    <col min="15" max="17" width="15.1272727272727" style="348" customWidth="1"/>
    <col min="18" max="20" width="11.5" style="348" customWidth="1"/>
    <col min="21" max="16384" width="8.87272727272727" style="348"/>
  </cols>
  <sheetData>
    <row r="1" ht="12.75" spans="1:20">
      <c r="A1" s="349" t="s">
        <v>2238</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2239</v>
      </c>
      <c r="B2" s="351"/>
      <c r="C2" s="351"/>
      <c r="D2" s="351"/>
      <c r="E2" s="351"/>
      <c r="F2" s="351"/>
      <c r="G2" s="352" t="s">
        <v>2240</v>
      </c>
      <c r="I2" s="361" t="s">
        <v>2241</v>
      </c>
      <c r="J2" s="361" t="s">
        <v>2242</v>
      </c>
      <c r="K2" s="361" t="s">
        <v>2243</v>
      </c>
      <c r="L2" s="361" t="s">
        <v>2244</v>
      </c>
      <c r="M2" s="361" t="s">
        <v>2245</v>
      </c>
      <c r="N2" s="361" t="s">
        <v>2246</v>
      </c>
      <c r="O2" s="361" t="s">
        <v>2247</v>
      </c>
      <c r="P2" s="361" t="s">
        <v>2248</v>
      </c>
      <c r="Q2" s="361" t="s">
        <v>2249</v>
      </c>
      <c r="R2" s="361" t="s">
        <v>2250</v>
      </c>
      <c r="S2" s="361" t="s">
        <v>2251</v>
      </c>
      <c r="T2" s="361" t="s">
        <v>2252</v>
      </c>
    </row>
    <row r="3" s="346" customFormat="1" spans="1:20">
      <c r="A3" s="353" t="s">
        <v>2253</v>
      </c>
      <c r="B3" s="354"/>
      <c r="C3" s="355" t="s">
        <v>1916</v>
      </c>
      <c r="D3" s="355" t="s">
        <v>1181</v>
      </c>
      <c r="E3" s="355" t="s">
        <v>412</v>
      </c>
      <c r="F3" s="355" t="s">
        <v>408</v>
      </c>
      <c r="G3" s="355" t="s">
        <v>280</v>
      </c>
      <c r="H3" s="356"/>
      <c r="I3" s="362" t="s">
        <v>2254</v>
      </c>
      <c r="J3" s="363" t="s">
        <v>2255</v>
      </c>
      <c r="K3" s="363" t="s">
        <v>2256</v>
      </c>
      <c r="L3" s="362" t="s">
        <v>2257</v>
      </c>
      <c r="M3" s="362" t="s">
        <v>2258</v>
      </c>
      <c r="N3" s="362" t="s">
        <v>2259</v>
      </c>
      <c r="O3" s="362" t="s">
        <v>2260</v>
      </c>
      <c r="P3" s="362" t="s">
        <v>2261</v>
      </c>
      <c r="Q3" s="362" t="s">
        <v>2262</v>
      </c>
      <c r="R3" s="362" t="s">
        <v>2263</v>
      </c>
      <c r="S3" s="362" t="s">
        <v>2264</v>
      </c>
      <c r="T3" s="362" t="s">
        <v>2265</v>
      </c>
    </row>
    <row r="4" s="346" customFormat="1" ht="12.75" spans="1:20">
      <c r="A4" s="357"/>
      <c r="B4" s="358" t="s">
        <v>2266</v>
      </c>
      <c r="C4" s="358" t="s">
        <v>2267</v>
      </c>
      <c r="D4" s="358" t="s">
        <v>2267</v>
      </c>
      <c r="E4" s="358" t="s">
        <v>2267</v>
      </c>
      <c r="F4" s="359" t="s">
        <v>2267</v>
      </c>
      <c r="G4" s="359" t="s">
        <v>2267</v>
      </c>
      <c r="H4" s="356"/>
      <c r="I4" s="363" t="s">
        <v>2268</v>
      </c>
      <c r="J4" s="363" t="s">
        <v>2269</v>
      </c>
      <c r="K4" s="363" t="s">
        <v>2270</v>
      </c>
      <c r="L4" s="362" t="s">
        <v>2271</v>
      </c>
      <c r="M4" s="362" t="s">
        <v>2272</v>
      </c>
      <c r="N4" s="362" t="s">
        <v>2273</v>
      </c>
      <c r="O4" s="362" t="s">
        <v>2274</v>
      </c>
      <c r="P4" s="362" t="s">
        <v>2275</v>
      </c>
      <c r="Q4" s="362" t="s">
        <v>2276</v>
      </c>
      <c r="R4" s="362" t="s">
        <v>2277</v>
      </c>
      <c r="S4" s="362" t="s">
        <v>2278</v>
      </c>
      <c r="T4" s="362" t="s">
        <v>2279</v>
      </c>
    </row>
    <row r="5" spans="1:20">
      <c r="A5" s="360" t="s">
        <v>230</v>
      </c>
      <c r="B5" s="361" t="s">
        <v>2241</v>
      </c>
      <c r="C5" s="361">
        <v>34550</v>
      </c>
      <c r="D5" s="361">
        <v>34470</v>
      </c>
      <c r="E5" s="361">
        <v>34330</v>
      </c>
      <c r="F5" s="361">
        <v>13400</v>
      </c>
      <c r="G5" s="361">
        <v>25450</v>
      </c>
      <c r="H5" s="356"/>
      <c r="I5" s="362" t="s">
        <v>2280</v>
      </c>
      <c r="J5" s="363" t="s">
        <v>2281</v>
      </c>
      <c r="K5" s="363" t="s">
        <v>2282</v>
      </c>
      <c r="L5" s="362" t="s">
        <v>2283</v>
      </c>
      <c r="M5" s="362" t="s">
        <v>2284</v>
      </c>
      <c r="N5" s="362" t="s">
        <v>2285</v>
      </c>
      <c r="O5" s="362" t="s">
        <v>2286</v>
      </c>
      <c r="P5" s="362" t="s">
        <v>2287</v>
      </c>
      <c r="Q5" s="362" t="s">
        <v>2288</v>
      </c>
      <c r="R5" s="362" t="s">
        <v>2289</v>
      </c>
      <c r="S5" s="362" t="s">
        <v>2290</v>
      </c>
      <c r="T5" s="362" t="s">
        <v>2291</v>
      </c>
    </row>
    <row r="6" ht="12.75" spans="1:20">
      <c r="A6" s="362" t="s">
        <v>230</v>
      </c>
      <c r="B6" s="362" t="s">
        <v>2254</v>
      </c>
      <c r="C6" s="362">
        <v>36990</v>
      </c>
      <c r="D6" s="362">
        <v>36850</v>
      </c>
      <c r="E6" s="362">
        <v>36700</v>
      </c>
      <c r="F6" s="362">
        <v>14590</v>
      </c>
      <c r="G6" s="362">
        <v>27450</v>
      </c>
      <c r="H6" s="356"/>
      <c r="I6" s="365" t="s">
        <v>2292</v>
      </c>
      <c r="J6" s="363" t="s">
        <v>2293</v>
      </c>
      <c r="K6" s="363" t="s">
        <v>2294</v>
      </c>
      <c r="L6" s="362" t="s">
        <v>2295</v>
      </c>
      <c r="M6" s="362" t="s">
        <v>2296</v>
      </c>
      <c r="N6" s="362" t="s">
        <v>2297</v>
      </c>
      <c r="O6" s="362" t="s">
        <v>2298</v>
      </c>
      <c r="P6" s="362" t="s">
        <v>2299</v>
      </c>
      <c r="Q6" s="362" t="s">
        <v>2300</v>
      </c>
      <c r="R6" s="362" t="s">
        <v>2301</v>
      </c>
      <c r="S6" s="362" t="s">
        <v>2302</v>
      </c>
      <c r="T6" s="362" t="s">
        <v>2303</v>
      </c>
    </row>
    <row r="7" spans="1:20">
      <c r="A7" s="362" t="s">
        <v>230</v>
      </c>
      <c r="B7" s="363" t="s">
        <v>2268</v>
      </c>
      <c r="C7" s="362">
        <v>34850</v>
      </c>
      <c r="D7" s="362">
        <v>34690</v>
      </c>
      <c r="E7" s="362">
        <v>34550</v>
      </c>
      <c r="F7" s="362">
        <v>14360</v>
      </c>
      <c r="G7" s="362">
        <v>25620</v>
      </c>
      <c r="H7" s="356"/>
      <c r="J7" s="363" t="s">
        <v>2304</v>
      </c>
      <c r="K7" s="363" t="s">
        <v>2305</v>
      </c>
      <c r="L7" s="362" t="s">
        <v>2306</v>
      </c>
      <c r="M7" s="362" t="s">
        <v>2307</v>
      </c>
      <c r="N7" s="362" t="s">
        <v>2308</v>
      </c>
      <c r="O7" s="362" t="s">
        <v>2309</v>
      </c>
      <c r="P7" s="362" t="s">
        <v>2310</v>
      </c>
      <c r="Q7" s="362" t="s">
        <v>2311</v>
      </c>
      <c r="R7" s="362" t="s">
        <v>2312</v>
      </c>
      <c r="S7" s="362" t="s">
        <v>2313</v>
      </c>
      <c r="T7" s="362" t="s">
        <v>2314</v>
      </c>
    </row>
    <row r="8" ht="12.75" spans="1:20">
      <c r="A8" s="362" t="s">
        <v>230</v>
      </c>
      <c r="B8" s="362" t="s">
        <v>2280</v>
      </c>
      <c r="C8" s="362">
        <v>32630</v>
      </c>
      <c r="D8" s="362">
        <v>32510</v>
      </c>
      <c r="E8" s="362">
        <v>32420</v>
      </c>
      <c r="F8" s="362">
        <v>13300</v>
      </c>
      <c r="G8" s="362">
        <v>24010</v>
      </c>
      <c r="H8" s="356"/>
      <c r="J8" s="363" t="s">
        <v>2315</v>
      </c>
      <c r="K8" s="363" t="s">
        <v>2316</v>
      </c>
      <c r="L8" s="362" t="s">
        <v>2317</v>
      </c>
      <c r="M8" s="362" t="s">
        <v>2318</v>
      </c>
      <c r="N8" s="362" t="s">
        <v>2319</v>
      </c>
      <c r="O8" s="362" t="s">
        <v>2320</v>
      </c>
      <c r="P8" s="362" t="s">
        <v>2321</v>
      </c>
      <c r="Q8" s="362" t="s">
        <v>2322</v>
      </c>
      <c r="R8" s="362" t="s">
        <v>2323</v>
      </c>
      <c r="S8" s="362" t="s">
        <v>2324</v>
      </c>
      <c r="T8" s="366" t="s">
        <v>2325</v>
      </c>
    </row>
    <row r="9" ht="12.75" spans="1:19">
      <c r="A9" s="364" t="s">
        <v>230</v>
      </c>
      <c r="B9" s="365" t="s">
        <v>2292</v>
      </c>
      <c r="C9" s="366">
        <v>36370</v>
      </c>
      <c r="D9" s="366">
        <v>36210</v>
      </c>
      <c r="E9" s="366">
        <v>36050</v>
      </c>
      <c r="F9" s="366"/>
      <c r="G9" s="366">
        <v>26740</v>
      </c>
      <c r="H9" s="356"/>
      <c r="J9" s="363" t="s">
        <v>2326</v>
      </c>
      <c r="K9" s="363" t="s">
        <v>2327</v>
      </c>
      <c r="L9" s="362" t="s">
        <v>2328</v>
      </c>
      <c r="M9" s="362" t="s">
        <v>2329</v>
      </c>
      <c r="N9" s="362" t="s">
        <v>2330</v>
      </c>
      <c r="O9" s="362" t="s">
        <v>2331</v>
      </c>
      <c r="P9" s="362" t="s">
        <v>2332</v>
      </c>
      <c r="Q9" s="362" t="s">
        <v>2333</v>
      </c>
      <c r="R9" s="362" t="s">
        <v>2334</v>
      </c>
      <c r="S9" s="362" t="s">
        <v>2335</v>
      </c>
    </row>
    <row r="10" spans="1:19">
      <c r="A10" s="360" t="s">
        <v>241</v>
      </c>
      <c r="B10" s="361" t="s">
        <v>2242</v>
      </c>
      <c r="C10" s="362">
        <v>32350</v>
      </c>
      <c r="D10" s="362">
        <v>31430</v>
      </c>
      <c r="E10" s="362">
        <v>31320</v>
      </c>
      <c r="F10" s="362">
        <v>10850</v>
      </c>
      <c r="G10" s="362">
        <v>22860</v>
      </c>
      <c r="H10" s="356"/>
      <c r="J10" s="363" t="s">
        <v>2336</v>
      </c>
      <c r="K10" s="363" t="s">
        <v>2337</v>
      </c>
      <c r="L10" s="362" t="s">
        <v>2338</v>
      </c>
      <c r="M10" s="362" t="s">
        <v>2339</v>
      </c>
      <c r="N10" s="362" t="s">
        <v>2340</v>
      </c>
      <c r="O10" s="362" t="s">
        <v>2341</v>
      </c>
      <c r="P10" s="362" t="s">
        <v>2342</v>
      </c>
      <c r="Q10" s="362" t="s">
        <v>2343</v>
      </c>
      <c r="R10" s="362" t="s">
        <v>2344</v>
      </c>
      <c r="S10" s="362" t="s">
        <v>2345</v>
      </c>
    </row>
    <row r="11" spans="1:19">
      <c r="A11" s="362" t="s">
        <v>241</v>
      </c>
      <c r="B11" s="363" t="s">
        <v>2255</v>
      </c>
      <c r="C11" s="362">
        <v>31590</v>
      </c>
      <c r="D11" s="362">
        <v>29490</v>
      </c>
      <c r="E11" s="362">
        <v>28700</v>
      </c>
      <c r="F11" s="362">
        <v>10410</v>
      </c>
      <c r="G11" s="362">
        <v>21460</v>
      </c>
      <c r="H11" s="356"/>
      <c r="J11" s="363" t="s">
        <v>2346</v>
      </c>
      <c r="K11" s="363" t="s">
        <v>2347</v>
      </c>
      <c r="L11" s="362" t="s">
        <v>2348</v>
      </c>
      <c r="M11" s="362" t="s">
        <v>2349</v>
      </c>
      <c r="N11" s="362" t="s">
        <v>2350</v>
      </c>
      <c r="O11" s="362" t="s">
        <v>2351</v>
      </c>
      <c r="P11" s="362" t="s">
        <v>2352</v>
      </c>
      <c r="Q11" s="362" t="s">
        <v>2353</v>
      </c>
      <c r="R11" s="362" t="s">
        <v>2354</v>
      </c>
      <c r="S11" s="362" t="s">
        <v>2355</v>
      </c>
    </row>
    <row r="12" spans="1:19">
      <c r="A12" s="362" t="s">
        <v>241</v>
      </c>
      <c r="B12" s="363" t="s">
        <v>2269</v>
      </c>
      <c r="C12" s="362">
        <v>29640</v>
      </c>
      <c r="D12" s="362">
        <v>27550</v>
      </c>
      <c r="E12" s="362">
        <v>28010</v>
      </c>
      <c r="F12" s="362">
        <v>8730</v>
      </c>
      <c r="G12" s="362">
        <v>20050</v>
      </c>
      <c r="H12" s="356"/>
      <c r="J12" s="363" t="s">
        <v>2356</v>
      </c>
      <c r="K12" s="363" t="s">
        <v>2357</v>
      </c>
      <c r="L12" s="362" t="s">
        <v>2358</v>
      </c>
      <c r="M12" s="362" t="s">
        <v>2359</v>
      </c>
      <c r="N12" s="362" t="s">
        <v>2360</v>
      </c>
      <c r="O12" s="362" t="s">
        <v>2361</v>
      </c>
      <c r="P12" s="362" t="s">
        <v>2362</v>
      </c>
      <c r="Q12" s="362" t="s">
        <v>2363</v>
      </c>
      <c r="R12" s="362" t="s">
        <v>2364</v>
      </c>
      <c r="S12" s="362" t="s">
        <v>2365</v>
      </c>
    </row>
    <row r="13" spans="1:19">
      <c r="A13" s="362" t="s">
        <v>241</v>
      </c>
      <c r="B13" s="363" t="s">
        <v>2281</v>
      </c>
      <c r="C13" s="362">
        <v>29680</v>
      </c>
      <c r="D13" s="362">
        <v>27660</v>
      </c>
      <c r="E13" s="362">
        <v>28210</v>
      </c>
      <c r="F13" s="362">
        <v>9590</v>
      </c>
      <c r="G13" s="362">
        <v>20120</v>
      </c>
      <c r="H13" s="356"/>
      <c r="J13" s="363" t="s">
        <v>2366</v>
      </c>
      <c r="K13" s="363" t="s">
        <v>2367</v>
      </c>
      <c r="L13" s="362" t="s">
        <v>2368</v>
      </c>
      <c r="M13" s="362" t="s">
        <v>2369</v>
      </c>
      <c r="N13" s="362" t="s">
        <v>2370</v>
      </c>
      <c r="O13" s="362" t="s">
        <v>2371</v>
      </c>
      <c r="P13" s="362" t="s">
        <v>2372</v>
      </c>
      <c r="Q13" s="362" t="s">
        <v>2373</v>
      </c>
      <c r="R13" s="362" t="s">
        <v>2374</v>
      </c>
      <c r="S13" s="362" t="s">
        <v>2375</v>
      </c>
    </row>
    <row r="14" spans="1:19">
      <c r="A14" s="362" t="s">
        <v>241</v>
      </c>
      <c r="B14" s="363" t="s">
        <v>2293</v>
      </c>
      <c r="C14" s="362">
        <v>30520</v>
      </c>
      <c r="D14" s="362">
        <v>29510</v>
      </c>
      <c r="E14" s="362">
        <v>29400</v>
      </c>
      <c r="F14" s="362">
        <v>9630</v>
      </c>
      <c r="G14" s="362">
        <v>21480</v>
      </c>
      <c r="H14" s="356"/>
      <c r="J14" s="363" t="s">
        <v>2376</v>
      </c>
      <c r="K14" s="363" t="s">
        <v>2377</v>
      </c>
      <c r="L14" s="362" t="s">
        <v>2378</v>
      </c>
      <c r="M14" s="362" t="s">
        <v>2379</v>
      </c>
      <c r="N14" s="362" t="s">
        <v>2380</v>
      </c>
      <c r="O14" s="362" t="s">
        <v>2381</v>
      </c>
      <c r="P14" s="362" t="s">
        <v>2382</v>
      </c>
      <c r="Q14" s="362" t="s">
        <v>2383</v>
      </c>
      <c r="R14" s="362" t="s">
        <v>2384</v>
      </c>
      <c r="S14" s="362" t="s">
        <v>2385</v>
      </c>
    </row>
    <row r="15" spans="1:19">
      <c r="A15" s="362" t="s">
        <v>241</v>
      </c>
      <c r="B15" s="363" t="s">
        <v>2304</v>
      </c>
      <c r="C15" s="362">
        <v>29090</v>
      </c>
      <c r="D15" s="362">
        <v>27590</v>
      </c>
      <c r="E15" s="362">
        <v>28120</v>
      </c>
      <c r="F15" s="362">
        <v>9110</v>
      </c>
      <c r="G15" s="362">
        <v>20070</v>
      </c>
      <c r="H15" s="356"/>
      <c r="J15" s="363" t="s">
        <v>2386</v>
      </c>
      <c r="K15" s="363" t="s">
        <v>2387</v>
      </c>
      <c r="L15" s="362" t="s">
        <v>2388</v>
      </c>
      <c r="M15" s="362" t="s">
        <v>2389</v>
      </c>
      <c r="N15" s="362" t="s">
        <v>2390</v>
      </c>
      <c r="O15" s="362" t="s">
        <v>2391</v>
      </c>
      <c r="P15" s="362" t="s">
        <v>2392</v>
      </c>
      <c r="Q15" s="362" t="s">
        <v>2393</v>
      </c>
      <c r="R15" s="362" t="s">
        <v>2394</v>
      </c>
      <c r="S15" s="362" t="s">
        <v>2395</v>
      </c>
    </row>
    <row r="16" spans="1:19">
      <c r="A16" s="362" t="s">
        <v>241</v>
      </c>
      <c r="B16" s="363" t="s">
        <v>2315</v>
      </c>
      <c r="C16" s="362">
        <v>26790</v>
      </c>
      <c r="D16" s="362">
        <v>30370</v>
      </c>
      <c r="E16" s="362">
        <v>30240</v>
      </c>
      <c r="F16" s="362">
        <v>11590</v>
      </c>
      <c r="G16" s="362">
        <v>22090</v>
      </c>
      <c r="H16" s="356"/>
      <c r="J16" s="363" t="s">
        <v>2396</v>
      </c>
      <c r="K16" s="363" t="s">
        <v>2397</v>
      </c>
      <c r="L16" s="362" t="s">
        <v>2398</v>
      </c>
      <c r="M16" s="362" t="s">
        <v>2399</v>
      </c>
      <c r="N16" s="362" t="s">
        <v>2400</v>
      </c>
      <c r="O16" s="362" t="s">
        <v>2401</v>
      </c>
      <c r="P16" s="362" t="s">
        <v>2402</v>
      </c>
      <c r="Q16" s="362" t="s">
        <v>2403</v>
      </c>
      <c r="R16" s="362" t="s">
        <v>2404</v>
      </c>
      <c r="S16" s="362" t="s">
        <v>2405</v>
      </c>
    </row>
    <row r="17" ht="14.25" customHeight="1" spans="1:19">
      <c r="A17" s="362" t="s">
        <v>241</v>
      </c>
      <c r="B17" s="363" t="s">
        <v>2326</v>
      </c>
      <c r="C17" s="362">
        <v>29180</v>
      </c>
      <c r="D17" s="362">
        <v>27620</v>
      </c>
      <c r="E17" s="362">
        <v>28180</v>
      </c>
      <c r="F17" s="362">
        <v>10790</v>
      </c>
      <c r="G17" s="362">
        <v>20090</v>
      </c>
      <c r="H17" s="356"/>
      <c r="J17" s="363" t="s">
        <v>2406</v>
      </c>
      <c r="K17" s="363" t="s">
        <v>2407</v>
      </c>
      <c r="L17" s="362" t="s">
        <v>2408</v>
      </c>
      <c r="M17" s="362" t="s">
        <v>2409</v>
      </c>
      <c r="N17" s="362" t="s">
        <v>2410</v>
      </c>
      <c r="O17" s="362" t="s">
        <v>2411</v>
      </c>
      <c r="P17" s="362" t="s">
        <v>2412</v>
      </c>
      <c r="Q17" s="362" t="s">
        <v>2413</v>
      </c>
      <c r="R17" s="362" t="s">
        <v>2414</v>
      </c>
      <c r="S17" s="362" t="s">
        <v>2415</v>
      </c>
    </row>
    <row r="18" ht="14.25" customHeight="1" spans="1:19">
      <c r="A18" s="362" t="s">
        <v>241</v>
      </c>
      <c r="B18" s="363" t="s">
        <v>2336</v>
      </c>
      <c r="C18" s="362">
        <v>26840</v>
      </c>
      <c r="D18" s="362">
        <v>28930</v>
      </c>
      <c r="E18" s="362">
        <v>28820</v>
      </c>
      <c r="F18" s="362"/>
      <c r="G18" s="362">
        <v>21050</v>
      </c>
      <c r="H18" s="356"/>
      <c r="J18" s="363" t="s">
        <v>2416</v>
      </c>
      <c r="K18" s="363" t="s">
        <v>2417</v>
      </c>
      <c r="L18" s="362" t="s">
        <v>2418</v>
      </c>
      <c r="M18" s="362" t="s">
        <v>2419</v>
      </c>
      <c r="N18" s="362" t="s">
        <v>2420</v>
      </c>
      <c r="O18" s="362" t="s">
        <v>2421</v>
      </c>
      <c r="P18" s="362" t="s">
        <v>2422</v>
      </c>
      <c r="Q18" s="362" t="s">
        <v>2423</v>
      </c>
      <c r="R18" s="362" t="s">
        <v>2424</v>
      </c>
      <c r="S18" s="362" t="s">
        <v>2425</v>
      </c>
    </row>
    <row r="19" ht="14.25" customHeight="1" spans="1:19">
      <c r="A19" s="362" t="s">
        <v>241</v>
      </c>
      <c r="B19" s="363" t="s">
        <v>2346</v>
      </c>
      <c r="C19" s="362">
        <v>27750</v>
      </c>
      <c r="D19" s="362">
        <v>26680</v>
      </c>
      <c r="E19" s="362">
        <v>26590</v>
      </c>
      <c r="F19" s="362"/>
      <c r="G19" s="362">
        <v>19420</v>
      </c>
      <c r="H19" s="356"/>
      <c r="J19" s="363" t="s">
        <v>2426</v>
      </c>
      <c r="K19" s="363" t="s">
        <v>2427</v>
      </c>
      <c r="L19" s="362" t="s">
        <v>2428</v>
      </c>
      <c r="M19" s="362" t="s">
        <v>2429</v>
      </c>
      <c r="N19" s="362" t="s">
        <v>2430</v>
      </c>
      <c r="O19" s="362" t="s">
        <v>2431</v>
      </c>
      <c r="P19" s="362" t="s">
        <v>2432</v>
      </c>
      <c r="Q19" s="362" t="s">
        <v>2433</v>
      </c>
      <c r="R19" s="362" t="s">
        <v>2434</v>
      </c>
      <c r="S19" s="362" t="s">
        <v>2435</v>
      </c>
    </row>
    <row r="20" ht="14.25" customHeight="1" spans="1:19">
      <c r="A20" s="362" t="s">
        <v>241</v>
      </c>
      <c r="B20" s="363" t="s">
        <v>2356</v>
      </c>
      <c r="C20" s="362">
        <v>27050</v>
      </c>
      <c r="D20" s="362">
        <v>29010</v>
      </c>
      <c r="E20" s="362">
        <v>28910</v>
      </c>
      <c r="F20" s="362"/>
      <c r="G20" s="362">
        <v>21110</v>
      </c>
      <c r="J20" s="363" t="s">
        <v>2436</v>
      </c>
      <c r="K20" s="363" t="s">
        <v>2437</v>
      </c>
      <c r="L20" s="362" t="s">
        <v>2438</v>
      </c>
      <c r="M20" s="362" t="s">
        <v>2439</v>
      </c>
      <c r="N20" s="362" t="s">
        <v>2440</v>
      </c>
      <c r="O20" s="362" t="s">
        <v>2441</v>
      </c>
      <c r="P20" s="362" t="s">
        <v>2442</v>
      </c>
      <c r="Q20" s="362" t="s">
        <v>2443</v>
      </c>
      <c r="R20" s="362" t="s">
        <v>2444</v>
      </c>
      <c r="S20" s="362" t="s">
        <v>2445</v>
      </c>
    </row>
    <row r="21" ht="14.25" customHeight="1" spans="1:19">
      <c r="A21" s="362" t="s">
        <v>241</v>
      </c>
      <c r="B21" s="363" t="s">
        <v>2366</v>
      </c>
      <c r="C21" s="362">
        <v>32370</v>
      </c>
      <c r="D21" s="362">
        <v>26730</v>
      </c>
      <c r="E21" s="362">
        <v>26640</v>
      </c>
      <c r="F21" s="362"/>
      <c r="G21" s="362">
        <v>19440</v>
      </c>
      <c r="J21" s="366" t="s">
        <v>2446</v>
      </c>
      <c r="K21" s="363" t="s">
        <v>2447</v>
      </c>
      <c r="L21" s="362" t="s">
        <v>2448</v>
      </c>
      <c r="M21" s="362" t="s">
        <v>2449</v>
      </c>
      <c r="N21" s="362" t="s">
        <v>2450</v>
      </c>
      <c r="O21" s="362" t="s">
        <v>2451</v>
      </c>
      <c r="P21" s="362" t="s">
        <v>2452</v>
      </c>
      <c r="Q21" s="362" t="s">
        <v>2453</v>
      </c>
      <c r="R21" s="362" t="s">
        <v>2454</v>
      </c>
      <c r="S21" s="366" t="s">
        <v>2455</v>
      </c>
    </row>
    <row r="22" ht="14.25" customHeight="1" spans="1:18">
      <c r="A22" s="362" t="s">
        <v>241</v>
      </c>
      <c r="B22" s="363" t="s">
        <v>2376</v>
      </c>
      <c r="C22" s="362">
        <v>29830</v>
      </c>
      <c r="D22" s="362">
        <v>27600</v>
      </c>
      <c r="E22" s="362">
        <v>28150</v>
      </c>
      <c r="F22" s="362"/>
      <c r="G22" s="362">
        <v>20080</v>
      </c>
      <c r="K22" s="363" t="s">
        <v>2456</v>
      </c>
      <c r="L22" s="362" t="s">
        <v>2457</v>
      </c>
      <c r="M22" s="362" t="s">
        <v>2458</v>
      </c>
      <c r="N22" s="362" t="s">
        <v>2459</v>
      </c>
      <c r="O22" s="362" t="s">
        <v>2460</v>
      </c>
      <c r="P22" s="362" t="s">
        <v>2461</v>
      </c>
      <c r="Q22" s="362" t="s">
        <v>2462</v>
      </c>
      <c r="R22" s="362" t="s">
        <v>2463</v>
      </c>
    </row>
    <row r="23" ht="14.25" customHeight="1" spans="1:18">
      <c r="A23" s="362" t="s">
        <v>241</v>
      </c>
      <c r="B23" s="363" t="s">
        <v>2386</v>
      </c>
      <c r="C23" s="362">
        <v>27800</v>
      </c>
      <c r="D23" s="362">
        <v>26900</v>
      </c>
      <c r="E23" s="362">
        <v>27170</v>
      </c>
      <c r="F23" s="362"/>
      <c r="G23" s="362">
        <v>19570</v>
      </c>
      <c r="K23" s="363" t="s">
        <v>2464</v>
      </c>
      <c r="L23" s="362" t="s">
        <v>2465</v>
      </c>
      <c r="M23" s="362" t="s">
        <v>2466</v>
      </c>
      <c r="N23" s="362" t="s">
        <v>2467</v>
      </c>
      <c r="O23" s="362" t="s">
        <v>2468</v>
      </c>
      <c r="P23" s="362" t="s">
        <v>2469</v>
      </c>
      <c r="Q23" s="362" t="s">
        <v>2470</v>
      </c>
      <c r="R23" s="362" t="s">
        <v>2471</v>
      </c>
    </row>
    <row r="24" ht="14.25" customHeight="1" spans="1:18">
      <c r="A24" s="362" t="s">
        <v>241</v>
      </c>
      <c r="B24" s="363" t="s">
        <v>2396</v>
      </c>
      <c r="C24" s="362">
        <v>27930</v>
      </c>
      <c r="D24" s="362">
        <v>32260</v>
      </c>
      <c r="E24" s="362">
        <v>32120</v>
      </c>
      <c r="F24" s="362"/>
      <c r="G24" s="362">
        <v>23470</v>
      </c>
      <c r="K24" s="363" t="s">
        <v>2472</v>
      </c>
      <c r="L24" s="362" t="s">
        <v>2473</v>
      </c>
      <c r="M24" s="362" t="s">
        <v>2474</v>
      </c>
      <c r="N24" s="362" t="s">
        <v>2475</v>
      </c>
      <c r="O24" s="362" t="s">
        <v>2476</v>
      </c>
      <c r="P24" s="362" t="s">
        <v>2477</v>
      </c>
      <c r="Q24" s="376" t="s">
        <v>2478</v>
      </c>
      <c r="R24" s="362" t="s">
        <v>2479</v>
      </c>
    </row>
    <row r="25" ht="14.25" customHeight="1" spans="1:18">
      <c r="A25" s="362" t="s">
        <v>241</v>
      </c>
      <c r="B25" s="363" t="s">
        <v>2406</v>
      </c>
      <c r="C25" s="362">
        <v>32230</v>
      </c>
      <c r="D25" s="362">
        <v>29640</v>
      </c>
      <c r="E25" s="362">
        <v>29510</v>
      </c>
      <c r="F25" s="362"/>
      <c r="G25" s="362">
        <v>21560</v>
      </c>
      <c r="K25" s="363" t="s">
        <v>2480</v>
      </c>
      <c r="L25" s="362" t="s">
        <v>2481</v>
      </c>
      <c r="M25" s="362" t="s">
        <v>2482</v>
      </c>
      <c r="N25" s="362" t="s">
        <v>2483</v>
      </c>
      <c r="O25" s="362" t="s">
        <v>2484</v>
      </c>
      <c r="P25" s="362" t="s">
        <v>2485</v>
      </c>
      <c r="Q25" s="376" t="s">
        <v>2486</v>
      </c>
      <c r="R25" s="362" t="s">
        <v>2487</v>
      </c>
    </row>
    <row r="26" ht="14.25" customHeight="1" spans="1:18">
      <c r="A26" s="362" t="s">
        <v>241</v>
      </c>
      <c r="B26" s="363" t="s">
        <v>2416</v>
      </c>
      <c r="C26" s="362">
        <v>31690</v>
      </c>
      <c r="D26" s="362">
        <v>27650</v>
      </c>
      <c r="E26" s="362">
        <v>28200</v>
      </c>
      <c r="F26" s="362"/>
      <c r="G26" s="362">
        <v>20110</v>
      </c>
      <c r="K26" s="365" t="s">
        <v>2488</v>
      </c>
      <c r="L26" s="362" t="s">
        <v>2489</v>
      </c>
      <c r="M26" s="362" t="s">
        <v>2490</v>
      </c>
      <c r="N26" s="362" t="s">
        <v>2491</v>
      </c>
      <c r="O26" s="362" t="s">
        <v>2492</v>
      </c>
      <c r="P26" s="362" t="s">
        <v>2493</v>
      </c>
      <c r="Q26" s="376" t="s">
        <v>2494</v>
      </c>
      <c r="R26" s="362" t="s">
        <v>2495</v>
      </c>
    </row>
    <row r="27" ht="14.25" customHeight="1" spans="1:18">
      <c r="A27" s="362" t="s">
        <v>241</v>
      </c>
      <c r="B27" s="363" t="s">
        <v>2426</v>
      </c>
      <c r="C27" s="362">
        <v>29610</v>
      </c>
      <c r="D27" s="362">
        <v>27770</v>
      </c>
      <c r="E27" s="362">
        <v>28300</v>
      </c>
      <c r="F27" s="362"/>
      <c r="G27" s="362">
        <v>20210</v>
      </c>
      <c r="L27" s="362" t="s">
        <v>2496</v>
      </c>
      <c r="M27" s="362" t="s">
        <v>2497</v>
      </c>
      <c r="N27" s="362" t="s">
        <v>2498</v>
      </c>
      <c r="O27" s="362" t="s">
        <v>2499</v>
      </c>
      <c r="P27" s="362" t="s">
        <v>2500</v>
      </c>
      <c r="Q27" s="362" t="s">
        <v>2501</v>
      </c>
      <c r="R27" s="362" t="s">
        <v>2502</v>
      </c>
    </row>
    <row r="28" ht="14.25" customHeight="1" spans="1:18">
      <c r="A28" s="362" t="s">
        <v>241</v>
      </c>
      <c r="B28" s="363" t="s">
        <v>2436</v>
      </c>
      <c r="C28" s="362"/>
      <c r="D28" s="362">
        <v>31520</v>
      </c>
      <c r="E28" s="362">
        <v>31410</v>
      </c>
      <c r="F28" s="362"/>
      <c r="G28" s="362">
        <v>22940</v>
      </c>
      <c r="L28" s="362" t="s">
        <v>2503</v>
      </c>
      <c r="M28" s="362" t="s">
        <v>2504</v>
      </c>
      <c r="N28" s="362" t="s">
        <v>2505</v>
      </c>
      <c r="O28" s="362" t="s">
        <v>2506</v>
      </c>
      <c r="P28" s="362" t="s">
        <v>2507</v>
      </c>
      <c r="Q28" s="362" t="s">
        <v>2508</v>
      </c>
      <c r="R28" s="362" t="s">
        <v>2509</v>
      </c>
    </row>
    <row r="29" ht="14.25" customHeight="1" spans="1:18">
      <c r="A29" s="364" t="s">
        <v>241</v>
      </c>
      <c r="B29" s="367" t="s">
        <v>2446</v>
      </c>
      <c r="C29" s="368"/>
      <c r="D29" s="368">
        <v>29460</v>
      </c>
      <c r="E29" s="368">
        <v>28640</v>
      </c>
      <c r="F29" s="368"/>
      <c r="G29" s="368">
        <v>21430</v>
      </c>
      <c r="L29" s="362" t="s">
        <v>2510</v>
      </c>
      <c r="M29" s="362" t="s">
        <v>2511</v>
      </c>
      <c r="N29" s="362" t="s">
        <v>2512</v>
      </c>
      <c r="O29" s="362" t="s">
        <v>2513</v>
      </c>
      <c r="P29" s="362" t="s">
        <v>2514</v>
      </c>
      <c r="Q29" s="362" t="s">
        <v>2515</v>
      </c>
      <c r="R29" s="362" t="s">
        <v>2516</v>
      </c>
    </row>
    <row r="30" ht="14.25" customHeight="1" spans="1:18">
      <c r="A30" s="360" t="s">
        <v>251</v>
      </c>
      <c r="B30" s="361" t="s">
        <v>2243</v>
      </c>
      <c r="C30" s="361">
        <v>26890</v>
      </c>
      <c r="D30" s="361">
        <v>26770</v>
      </c>
      <c r="E30" s="361">
        <v>25700</v>
      </c>
      <c r="F30" s="361">
        <v>8180</v>
      </c>
      <c r="G30" s="369">
        <v>18740</v>
      </c>
      <c r="L30" s="362" t="s">
        <v>500</v>
      </c>
      <c r="M30" s="362" t="s">
        <v>2517</v>
      </c>
      <c r="N30" s="362" t="s">
        <v>2518</v>
      </c>
      <c r="O30" s="362" t="s">
        <v>2519</v>
      </c>
      <c r="P30" s="362" t="s">
        <v>2520</v>
      </c>
      <c r="Q30" s="362" t="s">
        <v>2521</v>
      </c>
      <c r="R30" s="362" t="s">
        <v>2522</v>
      </c>
    </row>
    <row r="31" ht="14.25" customHeight="1" spans="1:18">
      <c r="A31" s="362" t="s">
        <v>251</v>
      </c>
      <c r="B31" s="363" t="s">
        <v>2256</v>
      </c>
      <c r="C31" s="362">
        <v>24550</v>
      </c>
      <c r="D31" s="362">
        <v>23990</v>
      </c>
      <c r="E31" s="362">
        <v>22930</v>
      </c>
      <c r="F31" s="362">
        <v>7470</v>
      </c>
      <c r="G31" s="370">
        <v>16790</v>
      </c>
      <c r="L31" s="362" t="s">
        <v>2523</v>
      </c>
      <c r="M31" s="362" t="s">
        <v>2524</v>
      </c>
      <c r="N31" s="362" t="s">
        <v>2525</v>
      </c>
      <c r="O31" s="362" t="s">
        <v>2526</v>
      </c>
      <c r="P31" s="362" t="s">
        <v>2527</v>
      </c>
      <c r="Q31" s="362" t="s">
        <v>2528</v>
      </c>
      <c r="R31" s="362" t="s">
        <v>2529</v>
      </c>
    </row>
    <row r="32" ht="14.25" customHeight="1" spans="1:18">
      <c r="A32" s="362" t="s">
        <v>251</v>
      </c>
      <c r="B32" s="363" t="s">
        <v>2270</v>
      </c>
      <c r="C32" s="362">
        <v>27210</v>
      </c>
      <c r="D32" s="362">
        <v>23240</v>
      </c>
      <c r="E32" s="362">
        <v>23260</v>
      </c>
      <c r="F32" s="362">
        <v>7130</v>
      </c>
      <c r="G32" s="370">
        <v>16270</v>
      </c>
      <c r="L32" s="362" t="s">
        <v>2530</v>
      </c>
      <c r="M32" s="362" t="s">
        <v>2531</v>
      </c>
      <c r="N32" s="362" t="s">
        <v>2532</v>
      </c>
      <c r="O32" s="362" t="s">
        <v>2533</v>
      </c>
      <c r="P32" s="362" t="s">
        <v>2534</v>
      </c>
      <c r="Q32" s="362" t="s">
        <v>2535</v>
      </c>
      <c r="R32" s="366" t="s">
        <v>2536</v>
      </c>
    </row>
    <row r="33" ht="14.25" customHeight="1" spans="1:17">
      <c r="A33" s="362" t="s">
        <v>251</v>
      </c>
      <c r="B33" s="363" t="s">
        <v>2282</v>
      </c>
      <c r="C33" s="362">
        <v>27300</v>
      </c>
      <c r="D33" s="362">
        <v>22980</v>
      </c>
      <c r="E33" s="362">
        <v>24260</v>
      </c>
      <c r="F33" s="362">
        <v>5860</v>
      </c>
      <c r="G33" s="370">
        <v>16090</v>
      </c>
      <c r="L33" s="366" t="s">
        <v>2537</v>
      </c>
      <c r="M33" s="362" t="s">
        <v>2538</v>
      </c>
      <c r="N33" s="362" t="s">
        <v>2539</v>
      </c>
      <c r="O33" s="362" t="s">
        <v>2540</v>
      </c>
      <c r="P33" s="362" t="s">
        <v>2541</v>
      </c>
      <c r="Q33" s="362" t="s">
        <v>2542</v>
      </c>
    </row>
    <row r="34" ht="14.25" customHeight="1" spans="1:17">
      <c r="A34" s="362" t="s">
        <v>251</v>
      </c>
      <c r="B34" s="363" t="s">
        <v>2294</v>
      </c>
      <c r="C34" s="362">
        <v>23090</v>
      </c>
      <c r="D34" s="362">
        <v>23390</v>
      </c>
      <c r="E34" s="362">
        <v>23510</v>
      </c>
      <c r="F34" s="362">
        <v>6700</v>
      </c>
      <c r="G34" s="370">
        <v>16370</v>
      </c>
      <c r="M34" s="362" t="s">
        <v>2543</v>
      </c>
      <c r="N34" s="362" t="s">
        <v>2544</v>
      </c>
      <c r="O34" s="362" t="s">
        <v>2545</v>
      </c>
      <c r="P34" s="362" t="s">
        <v>2546</v>
      </c>
      <c r="Q34" s="362" t="s">
        <v>2547</v>
      </c>
    </row>
    <row r="35" ht="14.25" customHeight="1" spans="1:17">
      <c r="A35" s="362" t="s">
        <v>251</v>
      </c>
      <c r="B35" s="363" t="s">
        <v>2305</v>
      </c>
      <c r="C35" s="362">
        <v>27270</v>
      </c>
      <c r="D35" s="362">
        <v>24270</v>
      </c>
      <c r="E35" s="362">
        <v>24950</v>
      </c>
      <c r="F35" s="362">
        <v>6600</v>
      </c>
      <c r="G35" s="370">
        <v>16990</v>
      </c>
      <c r="M35" s="362" t="s">
        <v>2548</v>
      </c>
      <c r="N35" s="362" t="s">
        <v>2549</v>
      </c>
      <c r="O35" s="362" t="s">
        <v>2550</v>
      </c>
      <c r="P35" s="362" t="s">
        <v>2551</v>
      </c>
      <c r="Q35" s="362" t="s">
        <v>2552</v>
      </c>
    </row>
    <row r="36" ht="14.25" customHeight="1" spans="1:17">
      <c r="A36" s="362" t="s">
        <v>251</v>
      </c>
      <c r="B36" s="363" t="s">
        <v>2316</v>
      </c>
      <c r="C36" s="362">
        <v>23490</v>
      </c>
      <c r="D36" s="362">
        <v>23020</v>
      </c>
      <c r="E36" s="362">
        <v>25230</v>
      </c>
      <c r="F36" s="362">
        <v>6780</v>
      </c>
      <c r="G36" s="370">
        <v>16120</v>
      </c>
      <c r="M36" s="362" t="s">
        <v>2553</v>
      </c>
      <c r="N36" s="362" t="s">
        <v>2554</v>
      </c>
      <c r="O36" s="362" t="s">
        <v>2555</v>
      </c>
      <c r="P36" s="362" t="s">
        <v>2556</v>
      </c>
      <c r="Q36" s="362" t="s">
        <v>2557</v>
      </c>
    </row>
    <row r="37" ht="14.25" customHeight="1" spans="1:17">
      <c r="A37" s="362" t="s">
        <v>251</v>
      </c>
      <c r="B37" s="363" t="s">
        <v>2327</v>
      </c>
      <c r="C37" s="362">
        <v>24380</v>
      </c>
      <c r="D37" s="362">
        <v>22240</v>
      </c>
      <c r="E37" s="362">
        <v>25980</v>
      </c>
      <c r="F37" s="362">
        <v>8160</v>
      </c>
      <c r="G37" s="370">
        <v>15570</v>
      </c>
      <c r="M37" s="362" t="s">
        <v>2558</v>
      </c>
      <c r="N37" s="362" t="s">
        <v>2559</v>
      </c>
      <c r="O37" s="362" t="s">
        <v>2560</v>
      </c>
      <c r="P37" s="362" t="s">
        <v>2561</v>
      </c>
      <c r="Q37" s="362" t="s">
        <v>2562</v>
      </c>
    </row>
    <row r="38" ht="14.25" customHeight="1" spans="1:17">
      <c r="A38" s="362" t="s">
        <v>251</v>
      </c>
      <c r="B38" s="363" t="s">
        <v>2337</v>
      </c>
      <c r="C38" s="362">
        <v>23120</v>
      </c>
      <c r="D38" s="362">
        <v>24630</v>
      </c>
      <c r="E38" s="362">
        <v>25030</v>
      </c>
      <c r="F38" s="362">
        <v>7710</v>
      </c>
      <c r="G38" s="370">
        <v>17240</v>
      </c>
      <c r="M38" s="362" t="s">
        <v>2563</v>
      </c>
      <c r="N38" s="362" t="s">
        <v>2564</v>
      </c>
      <c r="O38" s="362" t="s">
        <v>2565</v>
      </c>
      <c r="P38" s="362" t="s">
        <v>2566</v>
      </c>
      <c r="Q38" s="362" t="s">
        <v>2567</v>
      </c>
    </row>
    <row r="39" ht="14.25" customHeight="1" spans="1:17">
      <c r="A39" s="362" t="s">
        <v>251</v>
      </c>
      <c r="B39" s="363" t="s">
        <v>2347</v>
      </c>
      <c r="C39" s="362">
        <v>22330</v>
      </c>
      <c r="D39" s="362">
        <v>21140</v>
      </c>
      <c r="E39" s="362">
        <v>23970</v>
      </c>
      <c r="F39" s="362">
        <v>7940</v>
      </c>
      <c r="G39" s="370">
        <v>14790</v>
      </c>
      <c r="M39" s="362" t="s">
        <v>2568</v>
      </c>
      <c r="N39" s="362" t="s">
        <v>2569</v>
      </c>
      <c r="O39" s="362" t="s">
        <v>2570</v>
      </c>
      <c r="P39" s="362" t="s">
        <v>2571</v>
      </c>
      <c r="Q39" s="362" t="s">
        <v>2572</v>
      </c>
    </row>
    <row r="40" ht="14.25" customHeight="1" spans="1:17">
      <c r="A40" s="362" t="s">
        <v>251</v>
      </c>
      <c r="B40" s="363" t="s">
        <v>2357</v>
      </c>
      <c r="C40" s="362">
        <v>24740</v>
      </c>
      <c r="D40" s="362">
        <v>24690</v>
      </c>
      <c r="E40" s="362">
        <v>22610</v>
      </c>
      <c r="F40" s="362"/>
      <c r="G40" s="370">
        <v>17280</v>
      </c>
      <c r="M40" s="362" t="s">
        <v>2573</v>
      </c>
      <c r="N40" s="362" t="s">
        <v>2574</v>
      </c>
      <c r="O40" s="362" t="s">
        <v>2575</v>
      </c>
      <c r="P40" s="362" t="s">
        <v>2576</v>
      </c>
      <c r="Q40" s="362" t="s">
        <v>2577</v>
      </c>
    </row>
    <row r="41" ht="14.25" customHeight="1" spans="1:17">
      <c r="A41" s="362" t="s">
        <v>251</v>
      </c>
      <c r="B41" s="363" t="s">
        <v>2367</v>
      </c>
      <c r="C41" s="362">
        <v>21220</v>
      </c>
      <c r="D41" s="362">
        <v>21120</v>
      </c>
      <c r="E41" s="362">
        <v>22590</v>
      </c>
      <c r="F41" s="362"/>
      <c r="G41" s="370">
        <v>14780</v>
      </c>
      <c r="M41" s="366" t="s">
        <v>2578</v>
      </c>
      <c r="N41" s="362" t="s">
        <v>2579</v>
      </c>
      <c r="O41" s="362" t="s">
        <v>2580</v>
      </c>
      <c r="P41" s="362" t="s">
        <v>2581</v>
      </c>
      <c r="Q41" s="362" t="s">
        <v>2582</v>
      </c>
    </row>
    <row r="42" ht="14.25" customHeight="1" spans="1:17">
      <c r="A42" s="362" t="s">
        <v>251</v>
      </c>
      <c r="B42" s="363" t="s">
        <v>2377</v>
      </c>
      <c r="C42" s="362">
        <v>24800</v>
      </c>
      <c r="D42" s="362">
        <v>22280</v>
      </c>
      <c r="E42" s="362">
        <v>24350</v>
      </c>
      <c r="F42" s="362"/>
      <c r="G42" s="370">
        <v>15590</v>
      </c>
      <c r="N42" s="362" t="s">
        <v>2583</v>
      </c>
      <c r="O42" s="362" t="s">
        <v>2584</v>
      </c>
      <c r="P42" s="362" t="s">
        <v>2585</v>
      </c>
      <c r="Q42" s="362" t="s">
        <v>2586</v>
      </c>
    </row>
    <row r="43" ht="14.25" customHeight="1" spans="1:17">
      <c r="A43" s="362" t="s">
        <v>251</v>
      </c>
      <c r="B43" s="363" t="s">
        <v>2387</v>
      </c>
      <c r="C43" s="362">
        <v>21210</v>
      </c>
      <c r="D43" s="362">
        <v>21160</v>
      </c>
      <c r="E43" s="362">
        <v>22650</v>
      </c>
      <c r="F43" s="362"/>
      <c r="G43" s="370">
        <v>14800</v>
      </c>
      <c r="N43" s="362" t="s">
        <v>2587</v>
      </c>
      <c r="O43" s="362" t="s">
        <v>2588</v>
      </c>
      <c r="P43" s="362" t="s">
        <v>2589</v>
      </c>
      <c r="Q43" s="362" t="s">
        <v>2590</v>
      </c>
    </row>
    <row r="44" ht="14.25" customHeight="1" spans="1:17">
      <c r="A44" s="362" t="s">
        <v>251</v>
      </c>
      <c r="B44" s="363" t="s">
        <v>2397</v>
      </c>
      <c r="C44" s="362">
        <v>22370</v>
      </c>
      <c r="D44" s="362">
        <v>23140</v>
      </c>
      <c r="E44" s="362">
        <v>25090</v>
      </c>
      <c r="F44" s="362"/>
      <c r="G44" s="370">
        <v>16190</v>
      </c>
      <c r="N44" s="362" t="s">
        <v>2591</v>
      </c>
      <c r="O44" s="362" t="s">
        <v>2592</v>
      </c>
      <c r="P44" s="366" t="s">
        <v>2593</v>
      </c>
      <c r="Q44" s="362" t="s">
        <v>2594</v>
      </c>
    </row>
    <row r="45" ht="14.25" customHeight="1" spans="1:17">
      <c r="A45" s="362" t="s">
        <v>251</v>
      </c>
      <c r="B45" s="363" t="s">
        <v>2407</v>
      </c>
      <c r="C45" s="362">
        <v>21240</v>
      </c>
      <c r="D45" s="362">
        <v>27050</v>
      </c>
      <c r="E45" s="362">
        <v>28000</v>
      </c>
      <c r="F45" s="362"/>
      <c r="G45" s="370">
        <v>18940</v>
      </c>
      <c r="N45" s="362" t="s">
        <v>2595</v>
      </c>
      <c r="O45" s="366" t="s">
        <v>2596</v>
      </c>
      <c r="Q45" s="362" t="s">
        <v>2597</v>
      </c>
    </row>
    <row r="46" ht="14.25" customHeight="1" spans="1:17">
      <c r="A46" s="362" t="s">
        <v>251</v>
      </c>
      <c r="B46" s="363" t="s">
        <v>2417</v>
      </c>
      <c r="C46" s="362">
        <v>23240</v>
      </c>
      <c r="D46" s="362">
        <v>23000</v>
      </c>
      <c r="E46" s="362">
        <v>24980</v>
      </c>
      <c r="F46" s="362"/>
      <c r="G46" s="370">
        <v>16100</v>
      </c>
      <c r="N46" s="362" t="s">
        <v>2598</v>
      </c>
      <c r="Q46" s="362" t="s">
        <v>2599</v>
      </c>
    </row>
    <row r="47" ht="14.25" customHeight="1" spans="1:17">
      <c r="A47" s="362" t="s">
        <v>251</v>
      </c>
      <c r="B47" s="363" t="s">
        <v>2427</v>
      </c>
      <c r="C47" s="362">
        <v>27150</v>
      </c>
      <c r="D47" s="362">
        <v>23310</v>
      </c>
      <c r="E47" s="362">
        <v>25150</v>
      </c>
      <c r="F47" s="362"/>
      <c r="G47" s="370">
        <v>16310</v>
      </c>
      <c r="N47" s="362" t="s">
        <v>2600</v>
      </c>
      <c r="Q47" s="362" t="s">
        <v>2601</v>
      </c>
    </row>
    <row r="48" ht="14.25" customHeight="1" spans="1:17">
      <c r="A48" s="362" t="s">
        <v>251</v>
      </c>
      <c r="B48" s="363" t="s">
        <v>2437</v>
      </c>
      <c r="C48" s="362">
        <v>23100</v>
      </c>
      <c r="D48" s="362">
        <v>21110</v>
      </c>
      <c r="E48" s="362">
        <v>23080</v>
      </c>
      <c r="F48" s="362"/>
      <c r="G48" s="370">
        <v>14780</v>
      </c>
      <c r="N48" s="362" t="s">
        <v>2602</v>
      </c>
      <c r="Q48" s="362" t="s">
        <v>2603</v>
      </c>
    </row>
    <row r="49" ht="14.25" customHeight="1" spans="1:17">
      <c r="A49" s="362" t="s">
        <v>251</v>
      </c>
      <c r="B49" s="363" t="s">
        <v>2447</v>
      </c>
      <c r="C49" s="362">
        <v>23400</v>
      </c>
      <c r="D49" s="362">
        <v>22920</v>
      </c>
      <c r="E49" s="362">
        <v>24900</v>
      </c>
      <c r="F49" s="362"/>
      <c r="G49" s="370">
        <v>16040</v>
      </c>
      <c r="N49" s="362" t="s">
        <v>2604</v>
      </c>
      <c r="Q49" s="362" t="s">
        <v>2605</v>
      </c>
    </row>
    <row r="50" ht="14.25" customHeight="1" spans="1:17">
      <c r="A50" s="362" t="s">
        <v>251</v>
      </c>
      <c r="B50" s="363" t="s">
        <v>2456</v>
      </c>
      <c r="C50" s="362">
        <v>21200</v>
      </c>
      <c r="D50" s="362">
        <v>26540</v>
      </c>
      <c r="E50" s="362">
        <v>23200</v>
      </c>
      <c r="F50" s="362"/>
      <c r="G50" s="370">
        <v>18580</v>
      </c>
      <c r="N50" s="362" t="s">
        <v>2606</v>
      </c>
      <c r="Q50" s="363" t="s">
        <v>2607</v>
      </c>
    </row>
    <row r="51" ht="14.25" customHeight="1" spans="1:17">
      <c r="A51" s="362" t="s">
        <v>251</v>
      </c>
      <c r="B51" s="363" t="s">
        <v>2464</v>
      </c>
      <c r="C51" s="362">
        <v>23000</v>
      </c>
      <c r="D51" s="362">
        <v>23460</v>
      </c>
      <c r="E51" s="362">
        <v>25290</v>
      </c>
      <c r="F51" s="362"/>
      <c r="G51" s="370">
        <v>16420</v>
      </c>
      <c r="N51" s="362" t="s">
        <v>2608</v>
      </c>
      <c r="Q51" s="366" t="s">
        <v>2609</v>
      </c>
    </row>
    <row r="52" ht="14.25" customHeight="1" spans="1:14">
      <c r="A52" s="362" t="s">
        <v>251</v>
      </c>
      <c r="B52" s="363" t="s">
        <v>2472</v>
      </c>
      <c r="C52" s="362">
        <v>26660</v>
      </c>
      <c r="D52" s="362">
        <v>22350</v>
      </c>
      <c r="E52" s="362">
        <v>22920</v>
      </c>
      <c r="F52" s="362"/>
      <c r="G52" s="370">
        <v>15640</v>
      </c>
      <c r="N52" s="362" t="s">
        <v>2610</v>
      </c>
    </row>
    <row r="53" ht="14.25" customHeight="1" spans="1:14">
      <c r="A53" s="362" t="s">
        <v>251</v>
      </c>
      <c r="B53" s="363" t="s">
        <v>2480</v>
      </c>
      <c r="C53" s="362">
        <v>23580</v>
      </c>
      <c r="D53" s="362"/>
      <c r="E53" s="362">
        <v>24280</v>
      </c>
      <c r="F53" s="362"/>
      <c r="G53" s="370"/>
      <c r="N53" s="362" t="s">
        <v>2611</v>
      </c>
    </row>
    <row r="54" ht="14.25" customHeight="1" spans="1:14">
      <c r="A54" s="371" t="s">
        <v>251</v>
      </c>
      <c r="B54" s="365" t="s">
        <v>2488</v>
      </c>
      <c r="C54" s="366">
        <v>22460</v>
      </c>
      <c r="D54" s="366"/>
      <c r="E54" s="366"/>
      <c r="F54" s="366"/>
      <c r="G54" s="372"/>
      <c r="N54" s="362" t="s">
        <v>2612</v>
      </c>
    </row>
    <row r="55" ht="14.25" customHeight="1" spans="1:14">
      <c r="A55" s="360" t="s">
        <v>259</v>
      </c>
      <c r="B55" s="361" t="s">
        <v>2244</v>
      </c>
      <c r="C55" s="362">
        <v>21970</v>
      </c>
      <c r="D55" s="362">
        <v>20370</v>
      </c>
      <c r="E55" s="362">
        <v>20180</v>
      </c>
      <c r="F55" s="362">
        <v>5730</v>
      </c>
      <c r="G55" s="362">
        <v>13820</v>
      </c>
      <c r="N55" s="362" t="s">
        <v>2613</v>
      </c>
    </row>
    <row r="56" ht="14.25" customHeight="1" spans="1:14">
      <c r="A56" s="362" t="s">
        <v>259</v>
      </c>
      <c r="B56" s="362" t="s">
        <v>2257</v>
      </c>
      <c r="C56" s="362">
        <v>20470</v>
      </c>
      <c r="D56" s="362">
        <v>20700</v>
      </c>
      <c r="E56" s="362">
        <v>20380</v>
      </c>
      <c r="F56" s="362">
        <v>4760</v>
      </c>
      <c r="G56" s="362">
        <v>14050</v>
      </c>
      <c r="N56" s="362" t="s">
        <v>2614</v>
      </c>
    </row>
    <row r="57" ht="14.25" customHeight="1" spans="1:14">
      <c r="A57" s="362" t="s">
        <v>259</v>
      </c>
      <c r="B57" s="362" t="s">
        <v>2271</v>
      </c>
      <c r="C57" s="362">
        <v>20790</v>
      </c>
      <c r="D57" s="362">
        <v>21370</v>
      </c>
      <c r="E57" s="362">
        <v>20890</v>
      </c>
      <c r="F57" s="362">
        <v>4910</v>
      </c>
      <c r="G57" s="362">
        <v>14510</v>
      </c>
      <c r="N57" s="362" t="s">
        <v>2615</v>
      </c>
    </row>
    <row r="58" ht="14.25" customHeight="1" spans="1:14">
      <c r="A58" s="362" t="s">
        <v>259</v>
      </c>
      <c r="B58" s="362" t="s">
        <v>2283</v>
      </c>
      <c r="C58" s="362">
        <v>21460</v>
      </c>
      <c r="D58" s="362">
        <v>20920</v>
      </c>
      <c r="E58" s="362">
        <v>23410</v>
      </c>
      <c r="F58" s="362">
        <v>5100</v>
      </c>
      <c r="G58" s="362">
        <v>14200</v>
      </c>
      <c r="N58" s="362" t="s">
        <v>2616</v>
      </c>
    </row>
    <row r="59" ht="14.25" customHeight="1" spans="1:14">
      <c r="A59" s="362" t="s">
        <v>259</v>
      </c>
      <c r="B59" s="362" t="s">
        <v>2295</v>
      </c>
      <c r="C59" s="362">
        <v>21000</v>
      </c>
      <c r="D59" s="362">
        <v>21550</v>
      </c>
      <c r="E59" s="362">
        <v>21150</v>
      </c>
      <c r="F59" s="362">
        <v>5250</v>
      </c>
      <c r="G59" s="362">
        <v>14630</v>
      </c>
      <c r="N59" s="362" t="s">
        <v>2617</v>
      </c>
    </row>
    <row r="60" ht="14.25" customHeight="1" spans="1:14">
      <c r="A60" s="362" t="s">
        <v>259</v>
      </c>
      <c r="B60" s="362" t="s">
        <v>2306</v>
      </c>
      <c r="C60" s="362">
        <v>21640</v>
      </c>
      <c r="D60" s="362">
        <v>21260</v>
      </c>
      <c r="E60" s="362">
        <v>24040</v>
      </c>
      <c r="F60" s="362">
        <v>4470</v>
      </c>
      <c r="G60" s="362">
        <v>14430</v>
      </c>
      <c r="N60" s="362" t="s">
        <v>2618</v>
      </c>
    </row>
    <row r="61" ht="14.25" customHeight="1" spans="1:14">
      <c r="A61" s="362" t="s">
        <v>259</v>
      </c>
      <c r="B61" s="362" t="s">
        <v>2317</v>
      </c>
      <c r="C61" s="362">
        <v>21330</v>
      </c>
      <c r="D61" s="362">
        <v>18640</v>
      </c>
      <c r="E61" s="362">
        <v>21190</v>
      </c>
      <c r="F61" s="362">
        <v>4180</v>
      </c>
      <c r="G61" s="362">
        <v>12650</v>
      </c>
      <c r="N61" s="362" t="s">
        <v>2619</v>
      </c>
    </row>
    <row r="62" ht="14.25" customHeight="1" spans="1:14">
      <c r="A62" s="362" t="s">
        <v>259</v>
      </c>
      <c r="B62" s="362" t="s">
        <v>2328</v>
      </c>
      <c r="C62" s="362">
        <v>18710</v>
      </c>
      <c r="D62" s="362">
        <v>19400</v>
      </c>
      <c r="E62" s="362">
        <v>23750</v>
      </c>
      <c r="F62" s="362">
        <v>4860</v>
      </c>
      <c r="G62" s="362">
        <v>13170</v>
      </c>
      <c r="N62" s="362" t="s">
        <v>2620</v>
      </c>
    </row>
    <row r="63" ht="14.25" customHeight="1" spans="1:14">
      <c r="A63" s="362" t="s">
        <v>259</v>
      </c>
      <c r="B63" s="362" t="s">
        <v>2338</v>
      </c>
      <c r="C63" s="362">
        <v>19480</v>
      </c>
      <c r="D63" s="362">
        <v>16830</v>
      </c>
      <c r="E63" s="362">
        <v>21590</v>
      </c>
      <c r="F63" s="362">
        <v>4560</v>
      </c>
      <c r="G63" s="362">
        <v>11420</v>
      </c>
      <c r="N63" s="362" t="s">
        <v>2621</v>
      </c>
    </row>
    <row r="64" ht="14.25" customHeight="1" spans="1:14">
      <c r="A64" s="362" t="s">
        <v>259</v>
      </c>
      <c r="B64" s="362" t="s">
        <v>2348</v>
      </c>
      <c r="C64" s="362">
        <v>16920</v>
      </c>
      <c r="D64" s="362">
        <v>19190</v>
      </c>
      <c r="E64" s="362">
        <v>22200</v>
      </c>
      <c r="F64" s="362">
        <v>4390</v>
      </c>
      <c r="G64" s="362">
        <v>13030</v>
      </c>
      <c r="N64" s="366" t="s">
        <v>2622</v>
      </c>
    </row>
    <row r="65" s="347" customFormat="1" ht="14.25" customHeight="1" spans="1:7">
      <c r="A65" s="362" t="s">
        <v>259</v>
      </c>
      <c r="B65" s="362" t="s">
        <v>2358</v>
      </c>
      <c r="C65" s="362">
        <v>19290</v>
      </c>
      <c r="D65" s="362">
        <v>17020</v>
      </c>
      <c r="E65" s="362">
        <v>19880</v>
      </c>
      <c r="F65" s="362">
        <v>4070</v>
      </c>
      <c r="G65" s="362">
        <v>11550</v>
      </c>
    </row>
    <row r="66" s="347" customFormat="1" ht="14.25" customHeight="1" spans="1:7">
      <c r="A66" s="362" t="s">
        <v>259</v>
      </c>
      <c r="B66" s="362" t="s">
        <v>2368</v>
      </c>
      <c r="C66" s="362">
        <v>17090</v>
      </c>
      <c r="D66" s="362">
        <v>18340</v>
      </c>
      <c r="E66" s="362">
        <v>21830</v>
      </c>
      <c r="F66" s="362">
        <v>4690</v>
      </c>
      <c r="G66" s="362">
        <v>12450</v>
      </c>
    </row>
    <row r="67" s="347" customFormat="1" ht="14.25" customHeight="1" spans="1:7">
      <c r="A67" s="362" t="s">
        <v>259</v>
      </c>
      <c r="B67" s="362" t="s">
        <v>2378</v>
      </c>
      <c r="C67" s="362">
        <v>18420</v>
      </c>
      <c r="D67" s="362">
        <v>16360</v>
      </c>
      <c r="E67" s="362">
        <v>20020</v>
      </c>
      <c r="F67" s="362">
        <v>5150</v>
      </c>
      <c r="G67" s="362">
        <v>11110</v>
      </c>
    </row>
    <row r="68" s="347" customFormat="1" ht="14.25" customHeight="1" spans="1:7">
      <c r="A68" s="362" t="s">
        <v>259</v>
      </c>
      <c r="B68" s="362" t="s">
        <v>2388</v>
      </c>
      <c r="C68" s="362">
        <v>16450</v>
      </c>
      <c r="D68" s="362">
        <v>18430</v>
      </c>
      <c r="E68" s="362">
        <v>21010</v>
      </c>
      <c r="F68" s="362">
        <v>4720</v>
      </c>
      <c r="G68" s="362">
        <v>12510</v>
      </c>
    </row>
    <row r="69" s="347" customFormat="1" ht="14.25" customHeight="1" spans="1:7">
      <c r="A69" s="362" t="s">
        <v>259</v>
      </c>
      <c r="B69" s="362" t="s">
        <v>2398</v>
      </c>
      <c r="C69" s="362">
        <v>18510</v>
      </c>
      <c r="D69" s="362">
        <v>16300</v>
      </c>
      <c r="E69" s="362">
        <v>18830</v>
      </c>
      <c r="F69" s="362">
        <v>5400</v>
      </c>
      <c r="G69" s="362">
        <v>11070</v>
      </c>
    </row>
    <row r="70" s="347" customFormat="1" ht="14.25" customHeight="1" spans="1:7">
      <c r="A70" s="362" t="s">
        <v>259</v>
      </c>
      <c r="B70" s="362" t="s">
        <v>2408</v>
      </c>
      <c r="C70" s="362">
        <v>16370</v>
      </c>
      <c r="D70" s="362">
        <v>18620</v>
      </c>
      <c r="E70" s="362">
        <v>21100</v>
      </c>
      <c r="F70" s="362">
        <v>5700</v>
      </c>
      <c r="G70" s="362">
        <v>12640</v>
      </c>
    </row>
    <row r="71" s="347" customFormat="1" ht="14.25" customHeight="1" spans="1:7">
      <c r="A71" s="362" t="s">
        <v>259</v>
      </c>
      <c r="B71" s="362" t="s">
        <v>2418</v>
      </c>
      <c r="C71" s="362">
        <v>18700</v>
      </c>
      <c r="D71" s="362">
        <v>16290</v>
      </c>
      <c r="E71" s="362">
        <v>18760</v>
      </c>
      <c r="F71" s="362">
        <v>4780</v>
      </c>
      <c r="G71" s="362">
        <v>11050</v>
      </c>
    </row>
    <row r="72" s="347" customFormat="1" ht="14.25" customHeight="1" spans="1:7">
      <c r="A72" s="362" t="s">
        <v>259</v>
      </c>
      <c r="B72" s="362" t="s">
        <v>2428</v>
      </c>
      <c r="C72" s="362">
        <v>16340</v>
      </c>
      <c r="D72" s="362">
        <v>17520</v>
      </c>
      <c r="E72" s="362">
        <v>21170</v>
      </c>
      <c r="F72" s="362"/>
      <c r="G72" s="362">
        <v>11900</v>
      </c>
    </row>
    <row r="73" s="347" customFormat="1" ht="14.25" customHeight="1" spans="1:7">
      <c r="A73" s="362" t="s">
        <v>259</v>
      </c>
      <c r="B73" s="362" t="s">
        <v>2438</v>
      </c>
      <c r="C73" s="362">
        <v>17610</v>
      </c>
      <c r="D73" s="362">
        <v>18520</v>
      </c>
      <c r="E73" s="362">
        <v>18720</v>
      </c>
      <c r="F73" s="362"/>
      <c r="G73" s="362">
        <v>12570</v>
      </c>
    </row>
    <row r="74" s="347" customFormat="1" ht="14.25" customHeight="1" spans="1:7">
      <c r="A74" s="362" t="s">
        <v>259</v>
      </c>
      <c r="B74" s="362" t="s">
        <v>2448</v>
      </c>
      <c r="C74" s="362">
        <v>18600</v>
      </c>
      <c r="D74" s="362">
        <v>16480</v>
      </c>
      <c r="E74" s="362">
        <v>20100</v>
      </c>
      <c r="F74" s="362"/>
      <c r="G74" s="362">
        <v>11190</v>
      </c>
    </row>
    <row r="75" s="347" customFormat="1" ht="14.25" customHeight="1" spans="1:7">
      <c r="A75" s="362" t="s">
        <v>259</v>
      </c>
      <c r="B75" s="362" t="s">
        <v>2457</v>
      </c>
      <c r="C75" s="362">
        <v>16570</v>
      </c>
      <c r="D75" s="362">
        <v>17530</v>
      </c>
      <c r="E75" s="362">
        <v>21030</v>
      </c>
      <c r="F75" s="362"/>
      <c r="G75" s="362">
        <v>11900</v>
      </c>
    </row>
    <row r="76" s="347" customFormat="1" ht="14.25" customHeight="1" spans="1:7">
      <c r="A76" s="362" t="s">
        <v>259</v>
      </c>
      <c r="B76" s="362" t="s">
        <v>2465</v>
      </c>
      <c r="C76" s="362">
        <v>17610</v>
      </c>
      <c r="D76" s="362">
        <v>20800</v>
      </c>
      <c r="E76" s="362">
        <v>18920</v>
      </c>
      <c r="F76" s="362"/>
      <c r="G76" s="362">
        <v>14120</v>
      </c>
    </row>
    <row r="77" s="347" customFormat="1" ht="14.25" customHeight="1" spans="1:7">
      <c r="A77" s="362" t="s">
        <v>259</v>
      </c>
      <c r="B77" s="362" t="s">
        <v>2473</v>
      </c>
      <c r="C77" s="362">
        <v>20890</v>
      </c>
      <c r="D77" s="362">
        <v>19740</v>
      </c>
      <c r="E77" s="362">
        <v>20110</v>
      </c>
      <c r="F77" s="362"/>
      <c r="G77" s="362">
        <v>13400</v>
      </c>
    </row>
    <row r="78" s="347" customFormat="1" ht="14.25" customHeight="1" spans="1:7">
      <c r="A78" s="362" t="s">
        <v>259</v>
      </c>
      <c r="B78" s="362" t="s">
        <v>2481</v>
      </c>
      <c r="C78" s="362">
        <v>19820</v>
      </c>
      <c r="D78" s="362">
        <v>19780</v>
      </c>
      <c r="E78" s="362">
        <v>18560</v>
      </c>
      <c r="F78" s="362"/>
      <c r="G78" s="362">
        <v>13430</v>
      </c>
    </row>
    <row r="79" s="347" customFormat="1" ht="14.25" customHeight="1" spans="1:7">
      <c r="A79" s="362" t="s">
        <v>259</v>
      </c>
      <c r="B79" s="362" t="s">
        <v>2489</v>
      </c>
      <c r="C79" s="362">
        <v>21660</v>
      </c>
      <c r="D79" s="362">
        <v>18000</v>
      </c>
      <c r="E79" s="362">
        <v>22570</v>
      </c>
      <c r="F79" s="362"/>
      <c r="G79" s="362">
        <v>12220</v>
      </c>
    </row>
    <row r="80" s="347" customFormat="1" ht="14.25" customHeight="1" spans="1:7">
      <c r="A80" s="362" t="s">
        <v>259</v>
      </c>
      <c r="B80" s="362" t="s">
        <v>2496</v>
      </c>
      <c r="C80" s="362">
        <v>19850</v>
      </c>
      <c r="D80" s="362"/>
      <c r="E80" s="362">
        <v>21700</v>
      </c>
      <c r="F80" s="362"/>
      <c r="G80" s="362"/>
    </row>
    <row r="81" s="347" customFormat="1" ht="14.25" customHeight="1" spans="1:7">
      <c r="A81" s="362" t="s">
        <v>259</v>
      </c>
      <c r="B81" s="362" t="s">
        <v>2503</v>
      </c>
      <c r="C81" s="362">
        <v>18080</v>
      </c>
      <c r="D81" s="362"/>
      <c r="E81" s="362">
        <v>20900</v>
      </c>
      <c r="F81" s="362"/>
      <c r="G81" s="362"/>
    </row>
    <row r="82" s="347" customFormat="1" ht="14.25" customHeight="1" spans="1:7">
      <c r="A82" s="362" t="s">
        <v>259</v>
      </c>
      <c r="B82" s="362" t="s">
        <v>2510</v>
      </c>
      <c r="C82" s="362"/>
      <c r="D82" s="362"/>
      <c r="E82" s="362">
        <v>20840</v>
      </c>
      <c r="F82" s="362"/>
      <c r="G82" s="362"/>
    </row>
    <row r="83" s="347" customFormat="1" ht="14.25" customHeight="1" spans="1:7">
      <c r="A83" s="362" t="s">
        <v>259</v>
      </c>
      <c r="B83" s="362" t="s">
        <v>500</v>
      </c>
      <c r="C83" s="362"/>
      <c r="D83" s="362"/>
      <c r="E83" s="362"/>
      <c r="F83" s="362">
        <v>4770</v>
      </c>
      <c r="G83" s="362"/>
    </row>
    <row r="84" s="347" customFormat="1" ht="14.25" customHeight="1" spans="1:7">
      <c r="A84" s="362" t="s">
        <v>259</v>
      </c>
      <c r="B84" s="362" t="s">
        <v>2523</v>
      </c>
      <c r="C84" s="362"/>
      <c r="D84" s="362"/>
      <c r="E84" s="362"/>
      <c r="F84" s="362">
        <v>4600</v>
      </c>
      <c r="G84" s="362"/>
    </row>
    <row r="85" s="347" customFormat="1" ht="14.25" customHeight="1" spans="1:7">
      <c r="A85" s="362" t="s">
        <v>259</v>
      </c>
      <c r="B85" s="362" t="s">
        <v>2530</v>
      </c>
      <c r="C85" s="362"/>
      <c r="D85" s="362"/>
      <c r="E85" s="362"/>
      <c r="F85" s="362">
        <v>4680</v>
      </c>
      <c r="G85" s="362"/>
    </row>
    <row r="86" s="347" customFormat="1" ht="14.25" customHeight="1" spans="1:7">
      <c r="A86" s="364" t="s">
        <v>259</v>
      </c>
      <c r="B86" s="367" t="s">
        <v>2537</v>
      </c>
      <c r="C86" s="368">
        <v>16610</v>
      </c>
      <c r="D86" s="368">
        <v>16540</v>
      </c>
      <c r="E86" s="368">
        <v>18850</v>
      </c>
      <c r="F86" s="368"/>
      <c r="G86" s="368">
        <v>11220</v>
      </c>
    </row>
    <row r="87" s="347" customFormat="1" ht="14.25" customHeight="1" spans="1:7">
      <c r="A87" s="360" t="s">
        <v>267</v>
      </c>
      <c r="B87" s="361" t="s">
        <v>2245</v>
      </c>
      <c r="C87" s="361">
        <v>15240</v>
      </c>
      <c r="D87" s="361">
        <v>15170</v>
      </c>
      <c r="E87" s="361">
        <v>18260</v>
      </c>
      <c r="F87" s="361">
        <v>3830</v>
      </c>
      <c r="G87" s="369">
        <v>10020</v>
      </c>
    </row>
    <row r="88" s="347" customFormat="1" ht="14.25" customHeight="1" spans="1:7">
      <c r="A88" s="362" t="s">
        <v>267</v>
      </c>
      <c r="B88" s="362" t="s">
        <v>2258</v>
      </c>
      <c r="C88" s="362">
        <v>17310</v>
      </c>
      <c r="D88" s="362">
        <v>17220</v>
      </c>
      <c r="E88" s="362">
        <v>18610</v>
      </c>
      <c r="F88" s="362">
        <v>3990</v>
      </c>
      <c r="G88" s="370">
        <v>11380</v>
      </c>
    </row>
    <row r="89" s="347" customFormat="1" ht="14.25" customHeight="1" spans="1:7">
      <c r="A89" s="362" t="s">
        <v>267</v>
      </c>
      <c r="B89" s="362" t="s">
        <v>2272</v>
      </c>
      <c r="C89" s="362">
        <v>15600</v>
      </c>
      <c r="D89" s="362">
        <v>15550</v>
      </c>
      <c r="E89" s="362">
        <v>19200</v>
      </c>
      <c r="F89" s="362">
        <v>4110</v>
      </c>
      <c r="G89" s="370">
        <v>10270</v>
      </c>
    </row>
    <row r="90" s="347" customFormat="1" ht="14.25" customHeight="1" spans="1:7">
      <c r="A90" s="362" t="s">
        <v>267</v>
      </c>
      <c r="B90" s="362" t="s">
        <v>2284</v>
      </c>
      <c r="C90" s="362">
        <v>17330</v>
      </c>
      <c r="D90" s="362">
        <v>17240</v>
      </c>
      <c r="E90" s="362">
        <v>18570</v>
      </c>
      <c r="F90" s="362">
        <v>4070</v>
      </c>
      <c r="G90" s="370">
        <v>11390</v>
      </c>
    </row>
    <row r="91" s="347" customFormat="1" ht="14.25" customHeight="1" spans="1:7">
      <c r="A91" s="362" t="s">
        <v>267</v>
      </c>
      <c r="B91" s="362" t="s">
        <v>2296</v>
      </c>
      <c r="C91" s="362">
        <v>16330</v>
      </c>
      <c r="D91" s="362">
        <v>16260</v>
      </c>
      <c r="E91" s="362">
        <v>16800</v>
      </c>
      <c r="F91" s="362">
        <v>3410</v>
      </c>
      <c r="G91" s="370">
        <v>10740</v>
      </c>
    </row>
    <row r="92" s="347" customFormat="1" ht="14.25" customHeight="1" spans="1:7">
      <c r="A92" s="362" t="s">
        <v>267</v>
      </c>
      <c r="B92" s="362" t="s">
        <v>2307</v>
      </c>
      <c r="C92" s="362">
        <v>15570</v>
      </c>
      <c r="D92" s="362">
        <v>15500</v>
      </c>
      <c r="E92" s="362">
        <v>17360</v>
      </c>
      <c r="F92" s="362">
        <v>3510</v>
      </c>
      <c r="G92" s="370">
        <v>10240</v>
      </c>
    </row>
    <row r="93" s="347" customFormat="1" ht="14.25" customHeight="1" spans="1:7">
      <c r="A93" s="362" t="s">
        <v>267</v>
      </c>
      <c r="B93" s="362" t="s">
        <v>2318</v>
      </c>
      <c r="C93" s="362">
        <v>14000</v>
      </c>
      <c r="D93" s="362">
        <v>13930</v>
      </c>
      <c r="E93" s="362">
        <v>18200</v>
      </c>
      <c r="F93" s="362">
        <v>3640</v>
      </c>
      <c r="G93" s="370">
        <v>9210</v>
      </c>
    </row>
    <row r="94" s="347" customFormat="1" ht="14.25" customHeight="1" spans="1:7">
      <c r="A94" s="362" t="s">
        <v>267</v>
      </c>
      <c r="B94" s="362" t="s">
        <v>2329</v>
      </c>
      <c r="C94" s="362">
        <v>14530</v>
      </c>
      <c r="D94" s="362">
        <v>14470</v>
      </c>
      <c r="E94" s="362">
        <v>18240</v>
      </c>
      <c r="F94" s="362">
        <v>3180</v>
      </c>
      <c r="G94" s="370">
        <v>9560</v>
      </c>
    </row>
    <row r="95" s="347" customFormat="1" ht="14.25" customHeight="1" spans="1:7">
      <c r="A95" s="362" t="s">
        <v>267</v>
      </c>
      <c r="B95" s="362" t="s">
        <v>2339</v>
      </c>
      <c r="C95" s="362">
        <v>17330</v>
      </c>
      <c r="D95" s="362">
        <v>17260</v>
      </c>
      <c r="E95" s="362">
        <v>18420</v>
      </c>
      <c r="F95" s="362">
        <v>3060</v>
      </c>
      <c r="G95" s="370">
        <v>11410</v>
      </c>
    </row>
    <row r="96" s="347" customFormat="1" ht="14.25" customHeight="1" spans="1:7">
      <c r="A96" s="362" t="s">
        <v>267</v>
      </c>
      <c r="B96" s="362" t="s">
        <v>2349</v>
      </c>
      <c r="C96" s="362">
        <v>15030</v>
      </c>
      <c r="D96" s="362">
        <v>14970</v>
      </c>
      <c r="E96" s="362">
        <v>17580</v>
      </c>
      <c r="F96" s="362">
        <v>2970</v>
      </c>
      <c r="G96" s="370">
        <v>9890</v>
      </c>
    </row>
    <row r="97" s="347" customFormat="1" ht="14.25" customHeight="1" spans="1:7">
      <c r="A97" s="362" t="s">
        <v>267</v>
      </c>
      <c r="B97" s="362" t="s">
        <v>2359</v>
      </c>
      <c r="C97" s="362">
        <v>17400</v>
      </c>
      <c r="D97" s="362">
        <v>17330</v>
      </c>
      <c r="E97" s="362">
        <v>16430</v>
      </c>
      <c r="F97" s="362">
        <v>2950</v>
      </c>
      <c r="G97" s="370">
        <v>11450</v>
      </c>
    </row>
    <row r="98" s="347" customFormat="1" ht="14.25" customHeight="1" spans="1:7">
      <c r="A98" s="362" t="s">
        <v>267</v>
      </c>
      <c r="B98" s="362" t="s">
        <v>2369</v>
      </c>
      <c r="C98" s="362">
        <v>15200</v>
      </c>
      <c r="D98" s="362">
        <v>15120</v>
      </c>
      <c r="E98" s="362">
        <v>17550</v>
      </c>
      <c r="F98" s="362">
        <v>3080</v>
      </c>
      <c r="G98" s="370">
        <v>9990</v>
      </c>
    </row>
    <row r="99" s="347" customFormat="1" ht="14.25" customHeight="1" spans="1:7">
      <c r="A99" s="362" t="s">
        <v>267</v>
      </c>
      <c r="B99" s="362" t="s">
        <v>2379</v>
      </c>
      <c r="C99" s="362">
        <v>17520</v>
      </c>
      <c r="D99" s="362">
        <v>17430</v>
      </c>
      <c r="E99" s="362">
        <v>16350</v>
      </c>
      <c r="F99" s="362">
        <v>3260</v>
      </c>
      <c r="G99" s="370">
        <v>11510</v>
      </c>
    </row>
    <row r="100" s="347" customFormat="1" ht="14.25" customHeight="1" spans="1:7">
      <c r="A100" s="362" t="s">
        <v>267</v>
      </c>
      <c r="B100" s="362" t="s">
        <v>2389</v>
      </c>
      <c r="C100" s="362">
        <v>15340</v>
      </c>
      <c r="D100" s="362">
        <v>15260</v>
      </c>
      <c r="E100" s="362">
        <v>15930</v>
      </c>
      <c r="F100" s="362">
        <v>2740</v>
      </c>
      <c r="G100" s="370">
        <v>10080</v>
      </c>
    </row>
    <row r="101" s="347" customFormat="1" ht="14.25" customHeight="1" spans="1:7">
      <c r="A101" s="362" t="s">
        <v>267</v>
      </c>
      <c r="B101" s="362" t="s">
        <v>2399</v>
      </c>
      <c r="C101" s="362">
        <v>14620</v>
      </c>
      <c r="D101" s="362">
        <v>14560</v>
      </c>
      <c r="E101" s="362">
        <v>15570</v>
      </c>
      <c r="F101" s="362">
        <v>3500</v>
      </c>
      <c r="G101" s="370">
        <v>9630</v>
      </c>
    </row>
    <row r="102" s="347" customFormat="1" ht="14.25" customHeight="1" spans="1:7">
      <c r="A102" s="362" t="s">
        <v>267</v>
      </c>
      <c r="B102" s="362" t="s">
        <v>2409</v>
      </c>
      <c r="C102" s="362">
        <v>13680</v>
      </c>
      <c r="D102" s="362">
        <v>13610</v>
      </c>
      <c r="E102" s="362">
        <v>15690</v>
      </c>
      <c r="F102" s="362">
        <v>2870</v>
      </c>
      <c r="G102" s="370">
        <v>8990</v>
      </c>
    </row>
    <row r="103" s="347" customFormat="1" ht="14.25" customHeight="1" spans="1:7">
      <c r="A103" s="362" t="s">
        <v>267</v>
      </c>
      <c r="B103" s="362" t="s">
        <v>2419</v>
      </c>
      <c r="C103" s="362">
        <v>14620</v>
      </c>
      <c r="D103" s="362">
        <v>14540</v>
      </c>
      <c r="E103" s="362">
        <v>15240</v>
      </c>
      <c r="F103" s="362">
        <v>2840</v>
      </c>
      <c r="G103" s="370">
        <v>9610</v>
      </c>
    </row>
    <row r="104" s="347" customFormat="1" ht="14.25" customHeight="1" spans="1:7">
      <c r="A104" s="362" t="s">
        <v>267</v>
      </c>
      <c r="B104" s="362" t="s">
        <v>2429</v>
      </c>
      <c r="C104" s="362">
        <v>13610</v>
      </c>
      <c r="D104" s="362">
        <v>13540</v>
      </c>
      <c r="E104" s="362">
        <v>15750</v>
      </c>
      <c r="F104" s="362">
        <v>2770</v>
      </c>
      <c r="G104" s="370">
        <v>8940</v>
      </c>
    </row>
    <row r="105" s="347" customFormat="1" ht="14.25" customHeight="1" spans="1:7">
      <c r="A105" s="362" t="s">
        <v>267</v>
      </c>
      <c r="B105" s="362" t="s">
        <v>2439</v>
      </c>
      <c r="C105" s="362">
        <v>13310</v>
      </c>
      <c r="D105" s="362">
        <v>13240</v>
      </c>
      <c r="E105" s="362">
        <v>16280</v>
      </c>
      <c r="F105" s="362">
        <v>3210</v>
      </c>
      <c r="G105" s="370">
        <v>8750</v>
      </c>
    </row>
    <row r="106" s="347" customFormat="1" ht="14.25" customHeight="1" spans="1:7">
      <c r="A106" s="362" t="s">
        <v>267</v>
      </c>
      <c r="B106" s="362" t="s">
        <v>2449</v>
      </c>
      <c r="C106" s="362">
        <v>13010</v>
      </c>
      <c r="D106" s="362">
        <v>12930</v>
      </c>
      <c r="E106" s="362">
        <v>14960</v>
      </c>
      <c r="F106" s="362">
        <v>3530</v>
      </c>
      <c r="G106" s="370">
        <v>8550</v>
      </c>
    </row>
    <row r="107" s="347" customFormat="1" ht="14.25" customHeight="1" spans="1:7">
      <c r="A107" s="362" t="s">
        <v>267</v>
      </c>
      <c r="B107" s="362" t="s">
        <v>2458</v>
      </c>
      <c r="C107" s="362">
        <v>13070</v>
      </c>
      <c r="D107" s="362">
        <v>13000</v>
      </c>
      <c r="E107" s="362">
        <v>15910</v>
      </c>
      <c r="F107" s="362">
        <v>3990</v>
      </c>
      <c r="G107" s="370">
        <v>8580</v>
      </c>
    </row>
    <row r="108" s="347" customFormat="1" ht="14.25" customHeight="1" spans="1:7">
      <c r="A108" s="362" t="s">
        <v>267</v>
      </c>
      <c r="B108" s="362" t="s">
        <v>2466</v>
      </c>
      <c r="C108" s="362">
        <v>12640</v>
      </c>
      <c r="D108" s="362">
        <v>12580</v>
      </c>
      <c r="E108" s="362">
        <v>15730</v>
      </c>
      <c r="F108" s="362"/>
      <c r="G108" s="370">
        <v>8310</v>
      </c>
    </row>
    <row r="109" s="347" customFormat="1" ht="14.25" customHeight="1" spans="1:7">
      <c r="A109" s="362" t="s">
        <v>267</v>
      </c>
      <c r="B109" s="362" t="s">
        <v>2474</v>
      </c>
      <c r="C109" s="362">
        <v>13130</v>
      </c>
      <c r="D109" s="362">
        <v>13070</v>
      </c>
      <c r="E109" s="362">
        <v>15000</v>
      </c>
      <c r="F109" s="362"/>
      <c r="G109" s="370">
        <v>8630</v>
      </c>
    </row>
    <row r="110" s="347" customFormat="1" ht="14.25" customHeight="1" spans="1:7">
      <c r="A110" s="362" t="s">
        <v>267</v>
      </c>
      <c r="B110" s="362" t="s">
        <v>2482</v>
      </c>
      <c r="C110" s="362">
        <v>13560</v>
      </c>
      <c r="D110" s="362">
        <v>13490</v>
      </c>
      <c r="E110" s="362">
        <v>16300</v>
      </c>
      <c r="F110" s="362"/>
      <c r="G110" s="370">
        <v>8920</v>
      </c>
    </row>
    <row r="111" s="347" customFormat="1" ht="14.25" customHeight="1" spans="1:7">
      <c r="A111" s="362" t="s">
        <v>267</v>
      </c>
      <c r="B111" s="362" t="s">
        <v>2490</v>
      </c>
      <c r="C111" s="362">
        <v>12440</v>
      </c>
      <c r="D111" s="362">
        <v>12380</v>
      </c>
      <c r="E111" s="362">
        <v>17850</v>
      </c>
      <c r="F111" s="362"/>
      <c r="G111" s="370">
        <v>8180</v>
      </c>
    </row>
    <row r="112" s="347" customFormat="1" ht="14.25" customHeight="1" spans="1:7">
      <c r="A112" s="362" t="s">
        <v>267</v>
      </c>
      <c r="B112" s="362" t="s">
        <v>2497</v>
      </c>
      <c r="C112" s="362">
        <v>13260</v>
      </c>
      <c r="D112" s="362">
        <v>13180</v>
      </c>
      <c r="E112" s="362">
        <v>19740</v>
      </c>
      <c r="F112" s="362"/>
      <c r="G112" s="370">
        <v>8710</v>
      </c>
    </row>
    <row r="113" s="347" customFormat="1" ht="14.25" customHeight="1" spans="1:7">
      <c r="A113" s="362" t="s">
        <v>267</v>
      </c>
      <c r="B113" s="362" t="s">
        <v>2504</v>
      </c>
      <c r="C113" s="362">
        <v>15520</v>
      </c>
      <c r="D113" s="362">
        <v>15450</v>
      </c>
      <c r="E113" s="362"/>
      <c r="F113" s="362"/>
      <c r="G113" s="370">
        <v>10210</v>
      </c>
    </row>
    <row r="114" s="347" customFormat="1" ht="14.25" customHeight="1" spans="1:7">
      <c r="A114" s="362" t="s">
        <v>267</v>
      </c>
      <c r="B114" s="362" t="s">
        <v>2511</v>
      </c>
      <c r="C114" s="362">
        <v>13110</v>
      </c>
      <c r="D114" s="362">
        <v>13050</v>
      </c>
      <c r="E114" s="362"/>
      <c r="F114" s="362"/>
      <c r="G114" s="370">
        <v>8620</v>
      </c>
    </row>
    <row r="115" s="347" customFormat="1" ht="14.25" customHeight="1" spans="1:7">
      <c r="A115" s="362" t="s">
        <v>267</v>
      </c>
      <c r="B115" s="362" t="s">
        <v>2517</v>
      </c>
      <c r="C115" s="362">
        <v>12460</v>
      </c>
      <c r="D115" s="362">
        <v>12390</v>
      </c>
      <c r="E115" s="362"/>
      <c r="F115" s="362"/>
      <c r="G115" s="370">
        <v>8190</v>
      </c>
    </row>
    <row r="116" s="347" customFormat="1" ht="14.25" customHeight="1" spans="1:7">
      <c r="A116" s="362" t="s">
        <v>267</v>
      </c>
      <c r="B116" s="362" t="s">
        <v>2524</v>
      </c>
      <c r="C116" s="362">
        <v>13580</v>
      </c>
      <c r="D116" s="362">
        <v>13520</v>
      </c>
      <c r="E116" s="362"/>
      <c r="F116" s="362"/>
      <c r="G116" s="370">
        <v>8930</v>
      </c>
    </row>
    <row r="117" s="347" customFormat="1" ht="14.25" customHeight="1" spans="1:7">
      <c r="A117" s="362" t="s">
        <v>267</v>
      </c>
      <c r="B117" s="362" t="s">
        <v>2531</v>
      </c>
      <c r="C117" s="362">
        <v>17120</v>
      </c>
      <c r="D117" s="362">
        <v>17040</v>
      </c>
      <c r="E117" s="362"/>
      <c r="F117" s="362"/>
      <c r="G117" s="370">
        <v>11260</v>
      </c>
    </row>
    <row r="118" s="347" customFormat="1" ht="14.25" customHeight="1" spans="1:7">
      <c r="A118" s="362" t="s">
        <v>267</v>
      </c>
      <c r="B118" s="362" t="s">
        <v>2538</v>
      </c>
      <c r="C118" s="362">
        <v>14860</v>
      </c>
      <c r="D118" s="362">
        <v>14790</v>
      </c>
      <c r="E118" s="362"/>
      <c r="F118" s="362"/>
      <c r="G118" s="370">
        <v>9780</v>
      </c>
    </row>
    <row r="119" s="347" customFormat="1" ht="14.25" customHeight="1" spans="1:7">
      <c r="A119" s="362" t="s">
        <v>267</v>
      </c>
      <c r="B119" s="362" t="s">
        <v>2543</v>
      </c>
      <c r="C119" s="362">
        <v>16470</v>
      </c>
      <c r="D119" s="362">
        <v>16400</v>
      </c>
      <c r="E119" s="362"/>
      <c r="F119" s="362"/>
      <c r="G119" s="370">
        <v>10840</v>
      </c>
    </row>
    <row r="120" s="347" customFormat="1" ht="14.25" customHeight="1" spans="1:7">
      <c r="A120" s="362" t="s">
        <v>267</v>
      </c>
      <c r="B120" s="362" t="s">
        <v>2548</v>
      </c>
      <c r="C120" s="362"/>
      <c r="D120" s="362"/>
      <c r="E120" s="362"/>
      <c r="F120" s="362">
        <v>4160</v>
      </c>
      <c r="G120" s="370"/>
    </row>
    <row r="121" s="347" customFormat="1" ht="14.25" customHeight="1" spans="1:7">
      <c r="A121" s="362" t="s">
        <v>267</v>
      </c>
      <c r="B121" s="362" t="s">
        <v>2553</v>
      </c>
      <c r="C121" s="362"/>
      <c r="D121" s="362"/>
      <c r="E121" s="362"/>
      <c r="F121" s="362">
        <v>3880</v>
      </c>
      <c r="G121" s="370"/>
    </row>
    <row r="122" s="347" customFormat="1" ht="14.25" customHeight="1" spans="1:7">
      <c r="A122" s="362" t="s">
        <v>267</v>
      </c>
      <c r="B122" s="362" t="s">
        <v>2558</v>
      </c>
      <c r="C122" s="362">
        <v>13750</v>
      </c>
      <c r="D122" s="362">
        <v>13680</v>
      </c>
      <c r="E122" s="362">
        <v>16460</v>
      </c>
      <c r="F122" s="362">
        <v>2880</v>
      </c>
      <c r="G122" s="370">
        <v>9040</v>
      </c>
    </row>
    <row r="123" s="347" customFormat="1" ht="14.25" customHeight="1" spans="1:7">
      <c r="A123" s="362" t="s">
        <v>267</v>
      </c>
      <c r="B123" s="362" t="s">
        <v>2563</v>
      </c>
      <c r="C123" s="362">
        <v>13590</v>
      </c>
      <c r="D123" s="362">
        <v>13520</v>
      </c>
      <c r="E123" s="362">
        <v>16290</v>
      </c>
      <c r="F123" s="362">
        <v>2790</v>
      </c>
      <c r="G123" s="370">
        <v>8930</v>
      </c>
    </row>
    <row r="124" s="347" customFormat="1" ht="14.25" customHeight="1" spans="1:7">
      <c r="A124" s="362" t="s">
        <v>267</v>
      </c>
      <c r="B124" s="362" t="s">
        <v>2568</v>
      </c>
      <c r="C124" s="362">
        <v>13400</v>
      </c>
      <c r="D124" s="362">
        <v>13320</v>
      </c>
      <c r="E124" s="362">
        <v>16100</v>
      </c>
      <c r="F124" s="362">
        <v>2320</v>
      </c>
      <c r="G124" s="370">
        <v>8800</v>
      </c>
    </row>
    <row r="125" s="347" customFormat="1" ht="14.25" customHeight="1" spans="1:7">
      <c r="A125" s="362" t="s">
        <v>267</v>
      </c>
      <c r="B125" s="362" t="s">
        <v>2573</v>
      </c>
      <c r="C125" s="362">
        <v>12860</v>
      </c>
      <c r="D125" s="362">
        <v>12790</v>
      </c>
      <c r="E125" s="362">
        <v>15370</v>
      </c>
      <c r="F125" s="362">
        <v>2280</v>
      </c>
      <c r="G125" s="370">
        <v>8450</v>
      </c>
    </row>
    <row r="126" s="347" customFormat="1" ht="14.25" customHeight="1" spans="1:7">
      <c r="A126" s="371" t="s">
        <v>267</v>
      </c>
      <c r="B126" s="366" t="s">
        <v>2578</v>
      </c>
      <c r="C126" s="366">
        <v>12960</v>
      </c>
      <c r="D126" s="366">
        <v>12890</v>
      </c>
      <c r="E126" s="366">
        <v>15530</v>
      </c>
      <c r="F126" s="366">
        <v>2910</v>
      </c>
      <c r="G126" s="372">
        <v>8520</v>
      </c>
    </row>
    <row r="127" s="347" customFormat="1" ht="14.25" customHeight="1" spans="1:7">
      <c r="A127" s="360" t="s">
        <v>273</v>
      </c>
      <c r="B127" s="361" t="s">
        <v>2246</v>
      </c>
      <c r="C127" s="362">
        <v>12280</v>
      </c>
      <c r="D127" s="362">
        <v>12250</v>
      </c>
      <c r="E127" s="362">
        <v>15130</v>
      </c>
      <c r="F127" s="362">
        <v>2710</v>
      </c>
      <c r="G127" s="362">
        <v>7870</v>
      </c>
    </row>
    <row r="128" s="347" customFormat="1" ht="14.25" customHeight="1" spans="1:7">
      <c r="A128" s="362" t="s">
        <v>273</v>
      </c>
      <c r="B128" s="362" t="s">
        <v>2259</v>
      </c>
      <c r="C128" s="362">
        <v>13180</v>
      </c>
      <c r="D128" s="362">
        <v>13150</v>
      </c>
      <c r="E128" s="362">
        <v>16190</v>
      </c>
      <c r="F128" s="362">
        <v>2820</v>
      </c>
      <c r="G128" s="362">
        <v>8460</v>
      </c>
    </row>
    <row r="129" s="347" customFormat="1" ht="14.25" customHeight="1" spans="1:7">
      <c r="A129" s="362" t="s">
        <v>273</v>
      </c>
      <c r="B129" s="362" t="s">
        <v>2273</v>
      </c>
      <c r="C129" s="362">
        <v>10950</v>
      </c>
      <c r="D129" s="362">
        <v>10920</v>
      </c>
      <c r="E129" s="362">
        <v>13820</v>
      </c>
      <c r="F129" s="362">
        <v>2500</v>
      </c>
      <c r="G129" s="362">
        <v>7020</v>
      </c>
    </row>
    <row r="130" s="347" customFormat="1" ht="14.25" customHeight="1" spans="1:7">
      <c r="A130" s="362" t="s">
        <v>273</v>
      </c>
      <c r="B130" s="362" t="s">
        <v>2285</v>
      </c>
      <c r="C130" s="362">
        <v>10910</v>
      </c>
      <c r="D130" s="362">
        <v>10860</v>
      </c>
      <c r="E130" s="362">
        <v>13730</v>
      </c>
      <c r="F130" s="362">
        <v>2760</v>
      </c>
      <c r="G130" s="362">
        <v>6990</v>
      </c>
    </row>
    <row r="131" s="347" customFormat="1" ht="14.25" customHeight="1" spans="1:7">
      <c r="A131" s="362" t="s">
        <v>273</v>
      </c>
      <c r="B131" s="362" t="s">
        <v>2297</v>
      </c>
      <c r="C131" s="362">
        <v>12910</v>
      </c>
      <c r="D131" s="362">
        <v>12870</v>
      </c>
      <c r="E131" s="362">
        <v>15720</v>
      </c>
      <c r="F131" s="362">
        <v>2750</v>
      </c>
      <c r="G131" s="362">
        <v>8280</v>
      </c>
    </row>
    <row r="132" s="347" customFormat="1" ht="14.25" customHeight="1" spans="1:7">
      <c r="A132" s="362" t="s">
        <v>273</v>
      </c>
      <c r="B132" s="362" t="s">
        <v>2308</v>
      </c>
      <c r="C132" s="362">
        <v>11910</v>
      </c>
      <c r="D132" s="362">
        <v>11860</v>
      </c>
      <c r="E132" s="362">
        <v>14730</v>
      </c>
      <c r="F132" s="362">
        <v>2360</v>
      </c>
      <c r="G132" s="362">
        <v>7630</v>
      </c>
    </row>
    <row r="133" s="347" customFormat="1" ht="14.25" customHeight="1" spans="1:7">
      <c r="A133" s="362" t="s">
        <v>273</v>
      </c>
      <c r="B133" s="362" t="s">
        <v>2319</v>
      </c>
      <c r="C133" s="362">
        <v>12270</v>
      </c>
      <c r="D133" s="362">
        <v>12210</v>
      </c>
      <c r="E133" s="362">
        <v>15010</v>
      </c>
      <c r="F133" s="362">
        <v>2580</v>
      </c>
      <c r="G133" s="362">
        <v>7860</v>
      </c>
    </row>
    <row r="134" s="347" customFormat="1" ht="14.25" customHeight="1" spans="1:7">
      <c r="A134" s="362" t="s">
        <v>273</v>
      </c>
      <c r="B134" s="362" t="s">
        <v>2330</v>
      </c>
      <c r="C134" s="362">
        <v>10800</v>
      </c>
      <c r="D134" s="362">
        <v>10780</v>
      </c>
      <c r="E134" s="362">
        <v>13640</v>
      </c>
      <c r="F134" s="362">
        <v>2110</v>
      </c>
      <c r="G134" s="362">
        <v>6930</v>
      </c>
    </row>
    <row r="135" s="347" customFormat="1" ht="14.25" customHeight="1" spans="1:7">
      <c r="A135" s="362" t="s">
        <v>273</v>
      </c>
      <c r="B135" s="362" t="s">
        <v>2340</v>
      </c>
      <c r="C135" s="362">
        <v>10430</v>
      </c>
      <c r="D135" s="362">
        <v>10390</v>
      </c>
      <c r="E135" s="362">
        <v>13140</v>
      </c>
      <c r="F135" s="362">
        <v>2240</v>
      </c>
      <c r="G135" s="362">
        <v>6680</v>
      </c>
    </row>
    <row r="136" s="347" customFormat="1" ht="14.25" customHeight="1" spans="1:7">
      <c r="A136" s="362" t="s">
        <v>273</v>
      </c>
      <c r="B136" s="362" t="s">
        <v>2350</v>
      </c>
      <c r="C136" s="362">
        <v>11930</v>
      </c>
      <c r="D136" s="362">
        <v>11880</v>
      </c>
      <c r="E136" s="362">
        <v>14770</v>
      </c>
      <c r="F136" s="362">
        <v>1970</v>
      </c>
      <c r="G136" s="362">
        <v>7640</v>
      </c>
    </row>
    <row r="137" s="347" customFormat="1" ht="14.25" customHeight="1" spans="1:7">
      <c r="A137" s="362" t="s">
        <v>273</v>
      </c>
      <c r="B137" s="362" t="s">
        <v>2360</v>
      </c>
      <c r="C137" s="362">
        <v>10470</v>
      </c>
      <c r="D137" s="362">
        <v>10430</v>
      </c>
      <c r="E137" s="362">
        <v>13190</v>
      </c>
      <c r="F137" s="362">
        <v>1990</v>
      </c>
      <c r="G137" s="362">
        <v>6710</v>
      </c>
    </row>
    <row r="138" s="347" customFormat="1" ht="14.25" customHeight="1" spans="1:7">
      <c r="A138" s="362" t="s">
        <v>273</v>
      </c>
      <c r="B138" s="362" t="s">
        <v>2370</v>
      </c>
      <c r="C138" s="362">
        <v>10410</v>
      </c>
      <c r="D138" s="362">
        <v>10380</v>
      </c>
      <c r="E138" s="362">
        <v>13130</v>
      </c>
      <c r="F138" s="362">
        <v>2030</v>
      </c>
      <c r="G138" s="362">
        <v>6680</v>
      </c>
    </row>
    <row r="139" s="347" customFormat="1" ht="14.25" customHeight="1" spans="1:7">
      <c r="A139" s="362" t="s">
        <v>273</v>
      </c>
      <c r="B139" s="362" t="s">
        <v>2380</v>
      </c>
      <c r="C139" s="362">
        <v>9460</v>
      </c>
      <c r="D139" s="362">
        <v>9410</v>
      </c>
      <c r="E139" s="362">
        <v>12050</v>
      </c>
      <c r="F139" s="362">
        <v>2140</v>
      </c>
      <c r="G139" s="362">
        <v>6050</v>
      </c>
    </row>
    <row r="140" s="347" customFormat="1" ht="14.25" customHeight="1" spans="1:7">
      <c r="A140" s="362" t="s">
        <v>273</v>
      </c>
      <c r="B140" s="362" t="s">
        <v>2390</v>
      </c>
      <c r="C140" s="362">
        <v>11030</v>
      </c>
      <c r="D140" s="362">
        <v>10980</v>
      </c>
      <c r="E140" s="362">
        <v>13880</v>
      </c>
      <c r="F140" s="362">
        <v>2210</v>
      </c>
      <c r="G140" s="362">
        <v>7060</v>
      </c>
    </row>
    <row r="141" s="347" customFormat="1" ht="14.25" customHeight="1" spans="1:7">
      <c r="A141" s="362" t="s">
        <v>273</v>
      </c>
      <c r="B141" s="362" t="s">
        <v>2400</v>
      </c>
      <c r="C141" s="362">
        <v>11200</v>
      </c>
      <c r="D141" s="362">
        <v>11150</v>
      </c>
      <c r="E141" s="362">
        <v>14100</v>
      </c>
      <c r="F141" s="362">
        <v>2470</v>
      </c>
      <c r="G141" s="362">
        <v>7170</v>
      </c>
    </row>
    <row r="142" s="347" customFormat="1" ht="14.25" customHeight="1" spans="1:7">
      <c r="A142" s="362" t="s">
        <v>273</v>
      </c>
      <c r="B142" s="362" t="s">
        <v>2410</v>
      </c>
      <c r="C142" s="362">
        <v>10780</v>
      </c>
      <c r="D142" s="362">
        <v>10730</v>
      </c>
      <c r="E142" s="362">
        <v>13540</v>
      </c>
      <c r="F142" s="362">
        <v>2280</v>
      </c>
      <c r="G142" s="362">
        <v>6900</v>
      </c>
    </row>
    <row r="143" s="347" customFormat="1" ht="14.25" customHeight="1" spans="1:7">
      <c r="A143" s="362" t="s">
        <v>273</v>
      </c>
      <c r="B143" s="362" t="s">
        <v>2420</v>
      </c>
      <c r="C143" s="362">
        <v>11550</v>
      </c>
      <c r="D143" s="362">
        <v>11490</v>
      </c>
      <c r="E143" s="362">
        <v>14480</v>
      </c>
      <c r="F143" s="362">
        <v>2070</v>
      </c>
      <c r="G143" s="362">
        <v>7390</v>
      </c>
    </row>
    <row r="144" s="347" customFormat="1" ht="14.25" customHeight="1" spans="1:7">
      <c r="A144" s="362" t="s">
        <v>273</v>
      </c>
      <c r="B144" s="362" t="s">
        <v>2430</v>
      </c>
      <c r="C144" s="362">
        <v>10720</v>
      </c>
      <c r="D144" s="362">
        <v>10680</v>
      </c>
      <c r="E144" s="362">
        <v>13480</v>
      </c>
      <c r="F144" s="362">
        <v>2440</v>
      </c>
      <c r="G144" s="362">
        <v>6870</v>
      </c>
    </row>
    <row r="145" s="347" customFormat="1" ht="14.25" customHeight="1" spans="1:7">
      <c r="A145" s="362" t="s">
        <v>273</v>
      </c>
      <c r="B145" s="362" t="s">
        <v>2440</v>
      </c>
      <c r="C145" s="362">
        <v>10340</v>
      </c>
      <c r="D145" s="362">
        <v>10290</v>
      </c>
      <c r="E145" s="362">
        <v>12880</v>
      </c>
      <c r="F145" s="362">
        <v>2650</v>
      </c>
      <c r="G145" s="362">
        <v>6620</v>
      </c>
    </row>
    <row r="146" s="347" customFormat="1" ht="14.25" customHeight="1" spans="1:7">
      <c r="A146" s="362" t="s">
        <v>273</v>
      </c>
      <c r="B146" s="362" t="s">
        <v>2450</v>
      </c>
      <c r="C146" s="362">
        <v>11890</v>
      </c>
      <c r="D146" s="362">
        <v>11830</v>
      </c>
      <c r="E146" s="362">
        <v>14670</v>
      </c>
      <c r="F146" s="362"/>
      <c r="G146" s="362">
        <v>7610</v>
      </c>
    </row>
    <row r="147" s="347" customFormat="1" ht="14.25" customHeight="1" spans="1:7">
      <c r="A147" s="362" t="s">
        <v>273</v>
      </c>
      <c r="B147" s="362" t="s">
        <v>2459</v>
      </c>
      <c r="C147" s="362">
        <v>12650</v>
      </c>
      <c r="D147" s="362">
        <v>12600</v>
      </c>
      <c r="E147" s="362">
        <v>15440</v>
      </c>
      <c r="F147" s="362"/>
      <c r="G147" s="362">
        <v>8110</v>
      </c>
    </row>
    <row r="148" s="347" customFormat="1" ht="14.25" customHeight="1" spans="1:7">
      <c r="A148" s="362" t="s">
        <v>273</v>
      </c>
      <c r="B148" s="362" t="s">
        <v>2467</v>
      </c>
      <c r="C148" s="362">
        <v>10370</v>
      </c>
      <c r="D148" s="362">
        <v>10310</v>
      </c>
      <c r="E148" s="362">
        <v>12970</v>
      </c>
      <c r="F148" s="362"/>
      <c r="G148" s="362">
        <v>6630</v>
      </c>
    </row>
    <row r="149" s="347" customFormat="1" ht="14.25" customHeight="1" spans="1:7">
      <c r="A149" s="362" t="s">
        <v>273</v>
      </c>
      <c r="B149" s="362" t="s">
        <v>2475</v>
      </c>
      <c r="C149" s="362">
        <v>11600</v>
      </c>
      <c r="D149" s="362">
        <v>11560</v>
      </c>
      <c r="E149" s="362">
        <v>14540</v>
      </c>
      <c r="F149" s="362">
        <v>2390</v>
      </c>
      <c r="G149" s="362">
        <v>7430</v>
      </c>
    </row>
    <row r="150" s="347" customFormat="1" ht="14.25" customHeight="1" spans="1:7">
      <c r="A150" s="362" t="s">
        <v>273</v>
      </c>
      <c r="B150" s="362" t="s">
        <v>2483</v>
      </c>
      <c r="C150" s="362">
        <v>9950</v>
      </c>
      <c r="D150" s="362">
        <v>9890</v>
      </c>
      <c r="E150" s="362">
        <v>12590</v>
      </c>
      <c r="F150" s="362">
        <v>1970</v>
      </c>
      <c r="G150" s="362">
        <v>6360</v>
      </c>
    </row>
    <row r="151" s="347" customFormat="1" ht="14.25" customHeight="1" spans="1:7">
      <c r="A151" s="362" t="s">
        <v>273</v>
      </c>
      <c r="B151" s="362" t="s">
        <v>2491</v>
      </c>
      <c r="C151" s="362">
        <v>10700</v>
      </c>
      <c r="D151" s="362">
        <v>10650</v>
      </c>
      <c r="E151" s="362">
        <v>13420</v>
      </c>
      <c r="F151" s="362">
        <v>2020</v>
      </c>
      <c r="G151" s="362">
        <v>6850</v>
      </c>
    </row>
    <row r="152" s="347" customFormat="1" ht="14.25" customHeight="1" spans="1:7">
      <c r="A152" s="362" t="s">
        <v>273</v>
      </c>
      <c r="B152" s="362" t="s">
        <v>2498</v>
      </c>
      <c r="C152" s="362">
        <v>10310</v>
      </c>
      <c r="D152" s="362">
        <v>10260</v>
      </c>
      <c r="E152" s="362">
        <v>12820</v>
      </c>
      <c r="F152" s="362">
        <v>1980</v>
      </c>
      <c r="G152" s="362">
        <v>6600</v>
      </c>
    </row>
    <row r="153" s="347" customFormat="1" ht="14.25" customHeight="1" spans="1:7">
      <c r="A153" s="362" t="s">
        <v>273</v>
      </c>
      <c r="B153" s="362" t="s">
        <v>2505</v>
      </c>
      <c r="C153" s="362">
        <v>10880</v>
      </c>
      <c r="D153" s="362">
        <v>10820</v>
      </c>
      <c r="E153" s="362">
        <v>13660</v>
      </c>
      <c r="F153" s="362">
        <v>2260</v>
      </c>
      <c r="G153" s="362">
        <v>6970</v>
      </c>
    </row>
    <row r="154" s="347" customFormat="1" ht="14.25" customHeight="1" spans="1:7">
      <c r="A154" s="362" t="s">
        <v>273</v>
      </c>
      <c r="B154" s="362" t="s">
        <v>2512</v>
      </c>
      <c r="C154" s="362">
        <v>11220</v>
      </c>
      <c r="D154" s="362">
        <v>11160</v>
      </c>
      <c r="E154" s="362">
        <v>14130</v>
      </c>
      <c r="F154" s="362">
        <v>2230</v>
      </c>
      <c r="G154" s="362">
        <v>7180</v>
      </c>
    </row>
    <row r="155" s="347" customFormat="1" ht="14.25" customHeight="1" spans="1:7">
      <c r="A155" s="362" t="s">
        <v>273</v>
      </c>
      <c r="B155" s="362" t="s">
        <v>2518</v>
      </c>
      <c r="C155" s="362">
        <v>10430</v>
      </c>
      <c r="D155" s="362">
        <v>10380</v>
      </c>
      <c r="E155" s="362">
        <v>13140</v>
      </c>
      <c r="F155" s="362">
        <v>2080</v>
      </c>
      <c r="G155" s="362">
        <v>6650</v>
      </c>
    </row>
    <row r="156" s="347" customFormat="1" ht="14.25" customHeight="1" spans="1:7">
      <c r="A156" s="362" t="s">
        <v>273</v>
      </c>
      <c r="B156" s="362" t="s">
        <v>2525</v>
      </c>
      <c r="C156" s="362">
        <v>10440</v>
      </c>
      <c r="D156" s="362">
        <v>10400</v>
      </c>
      <c r="E156" s="362">
        <v>13150</v>
      </c>
      <c r="F156" s="362">
        <v>2490</v>
      </c>
      <c r="G156" s="362">
        <v>6690</v>
      </c>
    </row>
    <row r="157" s="347" customFormat="1" ht="14.25" customHeight="1" spans="1:7">
      <c r="A157" s="362" t="s">
        <v>273</v>
      </c>
      <c r="B157" s="362" t="s">
        <v>2532</v>
      </c>
      <c r="C157" s="362">
        <v>10970</v>
      </c>
      <c r="D157" s="362">
        <v>10920</v>
      </c>
      <c r="E157" s="362">
        <v>13840</v>
      </c>
      <c r="F157" s="362">
        <v>2420</v>
      </c>
      <c r="G157" s="362">
        <v>7020</v>
      </c>
    </row>
    <row r="158" s="347" customFormat="1" ht="14.25" customHeight="1" spans="1:7">
      <c r="A158" s="362" t="s">
        <v>273</v>
      </c>
      <c r="B158" s="362" t="s">
        <v>2539</v>
      </c>
      <c r="C158" s="362">
        <v>9590</v>
      </c>
      <c r="D158" s="362">
        <v>9540</v>
      </c>
      <c r="E158" s="362">
        <v>12210</v>
      </c>
      <c r="F158" s="362">
        <v>2100</v>
      </c>
      <c r="G158" s="362">
        <v>6130</v>
      </c>
    </row>
    <row r="159" s="347" customFormat="1" ht="14.25" customHeight="1" spans="1:7">
      <c r="A159" s="362" t="s">
        <v>273</v>
      </c>
      <c r="B159" s="362" t="s">
        <v>2544</v>
      </c>
      <c r="C159" s="362">
        <v>11190</v>
      </c>
      <c r="D159" s="362">
        <v>11140</v>
      </c>
      <c r="E159" s="362">
        <v>14090</v>
      </c>
      <c r="F159" s="362">
        <v>2470</v>
      </c>
      <c r="G159" s="362">
        <v>7170</v>
      </c>
    </row>
    <row r="160" s="347" customFormat="1" ht="14.25" customHeight="1" spans="1:7">
      <c r="A160" s="362" t="s">
        <v>273</v>
      </c>
      <c r="B160" s="362" t="s">
        <v>2549</v>
      </c>
      <c r="C160" s="362">
        <v>11180</v>
      </c>
      <c r="D160" s="362">
        <v>11140</v>
      </c>
      <c r="E160" s="362">
        <v>14050</v>
      </c>
      <c r="F160" s="362">
        <v>2270</v>
      </c>
      <c r="G160" s="362">
        <v>7170</v>
      </c>
    </row>
    <row r="161" s="347" customFormat="1" ht="14.25" customHeight="1" spans="1:7">
      <c r="A161" s="362" t="s">
        <v>273</v>
      </c>
      <c r="B161" s="362" t="s">
        <v>2554</v>
      </c>
      <c r="C161" s="362">
        <v>11160</v>
      </c>
      <c r="D161" s="362">
        <v>11120</v>
      </c>
      <c r="E161" s="362">
        <v>14020</v>
      </c>
      <c r="F161" s="362">
        <v>2150</v>
      </c>
      <c r="G161" s="362">
        <v>7160</v>
      </c>
    </row>
    <row r="162" s="347" customFormat="1" ht="14.25" customHeight="1" spans="1:7">
      <c r="A162" s="362" t="s">
        <v>273</v>
      </c>
      <c r="B162" s="362" t="s">
        <v>2559</v>
      </c>
      <c r="C162" s="362">
        <v>9620</v>
      </c>
      <c r="D162" s="362">
        <v>9570</v>
      </c>
      <c r="E162" s="362">
        <v>12320</v>
      </c>
      <c r="F162" s="362">
        <v>2010</v>
      </c>
      <c r="G162" s="362">
        <v>6160</v>
      </c>
    </row>
    <row r="163" s="347" customFormat="1" ht="14.25" customHeight="1" spans="1:7">
      <c r="A163" s="362" t="s">
        <v>273</v>
      </c>
      <c r="B163" s="362" t="s">
        <v>2564</v>
      </c>
      <c r="C163" s="362">
        <v>9320</v>
      </c>
      <c r="D163" s="362">
        <v>9270</v>
      </c>
      <c r="E163" s="362">
        <v>11790</v>
      </c>
      <c r="F163" s="362">
        <v>1920</v>
      </c>
      <c r="G163" s="362">
        <v>5960</v>
      </c>
    </row>
    <row r="164" s="347" customFormat="1" ht="14.25" customHeight="1" spans="1:7">
      <c r="A164" s="362" t="s">
        <v>273</v>
      </c>
      <c r="B164" s="362" t="s">
        <v>2569</v>
      </c>
      <c r="C164" s="362"/>
      <c r="D164" s="362"/>
      <c r="E164" s="362"/>
      <c r="F164" s="362">
        <v>1980</v>
      </c>
      <c r="G164" s="362"/>
    </row>
    <row r="165" s="347" customFormat="1" ht="14.25" customHeight="1" spans="1:7">
      <c r="A165" s="362" t="s">
        <v>273</v>
      </c>
      <c r="B165" s="362" t="s">
        <v>2574</v>
      </c>
      <c r="C165" s="362">
        <v>11060</v>
      </c>
      <c r="D165" s="362">
        <v>11030</v>
      </c>
      <c r="E165" s="362">
        <v>13850</v>
      </c>
      <c r="F165" s="362">
        <v>2170</v>
      </c>
      <c r="G165" s="362">
        <v>7090</v>
      </c>
    </row>
    <row r="166" s="347" customFormat="1" ht="14.25" customHeight="1" spans="1:7">
      <c r="A166" s="362" t="s">
        <v>273</v>
      </c>
      <c r="B166" s="362" t="s">
        <v>2579</v>
      </c>
      <c r="C166" s="362">
        <v>11050</v>
      </c>
      <c r="D166" s="362">
        <v>11010</v>
      </c>
      <c r="E166" s="362">
        <v>13920</v>
      </c>
      <c r="F166" s="362">
        <v>2140</v>
      </c>
      <c r="G166" s="362">
        <v>7080</v>
      </c>
    </row>
    <row r="167" s="347" customFormat="1" ht="14.25" customHeight="1" spans="1:7">
      <c r="A167" s="362" t="s">
        <v>273</v>
      </c>
      <c r="B167" s="362" t="s">
        <v>2583</v>
      </c>
      <c r="C167" s="362">
        <v>10930</v>
      </c>
      <c r="D167" s="362">
        <v>10890</v>
      </c>
      <c r="E167" s="362">
        <v>13790</v>
      </c>
      <c r="F167" s="362">
        <v>2010</v>
      </c>
      <c r="G167" s="362">
        <v>7000</v>
      </c>
    </row>
    <row r="168" s="347" customFormat="1" ht="14.25" customHeight="1" spans="1:7">
      <c r="A168" s="362" t="s">
        <v>273</v>
      </c>
      <c r="B168" s="362" t="s">
        <v>2587</v>
      </c>
      <c r="C168" s="362">
        <v>9420</v>
      </c>
      <c r="D168" s="362">
        <v>9380</v>
      </c>
      <c r="E168" s="362">
        <v>11970</v>
      </c>
      <c r="F168" s="362"/>
      <c r="G168" s="362">
        <v>6040</v>
      </c>
    </row>
    <row r="169" s="347" customFormat="1" ht="14.25" customHeight="1" spans="1:7">
      <c r="A169" s="362" t="s">
        <v>273</v>
      </c>
      <c r="B169" s="362" t="s">
        <v>2591</v>
      </c>
      <c r="C169" s="362"/>
      <c r="D169" s="362"/>
      <c r="E169" s="362"/>
      <c r="F169" s="362">
        <v>2880</v>
      </c>
      <c r="G169" s="362"/>
    </row>
    <row r="170" s="347" customFormat="1" ht="14.25" customHeight="1" spans="1:7">
      <c r="A170" s="362" t="s">
        <v>273</v>
      </c>
      <c r="B170" s="362" t="s">
        <v>2595</v>
      </c>
      <c r="C170" s="362"/>
      <c r="D170" s="362"/>
      <c r="E170" s="362"/>
      <c r="F170" s="362">
        <v>2880</v>
      </c>
      <c r="G170" s="362"/>
    </row>
    <row r="171" s="347" customFormat="1" ht="14.25" customHeight="1" spans="1:7">
      <c r="A171" s="362" t="s">
        <v>273</v>
      </c>
      <c r="B171" s="362" t="s">
        <v>2598</v>
      </c>
      <c r="C171" s="362"/>
      <c r="D171" s="362"/>
      <c r="E171" s="362"/>
      <c r="F171" s="362">
        <v>2880</v>
      </c>
      <c r="G171" s="362"/>
    </row>
    <row r="172" s="347" customFormat="1" ht="14.25" customHeight="1" spans="1:7">
      <c r="A172" s="362" t="s">
        <v>273</v>
      </c>
      <c r="B172" s="362" t="s">
        <v>2600</v>
      </c>
      <c r="C172" s="362"/>
      <c r="D172" s="362"/>
      <c r="E172" s="362"/>
      <c r="F172" s="362">
        <v>2880</v>
      </c>
      <c r="G172" s="362"/>
    </row>
    <row r="173" s="347" customFormat="1" ht="14.25" customHeight="1" spans="1:7">
      <c r="A173" s="362" t="s">
        <v>273</v>
      </c>
      <c r="B173" s="362" t="s">
        <v>2602</v>
      </c>
      <c r="C173" s="362"/>
      <c r="D173" s="362"/>
      <c r="E173" s="362"/>
      <c r="F173" s="362">
        <v>2150</v>
      </c>
      <c r="G173" s="362"/>
    </row>
    <row r="174" s="347" customFormat="1" ht="14.25" customHeight="1" spans="1:7">
      <c r="A174" s="362" t="s">
        <v>273</v>
      </c>
      <c r="B174" s="362" t="s">
        <v>2604</v>
      </c>
      <c r="C174" s="362"/>
      <c r="D174" s="362"/>
      <c r="E174" s="362"/>
      <c r="F174" s="362">
        <v>2030</v>
      </c>
      <c r="G174" s="362"/>
    </row>
    <row r="175" s="347" customFormat="1" ht="14.25" customHeight="1" spans="1:7">
      <c r="A175" s="362" t="s">
        <v>273</v>
      </c>
      <c r="B175" s="362" t="s">
        <v>2606</v>
      </c>
      <c r="C175" s="362"/>
      <c r="D175" s="362"/>
      <c r="E175" s="362"/>
      <c r="F175" s="362">
        <v>2780</v>
      </c>
      <c r="G175" s="362"/>
    </row>
    <row r="176" s="347" customFormat="1" ht="14.25" customHeight="1" spans="1:7">
      <c r="A176" s="362" t="s">
        <v>273</v>
      </c>
      <c r="B176" s="362" t="s">
        <v>2608</v>
      </c>
      <c r="C176" s="362"/>
      <c r="D176" s="362"/>
      <c r="E176" s="362"/>
      <c r="F176" s="362">
        <v>2780</v>
      </c>
      <c r="G176" s="362"/>
    </row>
    <row r="177" s="347" customFormat="1" ht="14.25" customHeight="1" spans="1:7">
      <c r="A177" s="362" t="s">
        <v>273</v>
      </c>
      <c r="B177" s="362" t="s">
        <v>2610</v>
      </c>
      <c r="C177" s="362"/>
      <c r="D177" s="362"/>
      <c r="E177" s="362"/>
      <c r="F177" s="362">
        <v>2780</v>
      </c>
      <c r="G177" s="362"/>
    </row>
    <row r="178" s="347" customFormat="1" ht="14.25" customHeight="1" spans="1:7">
      <c r="A178" s="362" t="s">
        <v>273</v>
      </c>
      <c r="B178" s="362" t="s">
        <v>2611</v>
      </c>
      <c r="C178" s="362"/>
      <c r="D178" s="362"/>
      <c r="E178" s="362"/>
      <c r="F178" s="362">
        <v>2060</v>
      </c>
      <c r="G178" s="362"/>
    </row>
    <row r="179" s="347" customFormat="1" ht="14.25" customHeight="1" spans="1:7">
      <c r="A179" s="362" t="s">
        <v>273</v>
      </c>
      <c r="B179" s="362" t="s">
        <v>2612</v>
      </c>
      <c r="C179" s="362"/>
      <c r="D179" s="362"/>
      <c r="E179" s="362"/>
      <c r="F179" s="362">
        <v>2120</v>
      </c>
      <c r="G179" s="362"/>
    </row>
    <row r="180" s="347" customFormat="1" ht="14.25" customHeight="1" spans="1:7">
      <c r="A180" s="362" t="s">
        <v>273</v>
      </c>
      <c r="B180" s="362" t="s">
        <v>2613</v>
      </c>
      <c r="C180" s="362"/>
      <c r="D180" s="362"/>
      <c r="E180" s="362"/>
      <c r="F180" s="362">
        <v>2340</v>
      </c>
      <c r="G180" s="362"/>
    </row>
    <row r="181" s="347" customFormat="1" ht="14.25" customHeight="1" spans="1:7">
      <c r="A181" s="362" t="s">
        <v>273</v>
      </c>
      <c r="B181" s="362" t="s">
        <v>2614</v>
      </c>
      <c r="C181" s="362"/>
      <c r="D181" s="362"/>
      <c r="E181" s="362"/>
      <c r="F181" s="362">
        <v>2340</v>
      </c>
      <c r="G181" s="362"/>
    </row>
    <row r="182" s="347" customFormat="1" ht="14.25" customHeight="1" spans="1:7">
      <c r="A182" s="362" t="s">
        <v>273</v>
      </c>
      <c r="B182" s="362" t="s">
        <v>2615</v>
      </c>
      <c r="C182" s="362"/>
      <c r="D182" s="362"/>
      <c r="E182" s="362"/>
      <c r="F182" s="362">
        <v>2340</v>
      </c>
      <c r="G182" s="362"/>
    </row>
    <row r="183" s="347" customFormat="1" ht="14.25" customHeight="1" spans="1:7">
      <c r="A183" s="362" t="s">
        <v>273</v>
      </c>
      <c r="B183" s="362" t="s">
        <v>2616</v>
      </c>
      <c r="C183" s="362"/>
      <c r="D183" s="362"/>
      <c r="E183" s="362"/>
      <c r="F183" s="362">
        <v>2340</v>
      </c>
      <c r="G183" s="362"/>
    </row>
    <row r="184" s="347" customFormat="1" ht="14.25" customHeight="1" spans="1:7">
      <c r="A184" s="362" t="s">
        <v>273</v>
      </c>
      <c r="B184" s="362" t="s">
        <v>2617</v>
      </c>
      <c r="C184" s="362"/>
      <c r="D184" s="362"/>
      <c r="E184" s="362"/>
      <c r="F184" s="362">
        <v>2340</v>
      </c>
      <c r="G184" s="362"/>
    </row>
    <row r="185" s="347" customFormat="1" ht="14.25" customHeight="1" spans="1:7">
      <c r="A185" s="362" t="s">
        <v>273</v>
      </c>
      <c r="B185" s="362" t="s">
        <v>2618</v>
      </c>
      <c r="C185" s="362"/>
      <c r="D185" s="362"/>
      <c r="E185" s="362"/>
      <c r="F185" s="362">
        <v>2530</v>
      </c>
      <c r="G185" s="362"/>
    </row>
    <row r="186" s="347" customFormat="1" ht="14.25" customHeight="1" spans="1:7">
      <c r="A186" s="362" t="s">
        <v>273</v>
      </c>
      <c r="B186" s="362" t="s">
        <v>2619</v>
      </c>
      <c r="C186" s="362"/>
      <c r="D186" s="362"/>
      <c r="E186" s="362"/>
      <c r="F186" s="362">
        <v>2550</v>
      </c>
      <c r="G186" s="362"/>
    </row>
    <row r="187" s="347" customFormat="1" ht="14.25" customHeight="1" spans="1:7">
      <c r="A187" s="362" t="s">
        <v>273</v>
      </c>
      <c r="B187" s="362" t="s">
        <v>2620</v>
      </c>
      <c r="C187" s="362"/>
      <c r="D187" s="362"/>
      <c r="E187" s="362"/>
      <c r="F187" s="362">
        <v>2070</v>
      </c>
      <c r="G187" s="362"/>
    </row>
    <row r="188" s="347" customFormat="1" ht="14.25" customHeight="1" spans="1:7">
      <c r="A188" s="362" t="s">
        <v>273</v>
      </c>
      <c r="B188" s="362" t="s">
        <v>2621</v>
      </c>
      <c r="C188" s="362"/>
      <c r="D188" s="362"/>
      <c r="E188" s="362"/>
      <c r="F188" s="362">
        <v>2340</v>
      </c>
      <c r="G188" s="362"/>
    </row>
    <row r="189" s="347" customFormat="1" ht="14.25" customHeight="1" spans="1:7">
      <c r="A189" s="364" t="s">
        <v>273</v>
      </c>
      <c r="B189" s="368" t="s">
        <v>2622</v>
      </c>
      <c r="C189" s="368"/>
      <c r="D189" s="368"/>
      <c r="E189" s="368"/>
      <c r="F189" s="368">
        <v>2050</v>
      </c>
      <c r="G189" s="368"/>
    </row>
    <row r="190" s="347" customFormat="1" ht="14.25" customHeight="1" spans="1:7">
      <c r="A190" s="360" t="s">
        <v>278</v>
      </c>
      <c r="B190" s="361" t="s">
        <v>2247</v>
      </c>
      <c r="C190" s="361">
        <v>8830</v>
      </c>
      <c r="D190" s="361">
        <v>8790</v>
      </c>
      <c r="E190" s="361">
        <v>11630</v>
      </c>
      <c r="F190" s="361">
        <v>1790</v>
      </c>
      <c r="G190" s="369">
        <v>5550</v>
      </c>
    </row>
    <row r="191" s="347" customFormat="1" ht="14.25" customHeight="1" spans="1:7">
      <c r="A191" s="362" t="s">
        <v>278</v>
      </c>
      <c r="B191" s="362" t="s">
        <v>2260</v>
      </c>
      <c r="C191" s="362">
        <v>9780</v>
      </c>
      <c r="D191" s="362">
        <v>9710</v>
      </c>
      <c r="E191" s="362">
        <v>12550</v>
      </c>
      <c r="F191" s="362">
        <v>1980</v>
      </c>
      <c r="G191" s="370">
        <v>6130</v>
      </c>
    </row>
    <row r="192" s="347" customFormat="1" ht="14.25" customHeight="1" spans="1:7">
      <c r="A192" s="362" t="s">
        <v>278</v>
      </c>
      <c r="B192" s="362" t="s">
        <v>2274</v>
      </c>
      <c r="C192" s="362">
        <v>8180</v>
      </c>
      <c r="D192" s="362">
        <v>8140</v>
      </c>
      <c r="E192" s="362">
        <v>10870</v>
      </c>
      <c r="F192" s="362">
        <v>1690</v>
      </c>
      <c r="G192" s="370">
        <v>5140</v>
      </c>
    </row>
    <row r="193" s="347" customFormat="1" ht="14.25" customHeight="1" spans="1:7">
      <c r="A193" s="362" t="s">
        <v>278</v>
      </c>
      <c r="B193" s="362" t="s">
        <v>2286</v>
      </c>
      <c r="C193" s="362">
        <v>8440</v>
      </c>
      <c r="D193" s="362">
        <v>8390</v>
      </c>
      <c r="E193" s="362">
        <v>11210</v>
      </c>
      <c r="F193" s="362">
        <v>1600</v>
      </c>
      <c r="G193" s="370">
        <v>5300</v>
      </c>
    </row>
    <row r="194" s="347" customFormat="1" ht="14.25" customHeight="1" spans="1:7">
      <c r="A194" s="362" t="s">
        <v>278</v>
      </c>
      <c r="B194" s="362" t="s">
        <v>2298</v>
      </c>
      <c r="C194" s="362">
        <v>8780</v>
      </c>
      <c r="D194" s="362">
        <v>8730</v>
      </c>
      <c r="E194" s="362">
        <v>11550</v>
      </c>
      <c r="F194" s="362">
        <v>1660</v>
      </c>
      <c r="G194" s="370">
        <v>5520</v>
      </c>
    </row>
    <row r="195" s="347" customFormat="1" ht="14.25" customHeight="1" spans="1:7">
      <c r="A195" s="362" t="s">
        <v>278</v>
      </c>
      <c r="B195" s="362" t="s">
        <v>2309</v>
      </c>
      <c r="C195" s="362">
        <v>8720</v>
      </c>
      <c r="D195" s="362">
        <v>8670</v>
      </c>
      <c r="E195" s="362">
        <v>11450</v>
      </c>
      <c r="F195" s="362">
        <v>1720</v>
      </c>
      <c r="G195" s="370">
        <v>5480</v>
      </c>
    </row>
    <row r="196" s="347" customFormat="1" ht="14.25" customHeight="1" spans="1:7">
      <c r="A196" s="362" t="s">
        <v>278</v>
      </c>
      <c r="B196" s="362" t="s">
        <v>2320</v>
      </c>
      <c r="C196" s="362">
        <v>8460</v>
      </c>
      <c r="D196" s="362">
        <v>8410</v>
      </c>
      <c r="E196" s="362">
        <v>11230</v>
      </c>
      <c r="F196" s="362">
        <v>1730</v>
      </c>
      <c r="G196" s="370">
        <v>5310</v>
      </c>
    </row>
    <row r="197" s="347" customFormat="1" ht="14.25" customHeight="1" spans="1:7">
      <c r="A197" s="362" t="s">
        <v>278</v>
      </c>
      <c r="B197" s="362" t="s">
        <v>2331</v>
      </c>
      <c r="C197" s="362">
        <v>8790</v>
      </c>
      <c r="D197" s="362">
        <v>8730</v>
      </c>
      <c r="E197" s="362">
        <v>11560</v>
      </c>
      <c r="F197" s="362">
        <v>1750</v>
      </c>
      <c r="G197" s="370">
        <v>5520</v>
      </c>
    </row>
    <row r="198" s="347" customFormat="1" ht="14.25" customHeight="1" spans="1:7">
      <c r="A198" s="362" t="s">
        <v>278</v>
      </c>
      <c r="B198" s="362" t="s">
        <v>2341</v>
      </c>
      <c r="C198" s="362">
        <v>8720</v>
      </c>
      <c r="D198" s="362">
        <v>8680</v>
      </c>
      <c r="E198" s="362">
        <v>11470</v>
      </c>
      <c r="F198" s="362"/>
      <c r="G198" s="370">
        <v>5480</v>
      </c>
    </row>
    <row r="199" s="347" customFormat="1" ht="14.25" customHeight="1" spans="1:7">
      <c r="A199" s="362" t="s">
        <v>278</v>
      </c>
      <c r="B199" s="362" t="s">
        <v>2351</v>
      </c>
      <c r="C199" s="362">
        <v>8690</v>
      </c>
      <c r="D199" s="362">
        <v>8630</v>
      </c>
      <c r="E199" s="362">
        <v>11350</v>
      </c>
      <c r="F199" s="362">
        <v>1600</v>
      </c>
      <c r="G199" s="370">
        <v>5450</v>
      </c>
    </row>
    <row r="200" s="347" customFormat="1" ht="14.25" customHeight="1" spans="1:7">
      <c r="A200" s="362" t="s">
        <v>278</v>
      </c>
      <c r="B200" s="362" t="s">
        <v>2361</v>
      </c>
      <c r="C200" s="362"/>
      <c r="D200" s="362"/>
      <c r="E200" s="362"/>
      <c r="F200" s="362">
        <v>1510</v>
      </c>
      <c r="G200" s="370"/>
    </row>
    <row r="201" s="347" customFormat="1" ht="14.25" customHeight="1" spans="1:7">
      <c r="A201" s="362" t="s">
        <v>278</v>
      </c>
      <c r="B201" s="362" t="s">
        <v>2371</v>
      </c>
      <c r="C201" s="362">
        <v>8440</v>
      </c>
      <c r="D201" s="362">
        <v>8390</v>
      </c>
      <c r="E201" s="362">
        <v>10930</v>
      </c>
      <c r="F201" s="362">
        <v>1500</v>
      </c>
      <c r="G201" s="370">
        <v>5300</v>
      </c>
    </row>
    <row r="202" s="347" customFormat="1" ht="14.25" customHeight="1" spans="1:7">
      <c r="A202" s="362" t="s">
        <v>278</v>
      </c>
      <c r="B202" s="362" t="s">
        <v>2381</v>
      </c>
      <c r="C202" s="362">
        <v>8530</v>
      </c>
      <c r="D202" s="362">
        <v>8490</v>
      </c>
      <c r="E202" s="362">
        <v>11160</v>
      </c>
      <c r="F202" s="362">
        <v>1580</v>
      </c>
      <c r="G202" s="370">
        <v>5360</v>
      </c>
    </row>
    <row r="203" s="347" customFormat="1" ht="14.25" customHeight="1" spans="1:7">
      <c r="A203" s="362" t="s">
        <v>278</v>
      </c>
      <c r="B203" s="362" t="s">
        <v>2391</v>
      </c>
      <c r="C203" s="362">
        <v>8130</v>
      </c>
      <c r="D203" s="362">
        <v>8070</v>
      </c>
      <c r="E203" s="362">
        <v>10820</v>
      </c>
      <c r="F203" s="362">
        <v>1690</v>
      </c>
      <c r="G203" s="370">
        <v>5100</v>
      </c>
    </row>
    <row r="204" s="347" customFormat="1" ht="14.25" customHeight="1" spans="1:7">
      <c r="A204" s="362" t="s">
        <v>278</v>
      </c>
      <c r="B204" s="362" t="s">
        <v>2401</v>
      </c>
      <c r="C204" s="362">
        <v>8350</v>
      </c>
      <c r="D204" s="362">
        <v>8290</v>
      </c>
      <c r="E204" s="362">
        <v>11080</v>
      </c>
      <c r="F204" s="362">
        <v>1450</v>
      </c>
      <c r="G204" s="370">
        <v>5240</v>
      </c>
    </row>
    <row r="205" s="347" customFormat="1" ht="14.25" customHeight="1" spans="1:7">
      <c r="A205" s="362" t="s">
        <v>278</v>
      </c>
      <c r="B205" s="362" t="s">
        <v>2411</v>
      </c>
      <c r="C205" s="362">
        <v>7190</v>
      </c>
      <c r="D205" s="362">
        <v>7130</v>
      </c>
      <c r="E205" s="362">
        <v>9490</v>
      </c>
      <c r="F205" s="362">
        <v>1470</v>
      </c>
      <c r="G205" s="370">
        <v>4510</v>
      </c>
    </row>
    <row r="206" s="347" customFormat="1" ht="14.25" customHeight="1" spans="1:7">
      <c r="A206" s="362" t="s">
        <v>278</v>
      </c>
      <c r="B206" s="362" t="s">
        <v>2421</v>
      </c>
      <c r="C206" s="362">
        <v>7000</v>
      </c>
      <c r="D206" s="362">
        <v>6950</v>
      </c>
      <c r="E206" s="362">
        <v>9170</v>
      </c>
      <c r="F206" s="362">
        <v>1400</v>
      </c>
      <c r="G206" s="370">
        <v>4380</v>
      </c>
    </row>
    <row r="207" s="347" customFormat="1" ht="14.25" customHeight="1" spans="1:7">
      <c r="A207" s="362" t="s">
        <v>278</v>
      </c>
      <c r="B207" s="362" t="s">
        <v>2431</v>
      </c>
      <c r="C207" s="362">
        <v>6950</v>
      </c>
      <c r="D207" s="362">
        <v>6900</v>
      </c>
      <c r="E207" s="362">
        <v>9110</v>
      </c>
      <c r="F207" s="362">
        <v>1790</v>
      </c>
      <c r="G207" s="370">
        <v>4360</v>
      </c>
    </row>
    <row r="208" s="347" customFormat="1" ht="14.25" customHeight="1" spans="1:7">
      <c r="A208" s="362" t="s">
        <v>278</v>
      </c>
      <c r="B208" s="362" t="s">
        <v>2441</v>
      </c>
      <c r="C208" s="362">
        <v>9470</v>
      </c>
      <c r="D208" s="362">
        <v>9410</v>
      </c>
      <c r="E208" s="362">
        <v>12330</v>
      </c>
      <c r="F208" s="362">
        <v>1770</v>
      </c>
      <c r="G208" s="370">
        <v>5940</v>
      </c>
    </row>
    <row r="209" s="347" customFormat="1" ht="14.25" customHeight="1" spans="1:7">
      <c r="A209" s="362" t="s">
        <v>278</v>
      </c>
      <c r="B209" s="362" t="s">
        <v>2451</v>
      </c>
      <c r="C209" s="362">
        <v>8740</v>
      </c>
      <c r="D209" s="362">
        <v>8700</v>
      </c>
      <c r="E209" s="362">
        <v>11500</v>
      </c>
      <c r="F209" s="362">
        <v>1730</v>
      </c>
      <c r="G209" s="370">
        <v>5490</v>
      </c>
    </row>
    <row r="210" s="347" customFormat="1" ht="14.25" customHeight="1" spans="1:7">
      <c r="A210" s="362" t="s">
        <v>278</v>
      </c>
      <c r="B210" s="362" t="s">
        <v>2460</v>
      </c>
      <c r="C210" s="362">
        <v>8710</v>
      </c>
      <c r="D210" s="362">
        <v>8660</v>
      </c>
      <c r="E210" s="362">
        <v>11440</v>
      </c>
      <c r="F210" s="362">
        <v>1740</v>
      </c>
      <c r="G210" s="370">
        <v>5470</v>
      </c>
    </row>
    <row r="211" s="347" customFormat="1" ht="14.25" customHeight="1" spans="1:7">
      <c r="A211" s="362" t="s">
        <v>278</v>
      </c>
      <c r="B211" s="362" t="s">
        <v>2468</v>
      </c>
      <c r="C211" s="362">
        <v>9480</v>
      </c>
      <c r="D211" s="362">
        <v>9430</v>
      </c>
      <c r="E211" s="362">
        <v>12360</v>
      </c>
      <c r="F211" s="362">
        <v>1820</v>
      </c>
      <c r="G211" s="370">
        <v>5950</v>
      </c>
    </row>
    <row r="212" s="347" customFormat="1" ht="14.25" customHeight="1" spans="1:7">
      <c r="A212" s="362" t="s">
        <v>278</v>
      </c>
      <c r="B212" s="362" t="s">
        <v>2476</v>
      </c>
      <c r="C212" s="362">
        <v>9070</v>
      </c>
      <c r="D212" s="362">
        <v>9020</v>
      </c>
      <c r="E212" s="362">
        <v>11720</v>
      </c>
      <c r="F212" s="362">
        <v>1850</v>
      </c>
      <c r="G212" s="370">
        <v>5700</v>
      </c>
    </row>
    <row r="213" s="347" customFormat="1" ht="14.25" customHeight="1" spans="1:7">
      <c r="A213" s="362" t="s">
        <v>278</v>
      </c>
      <c r="B213" s="362" t="s">
        <v>2484</v>
      </c>
      <c r="C213" s="362">
        <v>9030</v>
      </c>
      <c r="D213" s="362">
        <v>8980</v>
      </c>
      <c r="E213" s="362">
        <v>11670</v>
      </c>
      <c r="F213" s="362">
        <v>1690</v>
      </c>
      <c r="G213" s="370">
        <v>5670</v>
      </c>
    </row>
    <row r="214" s="347" customFormat="1" ht="14.25" customHeight="1" spans="1:7">
      <c r="A214" s="362" t="s">
        <v>278</v>
      </c>
      <c r="B214" s="362" t="s">
        <v>2492</v>
      </c>
      <c r="C214" s="362">
        <v>8090</v>
      </c>
      <c r="D214" s="362">
        <v>8030</v>
      </c>
      <c r="E214" s="362">
        <v>10780</v>
      </c>
      <c r="F214" s="362">
        <v>1570</v>
      </c>
      <c r="G214" s="370">
        <v>5070</v>
      </c>
    </row>
    <row r="215" s="347" customFormat="1" ht="14.25" customHeight="1" spans="1:7">
      <c r="A215" s="362" t="s">
        <v>278</v>
      </c>
      <c r="B215" s="362" t="s">
        <v>2499</v>
      </c>
      <c r="C215" s="362">
        <v>7950</v>
      </c>
      <c r="D215" s="362">
        <v>7900</v>
      </c>
      <c r="E215" s="362">
        <v>10560</v>
      </c>
      <c r="F215" s="362">
        <v>1630</v>
      </c>
      <c r="G215" s="370">
        <v>4990</v>
      </c>
    </row>
    <row r="216" s="347" customFormat="1" ht="14.25" customHeight="1" spans="1:7">
      <c r="A216" s="362" t="s">
        <v>278</v>
      </c>
      <c r="B216" s="362" t="s">
        <v>2506</v>
      </c>
      <c r="C216" s="362">
        <v>8490</v>
      </c>
      <c r="D216" s="362">
        <v>8440</v>
      </c>
      <c r="E216" s="362">
        <v>11260</v>
      </c>
      <c r="F216" s="362">
        <v>1690</v>
      </c>
      <c r="G216" s="370">
        <v>5330</v>
      </c>
    </row>
    <row r="217" s="347" customFormat="1" ht="14.25" customHeight="1" spans="1:7">
      <c r="A217" s="362" t="s">
        <v>278</v>
      </c>
      <c r="B217" s="362" t="s">
        <v>2513</v>
      </c>
      <c r="C217" s="362">
        <v>8200</v>
      </c>
      <c r="D217" s="362">
        <v>8150</v>
      </c>
      <c r="E217" s="362">
        <v>10910</v>
      </c>
      <c r="F217" s="362">
        <v>1670</v>
      </c>
      <c r="G217" s="370">
        <v>5150</v>
      </c>
    </row>
    <row r="218" s="347" customFormat="1" ht="14.25" customHeight="1" spans="1:7">
      <c r="A218" s="362" t="s">
        <v>278</v>
      </c>
      <c r="B218" s="362" t="s">
        <v>2519</v>
      </c>
      <c r="C218" s="362"/>
      <c r="D218" s="362"/>
      <c r="E218" s="362"/>
      <c r="F218" s="362">
        <v>2040</v>
      </c>
      <c r="G218" s="370"/>
    </row>
    <row r="219" s="347" customFormat="1" ht="14.25" customHeight="1" spans="1:7">
      <c r="A219" s="362" t="s">
        <v>278</v>
      </c>
      <c r="B219" s="362" t="s">
        <v>2526</v>
      </c>
      <c r="C219" s="362"/>
      <c r="D219" s="362"/>
      <c r="E219" s="362"/>
      <c r="F219" s="362">
        <v>2040</v>
      </c>
      <c r="G219" s="370"/>
    </row>
    <row r="220" s="347" customFormat="1" ht="14.25" customHeight="1" spans="1:7">
      <c r="A220" s="362" t="s">
        <v>278</v>
      </c>
      <c r="B220" s="362" t="s">
        <v>2533</v>
      </c>
      <c r="C220" s="362"/>
      <c r="D220" s="362"/>
      <c r="E220" s="362"/>
      <c r="F220" s="362">
        <v>2040</v>
      </c>
      <c r="G220" s="370"/>
    </row>
    <row r="221" s="347" customFormat="1" ht="14.25" customHeight="1" spans="1:7">
      <c r="A221" s="362" t="s">
        <v>278</v>
      </c>
      <c r="B221" s="362" t="s">
        <v>2540</v>
      </c>
      <c r="C221" s="362"/>
      <c r="D221" s="362"/>
      <c r="E221" s="362"/>
      <c r="F221" s="362">
        <v>2040</v>
      </c>
      <c r="G221" s="370"/>
    </row>
    <row r="222" s="347" customFormat="1" ht="14.25" customHeight="1" spans="1:7">
      <c r="A222" s="362" t="s">
        <v>278</v>
      </c>
      <c r="B222" s="362" t="s">
        <v>2545</v>
      </c>
      <c r="C222" s="362"/>
      <c r="D222" s="362"/>
      <c r="E222" s="362"/>
      <c r="F222" s="362">
        <v>2040</v>
      </c>
      <c r="G222" s="370"/>
    </row>
    <row r="223" s="347" customFormat="1" ht="14.25" customHeight="1" spans="1:7">
      <c r="A223" s="362" t="s">
        <v>278</v>
      </c>
      <c r="B223" s="362" t="s">
        <v>2550</v>
      </c>
      <c r="C223" s="362"/>
      <c r="D223" s="362"/>
      <c r="E223" s="362"/>
      <c r="F223" s="362">
        <v>1930</v>
      </c>
      <c r="G223" s="370"/>
    </row>
    <row r="224" s="347" customFormat="1" ht="14.25" customHeight="1" spans="1:7">
      <c r="A224" s="362" t="s">
        <v>278</v>
      </c>
      <c r="B224" s="362" t="s">
        <v>2555</v>
      </c>
      <c r="C224" s="362"/>
      <c r="D224" s="362"/>
      <c r="E224" s="362"/>
      <c r="F224" s="362">
        <v>1930</v>
      </c>
      <c r="G224" s="370"/>
    </row>
    <row r="225" s="347" customFormat="1" ht="14.25" customHeight="1" spans="1:7">
      <c r="A225" s="362" t="s">
        <v>278</v>
      </c>
      <c r="B225" s="362" t="s">
        <v>2560</v>
      </c>
      <c r="C225" s="362"/>
      <c r="D225" s="362"/>
      <c r="E225" s="362"/>
      <c r="F225" s="362">
        <v>1930</v>
      </c>
      <c r="G225" s="370"/>
    </row>
    <row r="226" s="347" customFormat="1" ht="14.25" customHeight="1" spans="1:7">
      <c r="A226" s="362" t="s">
        <v>278</v>
      </c>
      <c r="B226" s="362" t="s">
        <v>2565</v>
      </c>
      <c r="C226" s="362"/>
      <c r="D226" s="362"/>
      <c r="E226" s="362"/>
      <c r="F226" s="362">
        <v>1700</v>
      </c>
      <c r="G226" s="370"/>
    </row>
    <row r="227" s="347" customFormat="1" ht="14.25" customHeight="1" spans="1:7">
      <c r="A227" s="362" t="s">
        <v>278</v>
      </c>
      <c r="B227" s="362" t="s">
        <v>2570</v>
      </c>
      <c r="C227" s="362"/>
      <c r="D227" s="362"/>
      <c r="E227" s="362"/>
      <c r="F227" s="362">
        <v>1520</v>
      </c>
      <c r="G227" s="370"/>
    </row>
    <row r="228" s="347" customFormat="1" ht="14.25" customHeight="1" spans="1:7">
      <c r="A228" s="362" t="s">
        <v>278</v>
      </c>
      <c r="B228" s="362" t="s">
        <v>2575</v>
      </c>
      <c r="C228" s="362"/>
      <c r="D228" s="362"/>
      <c r="E228" s="362"/>
      <c r="F228" s="362">
        <v>1520</v>
      </c>
      <c r="G228" s="370"/>
    </row>
    <row r="229" s="347" customFormat="1" ht="14.25" customHeight="1" spans="1:7">
      <c r="A229" s="362" t="s">
        <v>278</v>
      </c>
      <c r="B229" s="362" t="s">
        <v>2580</v>
      </c>
      <c r="C229" s="362"/>
      <c r="D229" s="362"/>
      <c r="E229" s="362"/>
      <c r="F229" s="362">
        <v>1520</v>
      </c>
      <c r="G229" s="370"/>
    </row>
    <row r="230" s="347" customFormat="1" ht="14.25" customHeight="1" spans="1:7">
      <c r="A230" s="362" t="s">
        <v>278</v>
      </c>
      <c r="B230" s="362" t="s">
        <v>2584</v>
      </c>
      <c r="C230" s="362"/>
      <c r="D230" s="362"/>
      <c r="E230" s="362"/>
      <c r="F230" s="362">
        <v>1820</v>
      </c>
      <c r="G230" s="370"/>
    </row>
    <row r="231" s="347" customFormat="1" ht="14.25" customHeight="1" spans="1:7">
      <c r="A231" s="362" t="s">
        <v>278</v>
      </c>
      <c r="B231" s="362" t="s">
        <v>2588</v>
      </c>
      <c r="C231" s="362"/>
      <c r="D231" s="362"/>
      <c r="E231" s="362"/>
      <c r="F231" s="362">
        <v>1760</v>
      </c>
      <c r="G231" s="370"/>
    </row>
    <row r="232" s="347" customFormat="1" ht="14.25" customHeight="1" spans="1:7">
      <c r="A232" s="362" t="s">
        <v>278</v>
      </c>
      <c r="B232" s="362" t="s">
        <v>2592</v>
      </c>
      <c r="C232" s="362"/>
      <c r="D232" s="362"/>
      <c r="E232" s="362"/>
      <c r="F232" s="362">
        <v>1840</v>
      </c>
      <c r="G232" s="370"/>
    </row>
    <row r="233" s="347" customFormat="1" ht="14.25" customHeight="1" spans="1:7">
      <c r="A233" s="371" t="s">
        <v>278</v>
      </c>
      <c r="B233" s="366" t="s">
        <v>2596</v>
      </c>
      <c r="C233" s="366"/>
      <c r="D233" s="366"/>
      <c r="E233" s="366"/>
      <c r="F233" s="366">
        <v>1770</v>
      </c>
      <c r="G233" s="372"/>
    </row>
    <row r="234" s="347" customFormat="1" ht="14.25" customHeight="1" spans="1:7">
      <c r="A234" s="360" t="s">
        <v>284</v>
      </c>
      <c r="B234" s="361" t="s">
        <v>2248</v>
      </c>
      <c r="C234" s="362">
        <v>6980</v>
      </c>
      <c r="D234" s="362">
        <v>6970</v>
      </c>
      <c r="E234" s="362">
        <v>8720</v>
      </c>
      <c r="F234" s="362">
        <v>1350</v>
      </c>
      <c r="G234" s="362">
        <v>4280</v>
      </c>
    </row>
    <row r="235" s="347" customFormat="1" ht="14.25" customHeight="1" spans="1:7">
      <c r="A235" s="362" t="s">
        <v>284</v>
      </c>
      <c r="B235" s="362" t="s">
        <v>2261</v>
      </c>
      <c r="C235" s="362">
        <v>7620</v>
      </c>
      <c r="D235" s="362">
        <v>7580</v>
      </c>
      <c r="E235" s="362">
        <v>9360</v>
      </c>
      <c r="F235" s="362">
        <v>1490</v>
      </c>
      <c r="G235" s="362">
        <v>4650</v>
      </c>
    </row>
    <row r="236" s="347" customFormat="1" ht="14.25" customHeight="1" spans="1:7">
      <c r="A236" s="362" t="s">
        <v>284</v>
      </c>
      <c r="B236" s="362" t="s">
        <v>2275</v>
      </c>
      <c r="C236" s="362">
        <v>6650</v>
      </c>
      <c r="D236" s="362">
        <v>6630</v>
      </c>
      <c r="E236" s="362">
        <v>8330</v>
      </c>
      <c r="F236" s="362">
        <v>1250</v>
      </c>
      <c r="G236" s="362">
        <v>4070</v>
      </c>
    </row>
    <row r="237" s="347" customFormat="1" ht="14.25" customHeight="1" spans="1:7">
      <c r="A237" s="362" t="s">
        <v>284</v>
      </c>
      <c r="B237" s="362" t="s">
        <v>2287</v>
      </c>
      <c r="C237" s="362">
        <v>5850</v>
      </c>
      <c r="D237" s="362">
        <v>5820</v>
      </c>
      <c r="E237" s="362">
        <v>7260</v>
      </c>
      <c r="F237" s="362">
        <v>1140</v>
      </c>
      <c r="G237" s="362">
        <v>3570</v>
      </c>
    </row>
    <row r="238" s="347" customFormat="1" ht="14.25" customHeight="1" spans="1:7">
      <c r="A238" s="362" t="s">
        <v>284</v>
      </c>
      <c r="B238" s="362" t="s">
        <v>2299</v>
      </c>
      <c r="C238" s="362">
        <v>6920</v>
      </c>
      <c r="D238" s="362">
        <v>6890</v>
      </c>
      <c r="E238" s="362">
        <v>8640</v>
      </c>
      <c r="F238" s="362">
        <v>1310</v>
      </c>
      <c r="G238" s="362">
        <v>4230</v>
      </c>
    </row>
    <row r="239" s="347" customFormat="1" ht="14.25" customHeight="1" spans="1:7">
      <c r="A239" s="362" t="s">
        <v>284</v>
      </c>
      <c r="B239" s="362" t="s">
        <v>2310</v>
      </c>
      <c r="C239" s="362">
        <v>6780</v>
      </c>
      <c r="D239" s="362">
        <v>6750</v>
      </c>
      <c r="E239" s="362">
        <v>8440</v>
      </c>
      <c r="F239" s="362">
        <v>1160</v>
      </c>
      <c r="G239" s="362">
        <v>4140</v>
      </c>
    </row>
    <row r="240" s="347" customFormat="1" ht="14.25" customHeight="1" spans="1:7">
      <c r="A240" s="362" t="s">
        <v>284</v>
      </c>
      <c r="B240" s="362" t="s">
        <v>2321</v>
      </c>
      <c r="C240" s="362">
        <v>5420</v>
      </c>
      <c r="D240" s="362">
        <v>5380</v>
      </c>
      <c r="E240" s="362">
        <v>6640</v>
      </c>
      <c r="F240" s="362">
        <v>1020</v>
      </c>
      <c r="G240" s="362">
        <v>3300</v>
      </c>
    </row>
    <row r="241" s="347" customFormat="1" ht="14.25" customHeight="1" spans="1:7">
      <c r="A241" s="362" t="s">
        <v>284</v>
      </c>
      <c r="B241" s="362" t="s">
        <v>2332</v>
      </c>
      <c r="C241" s="362">
        <v>6660</v>
      </c>
      <c r="D241" s="362">
        <v>6640</v>
      </c>
      <c r="E241" s="362">
        <v>8340</v>
      </c>
      <c r="F241" s="362">
        <v>1130</v>
      </c>
      <c r="G241" s="362">
        <v>4080</v>
      </c>
    </row>
    <row r="242" s="347" customFormat="1" ht="14.25" customHeight="1" spans="1:7">
      <c r="A242" s="362" t="s">
        <v>284</v>
      </c>
      <c r="B242" s="362" t="s">
        <v>2342</v>
      </c>
      <c r="C242" s="362">
        <v>6580</v>
      </c>
      <c r="D242" s="362">
        <v>6550</v>
      </c>
      <c r="E242" s="362">
        <v>8090</v>
      </c>
      <c r="F242" s="362">
        <v>1240</v>
      </c>
      <c r="G242" s="362">
        <v>4020</v>
      </c>
    </row>
    <row r="243" s="347" customFormat="1" ht="14.25" customHeight="1" spans="1:7">
      <c r="A243" s="362" t="s">
        <v>284</v>
      </c>
      <c r="B243" s="362" t="s">
        <v>2352</v>
      </c>
      <c r="C243" s="362">
        <v>6000</v>
      </c>
      <c r="D243" s="362">
        <v>5970</v>
      </c>
      <c r="E243" s="362">
        <v>7370</v>
      </c>
      <c r="F243" s="362">
        <v>1070</v>
      </c>
      <c r="G243" s="362">
        <v>3670</v>
      </c>
    </row>
    <row r="244" s="347" customFormat="1" ht="14.25" customHeight="1" spans="1:7">
      <c r="A244" s="362" t="s">
        <v>284</v>
      </c>
      <c r="B244" s="362" t="s">
        <v>2362</v>
      </c>
      <c r="C244" s="362">
        <v>5840</v>
      </c>
      <c r="D244" s="362">
        <v>5810</v>
      </c>
      <c r="E244" s="362">
        <v>7240</v>
      </c>
      <c r="F244" s="362">
        <v>1100</v>
      </c>
      <c r="G244" s="362">
        <v>3560</v>
      </c>
    </row>
    <row r="245" s="347" customFormat="1" ht="14.25" customHeight="1" spans="1:7">
      <c r="A245" s="362" t="s">
        <v>284</v>
      </c>
      <c r="B245" s="362" t="s">
        <v>2372</v>
      </c>
      <c r="C245" s="362">
        <v>6040</v>
      </c>
      <c r="D245" s="362">
        <v>6000</v>
      </c>
      <c r="E245" s="362">
        <v>7420</v>
      </c>
      <c r="F245" s="362">
        <v>1140</v>
      </c>
      <c r="G245" s="362">
        <v>3690</v>
      </c>
    </row>
    <row r="246" s="347" customFormat="1" ht="14.25" customHeight="1" spans="1:7">
      <c r="A246" s="362" t="s">
        <v>284</v>
      </c>
      <c r="B246" s="362" t="s">
        <v>2382</v>
      </c>
      <c r="C246" s="362">
        <v>5890</v>
      </c>
      <c r="D246" s="362">
        <v>5860</v>
      </c>
      <c r="E246" s="362">
        <v>7300</v>
      </c>
      <c r="F246" s="362">
        <v>1110</v>
      </c>
      <c r="G246" s="362">
        <v>3590</v>
      </c>
    </row>
    <row r="247" s="347" customFormat="1" ht="14.25" customHeight="1" spans="1:7">
      <c r="A247" s="362" t="s">
        <v>284</v>
      </c>
      <c r="B247" s="362" t="s">
        <v>2392</v>
      </c>
      <c r="C247" s="362">
        <v>6480</v>
      </c>
      <c r="D247" s="362">
        <v>6450</v>
      </c>
      <c r="E247" s="362">
        <v>8010</v>
      </c>
      <c r="F247" s="362">
        <v>1170</v>
      </c>
      <c r="G247" s="362">
        <v>3960</v>
      </c>
    </row>
    <row r="248" s="347" customFormat="1" ht="14.25" customHeight="1" spans="1:7">
      <c r="A248" s="362" t="s">
        <v>284</v>
      </c>
      <c r="B248" s="362" t="s">
        <v>2402</v>
      </c>
      <c r="C248" s="362">
        <v>6860</v>
      </c>
      <c r="D248" s="362">
        <v>6840</v>
      </c>
      <c r="E248" s="362">
        <v>8520</v>
      </c>
      <c r="F248" s="362">
        <v>1240</v>
      </c>
      <c r="G248" s="362">
        <v>4200</v>
      </c>
    </row>
    <row r="249" s="347" customFormat="1" ht="14.25" customHeight="1" spans="1:7">
      <c r="A249" s="362" t="s">
        <v>284</v>
      </c>
      <c r="B249" s="362" t="s">
        <v>2412</v>
      </c>
      <c r="C249" s="362">
        <v>7180</v>
      </c>
      <c r="D249" s="362">
        <v>7140</v>
      </c>
      <c r="E249" s="362">
        <v>8900</v>
      </c>
      <c r="F249" s="362">
        <v>1350</v>
      </c>
      <c r="G249" s="362">
        <v>4380</v>
      </c>
    </row>
    <row r="250" s="347" customFormat="1" ht="14.25" customHeight="1" spans="1:7">
      <c r="A250" s="362" t="s">
        <v>284</v>
      </c>
      <c r="B250" s="362" t="s">
        <v>2422</v>
      </c>
      <c r="C250" s="362">
        <v>6880</v>
      </c>
      <c r="D250" s="362">
        <v>6860</v>
      </c>
      <c r="E250" s="362">
        <v>8550</v>
      </c>
      <c r="F250" s="362">
        <v>1220</v>
      </c>
      <c r="G250" s="362">
        <v>4210</v>
      </c>
    </row>
    <row r="251" s="347" customFormat="1" ht="14.25" customHeight="1" spans="1:7">
      <c r="A251" s="362" t="s">
        <v>284</v>
      </c>
      <c r="B251" s="362" t="s">
        <v>2432</v>
      </c>
      <c r="C251" s="362"/>
      <c r="D251" s="362"/>
      <c r="E251" s="362"/>
      <c r="F251" s="362">
        <v>1100</v>
      </c>
      <c r="G251" s="362"/>
    </row>
    <row r="252" s="347" customFormat="1" ht="14.25" customHeight="1" spans="1:7">
      <c r="A252" s="362" t="s">
        <v>284</v>
      </c>
      <c r="B252" s="362" t="s">
        <v>2442</v>
      </c>
      <c r="C252" s="362">
        <v>7240</v>
      </c>
      <c r="D252" s="362">
        <v>7200</v>
      </c>
      <c r="E252" s="362">
        <v>9040</v>
      </c>
      <c r="F252" s="362">
        <v>1380</v>
      </c>
      <c r="G252" s="362">
        <v>4420</v>
      </c>
    </row>
    <row r="253" s="347" customFormat="1" ht="14.25" customHeight="1" spans="1:7">
      <c r="A253" s="362" t="s">
        <v>284</v>
      </c>
      <c r="B253" s="362" t="s">
        <v>2452</v>
      </c>
      <c r="C253" s="362">
        <v>6670</v>
      </c>
      <c r="D253" s="362">
        <v>6650</v>
      </c>
      <c r="E253" s="362">
        <v>8350</v>
      </c>
      <c r="F253" s="362">
        <v>1260</v>
      </c>
      <c r="G253" s="362">
        <v>4080</v>
      </c>
    </row>
    <row r="254" s="347" customFormat="1" ht="14.25" customHeight="1" spans="1:7">
      <c r="A254" s="362" t="s">
        <v>284</v>
      </c>
      <c r="B254" s="362" t="s">
        <v>2461</v>
      </c>
      <c r="C254" s="362">
        <v>7630</v>
      </c>
      <c r="D254" s="362">
        <v>7590</v>
      </c>
      <c r="E254" s="362">
        <v>9380</v>
      </c>
      <c r="F254" s="362">
        <v>1320</v>
      </c>
      <c r="G254" s="362">
        <v>4660</v>
      </c>
    </row>
    <row r="255" s="347" customFormat="1" ht="14.25" customHeight="1" spans="1:7">
      <c r="A255" s="362" t="s">
        <v>284</v>
      </c>
      <c r="B255" s="362" t="s">
        <v>2469</v>
      </c>
      <c r="C255" s="362">
        <v>6940</v>
      </c>
      <c r="D255" s="362">
        <v>6890</v>
      </c>
      <c r="E255" s="362">
        <v>8650</v>
      </c>
      <c r="F255" s="362">
        <v>1210</v>
      </c>
      <c r="G255" s="362">
        <v>4230</v>
      </c>
    </row>
    <row r="256" s="347" customFormat="1" ht="14.25" customHeight="1" spans="1:7">
      <c r="A256" s="362" t="s">
        <v>284</v>
      </c>
      <c r="B256" s="362" t="s">
        <v>2477</v>
      </c>
      <c r="C256" s="362">
        <v>7520</v>
      </c>
      <c r="D256" s="362">
        <v>7490</v>
      </c>
      <c r="E256" s="362">
        <v>9240</v>
      </c>
      <c r="F256" s="362">
        <v>1270</v>
      </c>
      <c r="G256" s="362">
        <v>4590</v>
      </c>
    </row>
    <row r="257" s="347" customFormat="1" ht="14.25" customHeight="1" spans="1:7">
      <c r="A257" s="362" t="s">
        <v>284</v>
      </c>
      <c r="B257" s="362" t="s">
        <v>2485</v>
      </c>
      <c r="C257" s="362">
        <v>6280</v>
      </c>
      <c r="D257" s="362">
        <v>6230</v>
      </c>
      <c r="E257" s="362">
        <v>7740</v>
      </c>
      <c r="F257" s="362">
        <v>1080</v>
      </c>
      <c r="G257" s="362">
        <v>3830</v>
      </c>
    </row>
    <row r="258" s="347" customFormat="1" ht="14.25" customHeight="1" spans="1:7">
      <c r="A258" s="362" t="s">
        <v>284</v>
      </c>
      <c r="B258" s="362" t="s">
        <v>2493</v>
      </c>
      <c r="C258" s="362">
        <v>6190</v>
      </c>
      <c r="D258" s="362">
        <v>6160</v>
      </c>
      <c r="E258" s="362">
        <v>7680</v>
      </c>
      <c r="F258" s="362">
        <v>1170</v>
      </c>
      <c r="G258" s="362">
        <v>3780</v>
      </c>
    </row>
    <row r="259" s="347" customFormat="1" ht="14.25" customHeight="1" spans="1:7">
      <c r="A259" s="362" t="s">
        <v>284</v>
      </c>
      <c r="B259" s="362" t="s">
        <v>2500</v>
      </c>
      <c r="C259" s="362">
        <v>7610</v>
      </c>
      <c r="D259" s="362">
        <v>7570</v>
      </c>
      <c r="E259" s="362">
        <v>9350</v>
      </c>
      <c r="F259" s="362">
        <v>1350</v>
      </c>
      <c r="G259" s="362">
        <v>4650</v>
      </c>
    </row>
    <row r="260" s="347" customFormat="1" ht="14.25" customHeight="1" spans="1:7">
      <c r="A260" s="362" t="s">
        <v>284</v>
      </c>
      <c r="B260" s="362" t="s">
        <v>2507</v>
      </c>
      <c r="C260" s="362">
        <v>6920</v>
      </c>
      <c r="D260" s="362">
        <v>6880</v>
      </c>
      <c r="E260" s="362">
        <v>8380</v>
      </c>
      <c r="F260" s="362">
        <v>1160</v>
      </c>
      <c r="G260" s="362">
        <v>4220</v>
      </c>
    </row>
    <row r="261" s="347" customFormat="1" ht="14.25" customHeight="1" spans="1:7">
      <c r="A261" s="362" t="s">
        <v>284</v>
      </c>
      <c r="B261" s="362" t="s">
        <v>2514</v>
      </c>
      <c r="C261" s="362">
        <v>6850</v>
      </c>
      <c r="D261" s="362">
        <v>6810</v>
      </c>
      <c r="E261" s="362">
        <v>8290</v>
      </c>
      <c r="F261" s="362">
        <v>1130</v>
      </c>
      <c r="G261" s="362">
        <v>4180</v>
      </c>
    </row>
    <row r="262" s="347" customFormat="1" ht="14.25" customHeight="1" spans="1:7">
      <c r="A262" s="362" t="s">
        <v>284</v>
      </c>
      <c r="B262" s="362" t="s">
        <v>2520</v>
      </c>
      <c r="C262" s="362">
        <v>5860</v>
      </c>
      <c r="D262" s="362">
        <v>5820</v>
      </c>
      <c r="E262" s="362">
        <v>7640</v>
      </c>
      <c r="F262" s="362">
        <v>1070</v>
      </c>
      <c r="G262" s="362">
        <v>3570</v>
      </c>
    </row>
    <row r="263" s="347" customFormat="1" ht="14.25" customHeight="1" spans="1:7">
      <c r="A263" s="362" t="s">
        <v>284</v>
      </c>
      <c r="B263" s="362" t="s">
        <v>2527</v>
      </c>
      <c r="C263" s="362">
        <v>5870</v>
      </c>
      <c r="D263" s="362">
        <v>5840</v>
      </c>
      <c r="E263" s="362">
        <v>7270</v>
      </c>
      <c r="F263" s="362">
        <v>1190</v>
      </c>
      <c r="G263" s="362">
        <v>3580</v>
      </c>
    </row>
    <row r="264" s="347" customFormat="1" ht="14.25" customHeight="1" spans="1:7">
      <c r="A264" s="362" t="s">
        <v>284</v>
      </c>
      <c r="B264" s="362" t="s">
        <v>2534</v>
      </c>
      <c r="C264" s="362">
        <v>6190</v>
      </c>
      <c r="D264" s="362">
        <v>6150</v>
      </c>
      <c r="E264" s="362">
        <v>7660</v>
      </c>
      <c r="F264" s="362">
        <v>1160</v>
      </c>
      <c r="G264" s="362">
        <v>3770</v>
      </c>
    </row>
    <row r="265" s="347" customFormat="1" ht="14.25" customHeight="1" spans="1:7">
      <c r="A265" s="362" t="s">
        <v>284</v>
      </c>
      <c r="B265" s="362" t="s">
        <v>2541</v>
      </c>
      <c r="C265" s="362"/>
      <c r="D265" s="362"/>
      <c r="E265" s="362"/>
      <c r="F265" s="362">
        <v>1500</v>
      </c>
      <c r="G265" s="362"/>
    </row>
    <row r="266" s="347" customFormat="1" ht="14.25" customHeight="1" spans="1:7">
      <c r="A266" s="362" t="s">
        <v>284</v>
      </c>
      <c r="B266" s="362" t="s">
        <v>2546</v>
      </c>
      <c r="C266" s="362"/>
      <c r="D266" s="362"/>
      <c r="E266" s="362"/>
      <c r="F266" s="362">
        <v>1500</v>
      </c>
      <c r="G266" s="362"/>
    </row>
    <row r="267" s="347" customFormat="1" ht="14.25" customHeight="1" spans="1:7">
      <c r="A267" s="362" t="s">
        <v>284</v>
      </c>
      <c r="B267" s="362" t="s">
        <v>2551</v>
      </c>
      <c r="C267" s="362"/>
      <c r="D267" s="362"/>
      <c r="E267" s="362"/>
      <c r="F267" s="362">
        <v>1500</v>
      </c>
      <c r="G267" s="362"/>
    </row>
    <row r="268" s="347" customFormat="1" ht="14.25" customHeight="1" spans="1:7">
      <c r="A268" s="362" t="s">
        <v>284</v>
      </c>
      <c r="B268" s="362" t="s">
        <v>2556</v>
      </c>
      <c r="C268" s="362"/>
      <c r="D268" s="362"/>
      <c r="E268" s="362"/>
      <c r="F268" s="362">
        <v>1290</v>
      </c>
      <c r="G268" s="362"/>
    </row>
    <row r="269" s="347" customFormat="1" ht="14.25" customHeight="1" spans="1:7">
      <c r="A269" s="362" t="s">
        <v>284</v>
      </c>
      <c r="B269" s="362" t="s">
        <v>2561</v>
      </c>
      <c r="C269" s="362"/>
      <c r="D269" s="362"/>
      <c r="E269" s="362"/>
      <c r="F269" s="362">
        <v>1150</v>
      </c>
      <c r="G269" s="362"/>
    </row>
    <row r="270" s="347" customFormat="1" ht="14.25" customHeight="1" spans="1:7">
      <c r="A270" s="362" t="s">
        <v>284</v>
      </c>
      <c r="B270" s="362" t="s">
        <v>2566</v>
      </c>
      <c r="C270" s="362"/>
      <c r="D270" s="362"/>
      <c r="E270" s="362"/>
      <c r="F270" s="362">
        <v>1380</v>
      </c>
      <c r="G270" s="362"/>
    </row>
    <row r="271" s="347" customFormat="1" ht="14.25" customHeight="1" spans="1:7">
      <c r="A271" s="362" t="s">
        <v>284</v>
      </c>
      <c r="B271" s="362" t="s">
        <v>2571</v>
      </c>
      <c r="C271" s="362"/>
      <c r="D271" s="362"/>
      <c r="E271" s="362"/>
      <c r="F271" s="362">
        <v>1460</v>
      </c>
      <c r="G271" s="362"/>
    </row>
    <row r="272" s="347" customFormat="1" ht="14.25" customHeight="1" spans="1:7">
      <c r="A272" s="362" t="s">
        <v>284</v>
      </c>
      <c r="B272" s="362" t="s">
        <v>2576</v>
      </c>
      <c r="C272" s="362"/>
      <c r="D272" s="362"/>
      <c r="E272" s="362"/>
      <c r="F272" s="362">
        <v>1460</v>
      </c>
      <c r="G272" s="362"/>
    </row>
    <row r="273" s="347" customFormat="1" ht="14.25" customHeight="1" spans="1:7">
      <c r="A273" s="362" t="s">
        <v>284</v>
      </c>
      <c r="B273" s="362" t="s">
        <v>2581</v>
      </c>
      <c r="C273" s="362"/>
      <c r="D273" s="362"/>
      <c r="E273" s="362"/>
      <c r="F273" s="362">
        <v>1490</v>
      </c>
      <c r="G273" s="362"/>
    </row>
    <row r="274" s="347" customFormat="1" ht="14.25" customHeight="1" spans="1:7">
      <c r="A274" s="362" t="s">
        <v>284</v>
      </c>
      <c r="B274" s="362" t="s">
        <v>2585</v>
      </c>
      <c r="C274" s="362"/>
      <c r="D274" s="362"/>
      <c r="E274" s="362"/>
      <c r="F274" s="362">
        <v>1490</v>
      </c>
      <c r="G274" s="362"/>
    </row>
    <row r="275" s="347" customFormat="1" ht="14.25" customHeight="1" spans="1:7">
      <c r="A275" s="362" t="s">
        <v>284</v>
      </c>
      <c r="B275" s="362" t="s">
        <v>2589</v>
      </c>
      <c r="C275" s="362"/>
      <c r="D275" s="362"/>
      <c r="E275" s="362"/>
      <c r="F275" s="362">
        <v>1220</v>
      </c>
      <c r="G275" s="362"/>
    </row>
    <row r="276" s="347" customFormat="1" ht="14.25" customHeight="1" spans="1:7">
      <c r="A276" s="364" t="s">
        <v>284</v>
      </c>
      <c r="B276" s="367" t="s">
        <v>2593</v>
      </c>
      <c r="C276" s="368"/>
      <c r="D276" s="368"/>
      <c r="E276" s="368"/>
      <c r="F276" s="368">
        <v>1380</v>
      </c>
      <c r="G276" s="368"/>
    </row>
    <row r="277" s="347" customFormat="1" ht="14.25" customHeight="1" spans="1:7">
      <c r="A277" s="360" t="s">
        <v>288</v>
      </c>
      <c r="B277" s="361" t="s">
        <v>2249</v>
      </c>
      <c r="C277" s="361">
        <v>5790</v>
      </c>
      <c r="D277" s="361">
        <v>5740</v>
      </c>
      <c r="E277" s="361">
        <v>6730</v>
      </c>
      <c r="F277" s="361">
        <v>1110</v>
      </c>
      <c r="G277" s="369">
        <v>3460</v>
      </c>
    </row>
    <row r="278" s="347" customFormat="1" ht="14.25" customHeight="1" spans="1:7">
      <c r="A278" s="362" t="s">
        <v>288</v>
      </c>
      <c r="B278" s="362" t="s">
        <v>2262</v>
      </c>
      <c r="C278" s="362">
        <v>5740</v>
      </c>
      <c r="D278" s="362">
        <v>5670</v>
      </c>
      <c r="E278" s="362">
        <v>6680</v>
      </c>
      <c r="F278" s="362">
        <v>1070</v>
      </c>
      <c r="G278" s="370">
        <v>3420</v>
      </c>
    </row>
    <row r="279" s="347" customFormat="1" ht="14.25" customHeight="1" spans="1:7">
      <c r="A279" s="362" t="s">
        <v>288</v>
      </c>
      <c r="B279" s="362" t="s">
        <v>2276</v>
      </c>
      <c r="C279" s="362">
        <v>4760</v>
      </c>
      <c r="D279" s="362">
        <v>4720</v>
      </c>
      <c r="E279" s="362">
        <v>5540</v>
      </c>
      <c r="F279" s="362">
        <v>810</v>
      </c>
      <c r="G279" s="370">
        <v>2850</v>
      </c>
    </row>
    <row r="280" s="347" customFormat="1" ht="14.25" customHeight="1" spans="1:7">
      <c r="A280" s="362" t="s">
        <v>288</v>
      </c>
      <c r="B280" s="362" t="s">
        <v>2288</v>
      </c>
      <c r="C280" s="362">
        <v>4010</v>
      </c>
      <c r="D280" s="362">
        <v>3950</v>
      </c>
      <c r="E280" s="362">
        <v>4710</v>
      </c>
      <c r="F280" s="362">
        <v>800</v>
      </c>
      <c r="G280" s="370">
        <v>2390</v>
      </c>
    </row>
    <row r="281" s="347" customFormat="1" ht="14.25" customHeight="1" spans="1:7">
      <c r="A281" s="362" t="s">
        <v>288</v>
      </c>
      <c r="B281" s="362" t="s">
        <v>2300</v>
      </c>
      <c r="C281" s="362">
        <v>4480</v>
      </c>
      <c r="D281" s="362">
        <v>4420</v>
      </c>
      <c r="E281" s="362">
        <v>5230</v>
      </c>
      <c r="F281" s="362">
        <v>870</v>
      </c>
      <c r="G281" s="370">
        <v>2660</v>
      </c>
    </row>
    <row r="282" s="347" customFormat="1" ht="14.25" customHeight="1" spans="1:7">
      <c r="A282" s="362" t="s">
        <v>288</v>
      </c>
      <c r="B282" s="362" t="s">
        <v>2311</v>
      </c>
      <c r="C282" s="362">
        <v>5360</v>
      </c>
      <c r="D282" s="362">
        <v>5300</v>
      </c>
      <c r="E282" s="362">
        <v>6190</v>
      </c>
      <c r="F282" s="362">
        <v>950</v>
      </c>
      <c r="G282" s="370">
        <v>3190</v>
      </c>
    </row>
    <row r="283" s="347" customFormat="1" ht="14.25" customHeight="1" spans="1:7">
      <c r="A283" s="362" t="s">
        <v>288</v>
      </c>
      <c r="B283" s="362" t="s">
        <v>2322</v>
      </c>
      <c r="C283" s="362">
        <v>4950</v>
      </c>
      <c r="D283" s="362">
        <v>4900</v>
      </c>
      <c r="E283" s="362">
        <v>5720</v>
      </c>
      <c r="F283" s="362">
        <v>920</v>
      </c>
      <c r="G283" s="370">
        <v>2950</v>
      </c>
    </row>
    <row r="284" s="347" customFormat="1" ht="14.25" customHeight="1" spans="1:7">
      <c r="A284" s="362" t="s">
        <v>288</v>
      </c>
      <c r="B284" s="362" t="s">
        <v>2333</v>
      </c>
      <c r="C284" s="362">
        <v>5610</v>
      </c>
      <c r="D284" s="362">
        <v>5560</v>
      </c>
      <c r="E284" s="362">
        <v>6520</v>
      </c>
      <c r="F284" s="362">
        <v>1030</v>
      </c>
      <c r="G284" s="370">
        <v>3360</v>
      </c>
    </row>
    <row r="285" s="347" customFormat="1" ht="14.25" customHeight="1" spans="1:7">
      <c r="A285" s="362" t="s">
        <v>288</v>
      </c>
      <c r="B285" s="362" t="s">
        <v>2343</v>
      </c>
      <c r="C285" s="362">
        <v>5340</v>
      </c>
      <c r="D285" s="362">
        <v>5290</v>
      </c>
      <c r="E285" s="362">
        <v>6170</v>
      </c>
      <c r="F285" s="362">
        <v>1080</v>
      </c>
      <c r="G285" s="370">
        <v>3180</v>
      </c>
    </row>
    <row r="286" s="347" customFormat="1" ht="14.25" customHeight="1" spans="1:7">
      <c r="A286" s="362" t="s">
        <v>288</v>
      </c>
      <c r="B286" s="362" t="s">
        <v>2353</v>
      </c>
      <c r="C286" s="362">
        <v>4890</v>
      </c>
      <c r="D286" s="362">
        <v>4840</v>
      </c>
      <c r="E286" s="362">
        <v>5640</v>
      </c>
      <c r="F286" s="362">
        <v>960</v>
      </c>
      <c r="G286" s="370">
        <v>2910</v>
      </c>
    </row>
    <row r="287" s="347" customFormat="1" ht="14.25" customHeight="1" spans="1:7">
      <c r="A287" s="362" t="s">
        <v>288</v>
      </c>
      <c r="B287" s="362" t="s">
        <v>2363</v>
      </c>
      <c r="C287" s="362">
        <v>4960</v>
      </c>
      <c r="D287" s="362">
        <v>4920</v>
      </c>
      <c r="E287" s="362">
        <v>5730</v>
      </c>
      <c r="F287" s="362">
        <v>930</v>
      </c>
      <c r="G287" s="370">
        <v>2960</v>
      </c>
    </row>
    <row r="288" s="347" customFormat="1" ht="14.25" customHeight="1" spans="1:7">
      <c r="A288" s="362" t="s">
        <v>288</v>
      </c>
      <c r="B288" s="362" t="s">
        <v>2373</v>
      </c>
      <c r="C288" s="362">
        <v>4350</v>
      </c>
      <c r="D288" s="362">
        <v>4300</v>
      </c>
      <c r="E288" s="362">
        <v>4900</v>
      </c>
      <c r="F288" s="362">
        <v>820</v>
      </c>
      <c r="G288" s="370">
        <v>2590</v>
      </c>
    </row>
    <row r="289" s="347" customFormat="1" ht="14.25" customHeight="1" spans="1:7">
      <c r="A289" s="362" t="s">
        <v>288</v>
      </c>
      <c r="B289" s="362" t="s">
        <v>2383</v>
      </c>
      <c r="C289" s="362">
        <v>5230</v>
      </c>
      <c r="D289" s="362">
        <v>5170</v>
      </c>
      <c r="E289" s="362">
        <v>6060</v>
      </c>
      <c r="F289" s="362">
        <v>900</v>
      </c>
      <c r="G289" s="370">
        <v>3120</v>
      </c>
    </row>
    <row r="290" s="347" customFormat="1" ht="14.25" customHeight="1" spans="1:7">
      <c r="A290" s="362" t="s">
        <v>288</v>
      </c>
      <c r="B290" s="362" t="s">
        <v>2393</v>
      </c>
      <c r="C290" s="362">
        <v>5550</v>
      </c>
      <c r="D290" s="362">
        <v>5500</v>
      </c>
      <c r="E290" s="362">
        <v>6440</v>
      </c>
      <c r="F290" s="362">
        <v>960</v>
      </c>
      <c r="G290" s="370">
        <v>3320</v>
      </c>
    </row>
    <row r="291" s="347" customFormat="1" ht="14.25" customHeight="1" spans="1:7">
      <c r="A291" s="362" t="s">
        <v>288</v>
      </c>
      <c r="B291" s="362" t="s">
        <v>2403</v>
      </c>
      <c r="C291" s="362">
        <v>5440</v>
      </c>
      <c r="D291" s="362">
        <v>5400</v>
      </c>
      <c r="E291" s="362">
        <v>6320</v>
      </c>
      <c r="F291" s="362">
        <v>930</v>
      </c>
      <c r="G291" s="370">
        <v>3250</v>
      </c>
    </row>
    <row r="292" s="347" customFormat="1" ht="14.25" customHeight="1" spans="1:7">
      <c r="A292" s="362" t="s">
        <v>288</v>
      </c>
      <c r="B292" s="362" t="s">
        <v>2413</v>
      </c>
      <c r="C292" s="362">
        <v>5400</v>
      </c>
      <c r="D292" s="362">
        <v>5360</v>
      </c>
      <c r="E292" s="362">
        <v>6270</v>
      </c>
      <c r="F292" s="362">
        <v>1040</v>
      </c>
      <c r="G292" s="370">
        <v>3230</v>
      </c>
    </row>
    <row r="293" s="347" customFormat="1" ht="14.25" customHeight="1" spans="1:7">
      <c r="A293" s="362" t="s">
        <v>288</v>
      </c>
      <c r="B293" s="362" t="s">
        <v>2423</v>
      </c>
      <c r="C293" s="362">
        <v>5320</v>
      </c>
      <c r="D293" s="362">
        <v>5270</v>
      </c>
      <c r="E293" s="362">
        <v>6160</v>
      </c>
      <c r="F293" s="362">
        <v>990</v>
      </c>
      <c r="G293" s="370">
        <v>3170</v>
      </c>
    </row>
    <row r="294" s="347" customFormat="1" ht="14.25" customHeight="1" spans="1:7">
      <c r="A294" s="362" t="s">
        <v>288</v>
      </c>
      <c r="B294" s="362" t="s">
        <v>2433</v>
      </c>
      <c r="C294" s="362">
        <v>5260</v>
      </c>
      <c r="D294" s="362">
        <v>5210</v>
      </c>
      <c r="E294" s="362">
        <v>6100</v>
      </c>
      <c r="F294" s="362">
        <v>950</v>
      </c>
      <c r="G294" s="370">
        <v>3150</v>
      </c>
    </row>
    <row r="295" s="347" customFormat="1" ht="14.25" customHeight="1" spans="1:7">
      <c r="A295" s="362" t="s">
        <v>288</v>
      </c>
      <c r="B295" s="362" t="s">
        <v>2443</v>
      </c>
      <c r="C295" s="362">
        <v>5610</v>
      </c>
      <c r="D295" s="362">
        <v>5570</v>
      </c>
      <c r="E295" s="362">
        <v>6530</v>
      </c>
      <c r="F295" s="362">
        <v>960</v>
      </c>
      <c r="G295" s="370">
        <v>3360</v>
      </c>
    </row>
    <row r="296" s="347" customFormat="1" ht="14.25" customHeight="1" spans="1:7">
      <c r="A296" s="362" t="s">
        <v>288</v>
      </c>
      <c r="B296" s="362" t="s">
        <v>2453</v>
      </c>
      <c r="C296" s="362">
        <v>5540</v>
      </c>
      <c r="D296" s="362">
        <v>5490</v>
      </c>
      <c r="E296" s="362">
        <v>6430</v>
      </c>
      <c r="F296" s="362">
        <v>980</v>
      </c>
      <c r="G296" s="370">
        <v>3310</v>
      </c>
    </row>
    <row r="297" s="347" customFormat="1" ht="14.25" customHeight="1" spans="1:7">
      <c r="A297" s="362" t="s">
        <v>288</v>
      </c>
      <c r="B297" s="362" t="s">
        <v>2462</v>
      </c>
      <c r="C297" s="362">
        <v>5480</v>
      </c>
      <c r="D297" s="362">
        <v>5420</v>
      </c>
      <c r="E297" s="362">
        <v>6370</v>
      </c>
      <c r="F297" s="362">
        <v>990</v>
      </c>
      <c r="G297" s="370">
        <v>3270</v>
      </c>
    </row>
    <row r="298" s="347" customFormat="1" ht="14.25" customHeight="1" spans="1:7">
      <c r="A298" s="362" t="s">
        <v>288</v>
      </c>
      <c r="B298" s="362" t="s">
        <v>2470</v>
      </c>
      <c r="C298" s="362">
        <v>5090</v>
      </c>
      <c r="D298" s="362">
        <v>5050</v>
      </c>
      <c r="E298" s="362">
        <v>5910</v>
      </c>
      <c r="F298" s="362">
        <v>900</v>
      </c>
      <c r="G298" s="370">
        <v>3040</v>
      </c>
    </row>
    <row r="299" s="347" customFormat="1" ht="14.25" customHeight="1" spans="1:7">
      <c r="A299" s="362" t="s">
        <v>288</v>
      </c>
      <c r="B299" s="376" t="s">
        <v>2478</v>
      </c>
      <c r="C299" s="362">
        <v>5430</v>
      </c>
      <c r="D299" s="362">
        <v>5380</v>
      </c>
      <c r="E299" s="362">
        <v>6280</v>
      </c>
      <c r="F299" s="362">
        <v>1000</v>
      </c>
      <c r="G299" s="370">
        <v>3240</v>
      </c>
    </row>
    <row r="300" s="347" customFormat="1" ht="14.25" customHeight="1" spans="1:7">
      <c r="A300" s="362" t="s">
        <v>288</v>
      </c>
      <c r="B300" s="376" t="s">
        <v>2486</v>
      </c>
      <c r="C300" s="362">
        <v>4740</v>
      </c>
      <c r="D300" s="362">
        <v>4680</v>
      </c>
      <c r="E300" s="362">
        <v>5450</v>
      </c>
      <c r="F300" s="362">
        <v>900</v>
      </c>
      <c r="G300" s="370">
        <v>2830</v>
      </c>
    </row>
    <row r="301" s="347" customFormat="1" ht="14.25" customHeight="1" spans="1:7">
      <c r="A301" s="362" t="s">
        <v>288</v>
      </c>
      <c r="B301" s="376" t="s">
        <v>2494</v>
      </c>
      <c r="C301" s="362">
        <v>4870</v>
      </c>
      <c r="D301" s="362">
        <v>4810</v>
      </c>
      <c r="E301" s="362">
        <v>5560</v>
      </c>
      <c r="F301" s="362">
        <v>990</v>
      </c>
      <c r="G301" s="370">
        <v>2910</v>
      </c>
    </row>
    <row r="302" s="347" customFormat="1" ht="14.25" customHeight="1" spans="1:7">
      <c r="A302" s="362" t="s">
        <v>288</v>
      </c>
      <c r="B302" s="362" t="s">
        <v>2501</v>
      </c>
      <c r="C302" s="362">
        <v>5520</v>
      </c>
      <c r="D302" s="362">
        <v>5470</v>
      </c>
      <c r="E302" s="362">
        <v>6410</v>
      </c>
      <c r="F302" s="362">
        <v>950</v>
      </c>
      <c r="G302" s="370">
        <v>3300</v>
      </c>
    </row>
    <row r="303" s="347" customFormat="1" ht="14.25" customHeight="1" spans="1:7">
      <c r="A303" s="362" t="s">
        <v>288</v>
      </c>
      <c r="B303" s="362" t="s">
        <v>2508</v>
      </c>
      <c r="C303" s="362">
        <v>5630</v>
      </c>
      <c r="D303" s="362">
        <v>5590</v>
      </c>
      <c r="E303" s="362">
        <v>6550</v>
      </c>
      <c r="F303" s="362">
        <v>1010</v>
      </c>
      <c r="G303" s="370">
        <v>3370</v>
      </c>
    </row>
    <row r="304" s="347" customFormat="1" ht="14.25" customHeight="1" spans="1:7">
      <c r="A304" s="362" t="s">
        <v>288</v>
      </c>
      <c r="B304" s="362" t="s">
        <v>2515</v>
      </c>
      <c r="C304" s="362">
        <v>5680</v>
      </c>
      <c r="D304" s="362">
        <v>5620</v>
      </c>
      <c r="E304" s="362">
        <v>6620</v>
      </c>
      <c r="F304" s="362">
        <v>1050</v>
      </c>
      <c r="G304" s="370">
        <v>3390</v>
      </c>
    </row>
    <row r="305" s="347" customFormat="1" ht="14.25" customHeight="1" spans="1:7">
      <c r="A305" s="362" t="s">
        <v>288</v>
      </c>
      <c r="B305" s="362" t="s">
        <v>2521</v>
      </c>
      <c r="C305" s="362">
        <v>5590</v>
      </c>
      <c r="D305" s="362">
        <v>5530</v>
      </c>
      <c r="E305" s="362">
        <v>6460</v>
      </c>
      <c r="F305" s="362">
        <v>900</v>
      </c>
      <c r="G305" s="370">
        <v>3340</v>
      </c>
    </row>
    <row r="306" s="347" customFormat="1" ht="14.25" customHeight="1" spans="1:7">
      <c r="A306" s="362" t="s">
        <v>288</v>
      </c>
      <c r="B306" s="362" t="s">
        <v>2528</v>
      </c>
      <c r="C306" s="362">
        <v>5560</v>
      </c>
      <c r="D306" s="362">
        <v>5510</v>
      </c>
      <c r="E306" s="362">
        <v>6440</v>
      </c>
      <c r="F306" s="362">
        <v>900</v>
      </c>
      <c r="G306" s="370">
        <v>3320</v>
      </c>
    </row>
    <row r="307" s="347" customFormat="1" ht="14.25" customHeight="1" spans="1:7">
      <c r="A307" s="362" t="s">
        <v>288</v>
      </c>
      <c r="B307" s="362" t="s">
        <v>2535</v>
      </c>
      <c r="C307" s="362">
        <v>5650</v>
      </c>
      <c r="D307" s="362">
        <v>5600</v>
      </c>
      <c r="E307" s="362">
        <v>6590</v>
      </c>
      <c r="F307" s="362">
        <v>930</v>
      </c>
      <c r="G307" s="370">
        <v>3380</v>
      </c>
    </row>
    <row r="308" s="347" customFormat="1" ht="14.25" customHeight="1" spans="1:7">
      <c r="A308" s="362" t="s">
        <v>288</v>
      </c>
      <c r="B308" s="362" t="s">
        <v>2542</v>
      </c>
      <c r="C308" s="362">
        <v>5620</v>
      </c>
      <c r="D308" s="362">
        <v>5580</v>
      </c>
      <c r="E308" s="362">
        <v>6540</v>
      </c>
      <c r="F308" s="362">
        <v>910</v>
      </c>
      <c r="G308" s="370">
        <v>3370</v>
      </c>
    </row>
    <row r="309" s="347" customFormat="1" ht="14.25" customHeight="1" spans="1:7">
      <c r="A309" s="362" t="s">
        <v>288</v>
      </c>
      <c r="B309" s="362" t="s">
        <v>2547</v>
      </c>
      <c r="C309" s="362">
        <v>5060</v>
      </c>
      <c r="D309" s="362">
        <v>5020</v>
      </c>
      <c r="E309" s="362">
        <v>6370</v>
      </c>
      <c r="F309" s="362">
        <v>800</v>
      </c>
      <c r="G309" s="370">
        <v>3020</v>
      </c>
    </row>
    <row r="310" s="347" customFormat="1" ht="14.25" customHeight="1" spans="1:7">
      <c r="A310" s="362" t="s">
        <v>288</v>
      </c>
      <c r="B310" s="362" t="s">
        <v>2552</v>
      </c>
      <c r="C310" s="362">
        <v>5150</v>
      </c>
      <c r="D310" s="362">
        <v>5110</v>
      </c>
      <c r="E310" s="362">
        <v>6500</v>
      </c>
      <c r="F310" s="362">
        <v>880</v>
      </c>
      <c r="G310" s="370">
        <v>3080</v>
      </c>
    </row>
    <row r="311" s="347" customFormat="1" ht="14.25" customHeight="1" spans="1:7">
      <c r="A311" s="362" t="s">
        <v>288</v>
      </c>
      <c r="B311" s="362" t="s">
        <v>2557</v>
      </c>
      <c r="C311" s="362">
        <v>4750</v>
      </c>
      <c r="D311" s="362">
        <v>4710</v>
      </c>
      <c r="E311" s="362">
        <v>5510</v>
      </c>
      <c r="F311" s="362">
        <v>880</v>
      </c>
      <c r="G311" s="370">
        <v>2840</v>
      </c>
    </row>
    <row r="312" s="347" customFormat="1" ht="14.25" customHeight="1" spans="1:7">
      <c r="A312" s="362" t="s">
        <v>288</v>
      </c>
      <c r="B312" s="362" t="s">
        <v>2562</v>
      </c>
      <c r="C312" s="362">
        <v>4690</v>
      </c>
      <c r="D312" s="362">
        <v>4640</v>
      </c>
      <c r="E312" s="362">
        <v>5420</v>
      </c>
      <c r="F312" s="362">
        <v>800</v>
      </c>
      <c r="G312" s="370">
        <v>2800</v>
      </c>
    </row>
    <row r="313" s="347" customFormat="1" ht="14.25" customHeight="1" spans="1:7">
      <c r="A313" s="362" t="s">
        <v>288</v>
      </c>
      <c r="B313" s="362" t="s">
        <v>2567</v>
      </c>
      <c r="C313" s="362">
        <v>4810</v>
      </c>
      <c r="D313" s="362">
        <v>4760</v>
      </c>
      <c r="E313" s="362">
        <v>5550</v>
      </c>
      <c r="F313" s="362">
        <v>920</v>
      </c>
      <c r="G313" s="370">
        <v>2870</v>
      </c>
    </row>
    <row r="314" s="347" customFormat="1" ht="14.25" customHeight="1" spans="1:7">
      <c r="A314" s="362" t="s">
        <v>288</v>
      </c>
      <c r="B314" s="362" t="s">
        <v>2572</v>
      </c>
      <c r="C314" s="362"/>
      <c r="D314" s="362"/>
      <c r="E314" s="362"/>
      <c r="F314" s="362">
        <v>1020</v>
      </c>
      <c r="G314" s="370"/>
    </row>
    <row r="315" s="347" customFormat="1" ht="14.25" customHeight="1" spans="1:7">
      <c r="A315" s="362" t="s">
        <v>288</v>
      </c>
      <c r="B315" s="362" t="s">
        <v>2577</v>
      </c>
      <c r="C315" s="362"/>
      <c r="D315" s="362"/>
      <c r="E315" s="362"/>
      <c r="F315" s="362">
        <v>1050</v>
      </c>
      <c r="G315" s="370"/>
    </row>
    <row r="316" s="347" customFormat="1" ht="14.25" customHeight="1" spans="1:7">
      <c r="A316" s="362" t="s">
        <v>288</v>
      </c>
      <c r="B316" s="362" t="s">
        <v>2582</v>
      </c>
      <c r="C316" s="362"/>
      <c r="D316" s="362"/>
      <c r="E316" s="362"/>
      <c r="F316" s="362">
        <v>900</v>
      </c>
      <c r="G316" s="370"/>
    </row>
    <row r="317" s="347" customFormat="1" ht="14.25" customHeight="1" spans="1:7">
      <c r="A317" s="362" t="s">
        <v>288</v>
      </c>
      <c r="B317" s="362" t="s">
        <v>2586</v>
      </c>
      <c r="C317" s="362"/>
      <c r="D317" s="362"/>
      <c r="E317" s="362"/>
      <c r="F317" s="362">
        <v>920</v>
      </c>
      <c r="G317" s="370"/>
    </row>
    <row r="318" s="347" customFormat="1" ht="14.25" customHeight="1" spans="1:7">
      <c r="A318" s="362" t="s">
        <v>288</v>
      </c>
      <c r="B318" s="362" t="s">
        <v>2590</v>
      </c>
      <c r="C318" s="362"/>
      <c r="D318" s="362"/>
      <c r="E318" s="362"/>
      <c r="F318" s="362">
        <v>1080</v>
      </c>
      <c r="G318" s="370"/>
    </row>
    <row r="319" s="347" customFormat="1" ht="14.25" customHeight="1" spans="1:7">
      <c r="A319" s="362" t="s">
        <v>288</v>
      </c>
      <c r="B319" s="362" t="s">
        <v>2594</v>
      </c>
      <c r="C319" s="362"/>
      <c r="D319" s="362"/>
      <c r="E319" s="362"/>
      <c r="F319" s="362">
        <v>1020</v>
      </c>
      <c r="G319" s="370"/>
    </row>
    <row r="320" s="347" customFormat="1" ht="14.25" customHeight="1" spans="1:7">
      <c r="A320" s="362" t="s">
        <v>288</v>
      </c>
      <c r="B320" s="362" t="s">
        <v>2597</v>
      </c>
      <c r="C320" s="362"/>
      <c r="D320" s="362"/>
      <c r="E320" s="362"/>
      <c r="F320" s="362">
        <v>1050</v>
      </c>
      <c r="G320" s="370"/>
    </row>
    <row r="321" s="347" customFormat="1" ht="14.25" customHeight="1" spans="1:7">
      <c r="A321" s="362" t="s">
        <v>288</v>
      </c>
      <c r="B321" s="362" t="s">
        <v>2599</v>
      </c>
      <c r="C321" s="362"/>
      <c r="D321" s="362"/>
      <c r="E321" s="362"/>
      <c r="F321" s="362">
        <v>960</v>
      </c>
      <c r="G321" s="370"/>
    </row>
    <row r="322" s="347" customFormat="1" ht="14.25" customHeight="1" spans="1:7">
      <c r="A322" s="362" t="s">
        <v>288</v>
      </c>
      <c r="B322" s="362" t="s">
        <v>2601</v>
      </c>
      <c r="C322" s="362"/>
      <c r="D322" s="362"/>
      <c r="E322" s="362"/>
      <c r="F322" s="362">
        <v>960</v>
      </c>
      <c r="G322" s="370"/>
    </row>
    <row r="323" s="347" customFormat="1" ht="14.25" customHeight="1" spans="1:7">
      <c r="A323" s="362" t="s">
        <v>288</v>
      </c>
      <c r="B323" s="362" t="s">
        <v>2603</v>
      </c>
      <c r="C323" s="362"/>
      <c r="D323" s="362"/>
      <c r="E323" s="362"/>
      <c r="F323" s="362">
        <v>880</v>
      </c>
      <c r="G323" s="370"/>
    </row>
    <row r="324" s="347" customFormat="1" ht="14.25" customHeight="1" spans="1:7">
      <c r="A324" s="362" t="s">
        <v>288</v>
      </c>
      <c r="B324" s="362" t="s">
        <v>2605</v>
      </c>
      <c r="C324" s="362"/>
      <c r="D324" s="362"/>
      <c r="E324" s="362"/>
      <c r="F324" s="362">
        <v>930</v>
      </c>
      <c r="G324" s="370"/>
    </row>
    <row r="325" s="347" customFormat="1" ht="14.25" customHeight="1" spans="1:7">
      <c r="A325" s="362" t="s">
        <v>288</v>
      </c>
      <c r="B325" s="363" t="s">
        <v>2607</v>
      </c>
      <c r="C325" s="362"/>
      <c r="D325" s="362"/>
      <c r="E325" s="362"/>
      <c r="F325" s="362">
        <v>900</v>
      </c>
      <c r="G325" s="370"/>
    </row>
    <row r="326" s="347" customFormat="1" ht="14.25" customHeight="1" spans="1:7">
      <c r="A326" s="371" t="s">
        <v>288</v>
      </c>
      <c r="B326" s="366" t="s">
        <v>2609</v>
      </c>
      <c r="C326" s="366"/>
      <c r="D326" s="366"/>
      <c r="E326" s="366"/>
      <c r="F326" s="366">
        <v>790</v>
      </c>
      <c r="G326" s="372"/>
    </row>
    <row r="327" s="347" customFormat="1" ht="14.25" customHeight="1" spans="1:7">
      <c r="A327" s="360" t="s">
        <v>292</v>
      </c>
      <c r="B327" s="361" t="s">
        <v>2250</v>
      </c>
      <c r="C327" s="362">
        <v>3750</v>
      </c>
      <c r="D327" s="362">
        <v>3710</v>
      </c>
      <c r="E327" s="362">
        <v>4080</v>
      </c>
      <c r="F327" s="362">
        <v>860</v>
      </c>
      <c r="G327" s="362">
        <v>2210</v>
      </c>
    </row>
    <row r="328" s="347" customFormat="1" ht="14.25" customHeight="1" spans="1:7">
      <c r="A328" s="362" t="s">
        <v>292</v>
      </c>
      <c r="B328" s="362" t="s">
        <v>2263</v>
      </c>
      <c r="C328" s="362">
        <v>3330</v>
      </c>
      <c r="D328" s="362">
        <v>3290</v>
      </c>
      <c r="E328" s="362">
        <v>3610</v>
      </c>
      <c r="F328" s="362">
        <v>850</v>
      </c>
      <c r="G328" s="362">
        <v>1960</v>
      </c>
    </row>
    <row r="329" s="347" customFormat="1" ht="14.25" customHeight="1" spans="1:7">
      <c r="A329" s="362" t="s">
        <v>292</v>
      </c>
      <c r="B329" s="362" t="s">
        <v>2277</v>
      </c>
      <c r="C329" s="362">
        <v>2730</v>
      </c>
      <c r="D329" s="362">
        <v>2690</v>
      </c>
      <c r="E329" s="362">
        <v>3100</v>
      </c>
      <c r="F329" s="362">
        <v>660</v>
      </c>
      <c r="G329" s="362">
        <v>1610</v>
      </c>
    </row>
    <row r="330" s="347" customFormat="1" ht="14.25" customHeight="1" spans="1:7">
      <c r="A330" s="362" t="s">
        <v>292</v>
      </c>
      <c r="B330" s="362" t="s">
        <v>2289</v>
      </c>
      <c r="C330" s="362">
        <v>3270</v>
      </c>
      <c r="D330" s="362">
        <v>3240</v>
      </c>
      <c r="E330" s="362">
        <v>3560</v>
      </c>
      <c r="F330" s="362">
        <v>680</v>
      </c>
      <c r="G330" s="362">
        <v>1940</v>
      </c>
    </row>
    <row r="331" s="347" customFormat="1" ht="14.25" customHeight="1" spans="1:7">
      <c r="A331" s="362" t="s">
        <v>292</v>
      </c>
      <c r="B331" s="362" t="s">
        <v>2301</v>
      </c>
      <c r="C331" s="362">
        <v>3770</v>
      </c>
      <c r="D331" s="362">
        <v>3740</v>
      </c>
      <c r="E331" s="362">
        <v>4110</v>
      </c>
      <c r="F331" s="362">
        <v>730</v>
      </c>
      <c r="G331" s="362">
        <v>2230</v>
      </c>
    </row>
    <row r="332" s="347" customFormat="1" ht="14.25" customHeight="1" spans="1:7">
      <c r="A332" s="362" t="s">
        <v>292</v>
      </c>
      <c r="B332" s="362" t="s">
        <v>2312</v>
      </c>
      <c r="C332" s="362">
        <v>3520</v>
      </c>
      <c r="D332" s="362">
        <v>3480</v>
      </c>
      <c r="E332" s="362">
        <v>3830</v>
      </c>
      <c r="F332" s="362">
        <v>720</v>
      </c>
      <c r="G332" s="362">
        <v>2090</v>
      </c>
    </row>
    <row r="333" s="347" customFormat="1" ht="14.25" customHeight="1" spans="1:7">
      <c r="A333" s="362" t="s">
        <v>292</v>
      </c>
      <c r="B333" s="362" t="s">
        <v>2323</v>
      </c>
      <c r="C333" s="362">
        <v>3840</v>
      </c>
      <c r="D333" s="362">
        <v>3800</v>
      </c>
      <c r="E333" s="362">
        <v>4200</v>
      </c>
      <c r="F333" s="362">
        <v>760</v>
      </c>
      <c r="G333" s="362">
        <v>2270</v>
      </c>
    </row>
    <row r="334" s="347" customFormat="1" ht="14.25" customHeight="1" spans="1:7">
      <c r="A334" s="362" t="s">
        <v>292</v>
      </c>
      <c r="B334" s="362" t="s">
        <v>2334</v>
      </c>
      <c r="C334" s="362">
        <v>3960</v>
      </c>
      <c r="D334" s="362">
        <v>3910</v>
      </c>
      <c r="E334" s="362">
        <v>4340</v>
      </c>
      <c r="F334" s="362">
        <v>780</v>
      </c>
      <c r="G334" s="362">
        <v>2340</v>
      </c>
    </row>
    <row r="335" s="347" customFormat="1" ht="14.25" customHeight="1" spans="1:7">
      <c r="A335" s="362" t="s">
        <v>292</v>
      </c>
      <c r="B335" s="362" t="s">
        <v>2344</v>
      </c>
      <c r="C335" s="362">
        <v>3710</v>
      </c>
      <c r="D335" s="362">
        <v>3670</v>
      </c>
      <c r="E335" s="362">
        <v>4030</v>
      </c>
      <c r="F335" s="362">
        <v>750</v>
      </c>
      <c r="G335" s="362">
        <v>2200</v>
      </c>
    </row>
    <row r="336" s="347" customFormat="1" ht="14.25" customHeight="1" spans="1:7">
      <c r="A336" s="362" t="s">
        <v>292</v>
      </c>
      <c r="B336" s="362" t="s">
        <v>2354</v>
      </c>
      <c r="C336" s="362">
        <v>3570</v>
      </c>
      <c r="D336" s="362">
        <v>3530</v>
      </c>
      <c r="E336" s="362">
        <v>3880</v>
      </c>
      <c r="F336" s="362">
        <v>770</v>
      </c>
      <c r="G336" s="362">
        <v>2110</v>
      </c>
    </row>
    <row r="337" s="347" customFormat="1" ht="14.25" customHeight="1" spans="1:7">
      <c r="A337" s="362" t="s">
        <v>292</v>
      </c>
      <c r="B337" s="362" t="s">
        <v>2364</v>
      </c>
      <c r="C337" s="362">
        <v>3780</v>
      </c>
      <c r="D337" s="362">
        <v>3750</v>
      </c>
      <c r="E337" s="362">
        <v>4130</v>
      </c>
      <c r="F337" s="362">
        <v>750</v>
      </c>
      <c r="G337" s="362">
        <v>2240</v>
      </c>
    </row>
    <row r="338" s="347" customFormat="1" ht="14.25" customHeight="1" spans="1:7">
      <c r="A338" s="362" t="s">
        <v>292</v>
      </c>
      <c r="B338" s="362" t="s">
        <v>2374</v>
      </c>
      <c r="C338" s="362">
        <v>3600</v>
      </c>
      <c r="D338" s="362">
        <v>3570</v>
      </c>
      <c r="E338" s="362">
        <v>3920</v>
      </c>
      <c r="F338" s="362">
        <v>790</v>
      </c>
      <c r="G338" s="362">
        <v>2140</v>
      </c>
    </row>
    <row r="339" s="347" customFormat="1" ht="14.25" customHeight="1" spans="1:7">
      <c r="A339" s="362" t="s">
        <v>292</v>
      </c>
      <c r="B339" s="362" t="s">
        <v>2384</v>
      </c>
      <c r="C339" s="362">
        <v>3540</v>
      </c>
      <c r="D339" s="362">
        <v>3500</v>
      </c>
      <c r="E339" s="362">
        <v>3850</v>
      </c>
      <c r="F339" s="362">
        <v>780</v>
      </c>
      <c r="G339" s="362">
        <v>2100</v>
      </c>
    </row>
    <row r="340" s="347" customFormat="1" ht="14.25" customHeight="1" spans="1:7">
      <c r="A340" s="362" t="s">
        <v>292</v>
      </c>
      <c r="B340" s="362" t="s">
        <v>2394</v>
      </c>
      <c r="C340" s="362">
        <v>3850</v>
      </c>
      <c r="D340" s="362">
        <v>3810</v>
      </c>
      <c r="E340" s="362">
        <v>4210</v>
      </c>
      <c r="F340" s="362">
        <v>750</v>
      </c>
      <c r="G340" s="362">
        <v>2280</v>
      </c>
    </row>
    <row r="341" s="347" customFormat="1" ht="14.25" customHeight="1" spans="1:7">
      <c r="A341" s="362" t="s">
        <v>292</v>
      </c>
      <c r="B341" s="362" t="s">
        <v>2404</v>
      </c>
      <c r="C341" s="362">
        <v>3780</v>
      </c>
      <c r="D341" s="362">
        <v>3750</v>
      </c>
      <c r="E341" s="362">
        <v>4140</v>
      </c>
      <c r="F341" s="362">
        <v>720</v>
      </c>
      <c r="G341" s="362">
        <v>2240</v>
      </c>
    </row>
    <row r="342" s="347" customFormat="1" ht="14.25" customHeight="1" spans="1:7">
      <c r="A342" s="362" t="s">
        <v>292</v>
      </c>
      <c r="B342" s="362" t="s">
        <v>2414</v>
      </c>
      <c r="C342" s="362">
        <v>3670</v>
      </c>
      <c r="D342" s="362">
        <v>3620</v>
      </c>
      <c r="E342" s="362">
        <v>3990</v>
      </c>
      <c r="F342" s="362">
        <v>760</v>
      </c>
      <c r="G342" s="362">
        <v>2170</v>
      </c>
    </row>
    <row r="343" s="347" customFormat="1" ht="14.25" customHeight="1" spans="1:7">
      <c r="A343" s="362" t="s">
        <v>292</v>
      </c>
      <c r="B343" s="362" t="s">
        <v>2424</v>
      </c>
      <c r="C343" s="362">
        <v>3760</v>
      </c>
      <c r="D343" s="362">
        <v>3720</v>
      </c>
      <c r="E343" s="362">
        <v>4090</v>
      </c>
      <c r="F343" s="362">
        <v>780</v>
      </c>
      <c r="G343" s="362">
        <v>2220</v>
      </c>
    </row>
    <row r="344" s="347" customFormat="1" ht="14.25" customHeight="1" spans="1:7">
      <c r="A344" s="362" t="s">
        <v>292</v>
      </c>
      <c r="B344" s="362" t="s">
        <v>2434</v>
      </c>
      <c r="C344" s="362">
        <v>3680</v>
      </c>
      <c r="D344" s="362">
        <v>3640</v>
      </c>
      <c r="E344" s="362">
        <v>4010</v>
      </c>
      <c r="F344" s="362">
        <v>750</v>
      </c>
      <c r="G344" s="362">
        <v>2180</v>
      </c>
    </row>
    <row r="345" spans="1:10">
      <c r="A345" s="362" t="s">
        <v>292</v>
      </c>
      <c r="B345" s="362" t="s">
        <v>2444</v>
      </c>
      <c r="C345" s="362">
        <v>3190</v>
      </c>
      <c r="D345" s="362">
        <v>3140</v>
      </c>
      <c r="E345" s="362">
        <v>3450</v>
      </c>
      <c r="F345" s="362">
        <v>720</v>
      </c>
      <c r="G345" s="362">
        <v>1880</v>
      </c>
      <c r="J345" s="347"/>
    </row>
    <row r="346" spans="1:10">
      <c r="A346" s="362" t="s">
        <v>292</v>
      </c>
      <c r="B346" s="362" t="s">
        <v>2454</v>
      </c>
      <c r="C346" s="362">
        <v>3630</v>
      </c>
      <c r="D346" s="362">
        <v>3590</v>
      </c>
      <c r="E346" s="362">
        <v>3940</v>
      </c>
      <c r="F346" s="362">
        <v>730</v>
      </c>
      <c r="G346" s="362">
        <v>2150</v>
      </c>
      <c r="J346" s="347"/>
    </row>
    <row r="347" spans="1:10">
      <c r="A347" s="362" t="s">
        <v>292</v>
      </c>
      <c r="B347" s="362" t="s">
        <v>2463</v>
      </c>
      <c r="C347" s="362">
        <v>3860</v>
      </c>
      <c r="D347" s="362">
        <v>3820</v>
      </c>
      <c r="E347" s="362">
        <v>4220</v>
      </c>
      <c r="F347" s="362">
        <v>750</v>
      </c>
      <c r="G347" s="362">
        <v>2280</v>
      </c>
      <c r="J347" s="347"/>
    </row>
    <row r="348" spans="1:10">
      <c r="A348" s="362" t="s">
        <v>292</v>
      </c>
      <c r="B348" s="362" t="s">
        <v>2471</v>
      </c>
      <c r="C348" s="362">
        <v>4000</v>
      </c>
      <c r="D348" s="362">
        <v>3950</v>
      </c>
      <c r="E348" s="362">
        <v>4430</v>
      </c>
      <c r="F348" s="362">
        <v>760</v>
      </c>
      <c r="G348" s="362">
        <v>2360</v>
      </c>
      <c r="J348" s="347"/>
    </row>
    <row r="349" spans="1:10">
      <c r="A349" s="362" t="s">
        <v>292</v>
      </c>
      <c r="B349" s="362" t="s">
        <v>2479</v>
      </c>
      <c r="C349" s="362">
        <v>3820</v>
      </c>
      <c r="D349" s="362">
        <v>3780</v>
      </c>
      <c r="E349" s="362">
        <v>4170</v>
      </c>
      <c r="F349" s="362">
        <v>710</v>
      </c>
      <c r="G349" s="362">
        <v>2260</v>
      </c>
      <c r="J349" s="347"/>
    </row>
    <row r="350" spans="1:10">
      <c r="A350" s="362" t="s">
        <v>292</v>
      </c>
      <c r="B350" s="362" t="s">
        <v>2487</v>
      </c>
      <c r="C350" s="362">
        <v>3760</v>
      </c>
      <c r="D350" s="362">
        <v>3730</v>
      </c>
      <c r="E350" s="362">
        <v>4100</v>
      </c>
      <c r="F350" s="362">
        <v>800</v>
      </c>
      <c r="G350" s="362">
        <v>2230</v>
      </c>
      <c r="J350" s="347"/>
    </row>
    <row r="351" spans="1:10">
      <c r="A351" s="362" t="s">
        <v>292</v>
      </c>
      <c r="B351" s="362" t="s">
        <v>2495</v>
      </c>
      <c r="C351" s="362">
        <v>3610</v>
      </c>
      <c r="D351" s="362">
        <v>3580</v>
      </c>
      <c r="E351" s="362">
        <v>3930</v>
      </c>
      <c r="F351" s="362">
        <v>700</v>
      </c>
      <c r="G351" s="362">
        <v>2140</v>
      </c>
      <c r="J351" s="347"/>
    </row>
    <row r="352" spans="1:7">
      <c r="A352" s="362" t="s">
        <v>292</v>
      </c>
      <c r="B352" s="362" t="s">
        <v>2502</v>
      </c>
      <c r="C352" s="362">
        <v>3670</v>
      </c>
      <c r="D352" s="362">
        <v>3630</v>
      </c>
      <c r="E352" s="362">
        <v>4000</v>
      </c>
      <c r="F352" s="362">
        <v>750</v>
      </c>
      <c r="G352" s="362">
        <v>2180</v>
      </c>
    </row>
    <row r="353" s="348" customFormat="1" spans="1:7">
      <c r="A353" s="362" t="s">
        <v>292</v>
      </c>
      <c r="B353" s="362" t="s">
        <v>2509</v>
      </c>
      <c r="C353" s="362">
        <v>3190</v>
      </c>
      <c r="D353" s="362">
        <v>3150</v>
      </c>
      <c r="E353" s="362">
        <v>3640</v>
      </c>
      <c r="F353" s="362">
        <v>630</v>
      </c>
      <c r="G353" s="362">
        <v>1890</v>
      </c>
    </row>
    <row r="354" s="348" customFormat="1" spans="1:7">
      <c r="A354" s="362" t="s">
        <v>292</v>
      </c>
      <c r="B354" s="362" t="s">
        <v>2516</v>
      </c>
      <c r="C354" s="362">
        <v>3450</v>
      </c>
      <c r="D354" s="362">
        <v>3420</v>
      </c>
      <c r="E354" s="362">
        <v>3960</v>
      </c>
      <c r="F354" s="362">
        <v>660</v>
      </c>
      <c r="G354" s="362">
        <v>2050</v>
      </c>
    </row>
    <row r="355" s="348" customFormat="1" spans="1:7">
      <c r="A355" s="362" t="s">
        <v>292</v>
      </c>
      <c r="B355" s="362" t="s">
        <v>2522</v>
      </c>
      <c r="C355" s="362">
        <v>3650</v>
      </c>
      <c r="D355" s="362">
        <v>3610</v>
      </c>
      <c r="E355" s="362">
        <v>4200</v>
      </c>
      <c r="F355" s="362">
        <v>640</v>
      </c>
      <c r="G355" s="362">
        <v>2160</v>
      </c>
    </row>
    <row r="356" s="348" customFormat="1" spans="1:7">
      <c r="A356" s="362" t="s">
        <v>292</v>
      </c>
      <c r="B356" s="362" t="s">
        <v>2529</v>
      </c>
      <c r="C356" s="362">
        <v>3260</v>
      </c>
      <c r="D356" s="362">
        <v>3230</v>
      </c>
      <c r="E356" s="362">
        <v>3740</v>
      </c>
      <c r="F356" s="362">
        <v>600</v>
      </c>
      <c r="G356" s="362">
        <v>1930</v>
      </c>
    </row>
    <row r="357" s="348" customFormat="1" ht="12.75" spans="1:7">
      <c r="A357" s="364" t="s">
        <v>292</v>
      </c>
      <c r="B357" s="368" t="s">
        <v>2536</v>
      </c>
      <c r="C357" s="368">
        <v>3690</v>
      </c>
      <c r="D357" s="368">
        <v>3650</v>
      </c>
      <c r="E357" s="368">
        <v>4020</v>
      </c>
      <c r="F357" s="368">
        <v>700</v>
      </c>
      <c r="G357" s="368">
        <v>2190</v>
      </c>
    </row>
    <row r="358" s="348" customFormat="1" spans="1:7">
      <c r="A358" s="360" t="s">
        <v>296</v>
      </c>
      <c r="B358" s="361" t="s">
        <v>2251</v>
      </c>
      <c r="C358" s="361">
        <v>2080</v>
      </c>
      <c r="D358" s="361">
        <v>2040</v>
      </c>
      <c r="E358" s="361">
        <v>2010</v>
      </c>
      <c r="F358" s="361">
        <v>530</v>
      </c>
      <c r="G358" s="369">
        <v>1230</v>
      </c>
    </row>
    <row r="359" s="348" customFormat="1" spans="1:7">
      <c r="A359" s="362" t="s">
        <v>296</v>
      </c>
      <c r="B359" s="362" t="s">
        <v>2264</v>
      </c>
      <c r="C359" s="362">
        <v>1850</v>
      </c>
      <c r="D359" s="362">
        <v>1820</v>
      </c>
      <c r="E359" s="362">
        <v>1780</v>
      </c>
      <c r="F359" s="362">
        <v>520</v>
      </c>
      <c r="G359" s="370">
        <v>1100</v>
      </c>
    </row>
    <row r="360" s="348" customFormat="1" spans="1:7">
      <c r="A360" s="362" t="s">
        <v>296</v>
      </c>
      <c r="B360" s="362" t="s">
        <v>2278</v>
      </c>
      <c r="C360" s="362">
        <v>2020</v>
      </c>
      <c r="D360" s="362">
        <v>1990</v>
      </c>
      <c r="E360" s="362">
        <v>1950</v>
      </c>
      <c r="F360" s="362">
        <v>500</v>
      </c>
      <c r="G360" s="370">
        <v>1200</v>
      </c>
    </row>
    <row r="361" s="348" customFormat="1" spans="1:7">
      <c r="A361" s="362" t="s">
        <v>296</v>
      </c>
      <c r="B361" s="362" t="s">
        <v>2290</v>
      </c>
      <c r="C361" s="362">
        <v>2260</v>
      </c>
      <c r="D361" s="362">
        <v>2220</v>
      </c>
      <c r="E361" s="362">
        <v>2180</v>
      </c>
      <c r="F361" s="362">
        <v>580</v>
      </c>
      <c r="G361" s="370">
        <v>1340</v>
      </c>
    </row>
    <row r="362" s="348" customFormat="1" spans="1:7">
      <c r="A362" s="362" t="s">
        <v>296</v>
      </c>
      <c r="B362" s="362" t="s">
        <v>2302</v>
      </c>
      <c r="C362" s="362">
        <v>2650</v>
      </c>
      <c r="D362" s="362">
        <v>2610</v>
      </c>
      <c r="E362" s="362">
        <v>2570</v>
      </c>
      <c r="F362" s="362">
        <v>630</v>
      </c>
      <c r="G362" s="370">
        <v>1570</v>
      </c>
    </row>
    <row r="363" s="348" customFormat="1" spans="1:7">
      <c r="A363" s="362" t="s">
        <v>296</v>
      </c>
      <c r="B363" s="362" t="s">
        <v>2313</v>
      </c>
      <c r="C363" s="362">
        <v>2390</v>
      </c>
      <c r="D363" s="362">
        <v>2360</v>
      </c>
      <c r="E363" s="362">
        <v>2320</v>
      </c>
      <c r="F363" s="362">
        <v>600</v>
      </c>
      <c r="G363" s="370">
        <v>1420</v>
      </c>
    </row>
    <row r="364" s="348" customFormat="1" spans="1:7">
      <c r="A364" s="362" t="s">
        <v>296</v>
      </c>
      <c r="B364" s="362" t="s">
        <v>2324</v>
      </c>
      <c r="C364" s="362">
        <v>2050</v>
      </c>
      <c r="D364" s="362">
        <v>2030</v>
      </c>
      <c r="E364" s="362">
        <v>1990</v>
      </c>
      <c r="F364" s="362">
        <v>550</v>
      </c>
      <c r="G364" s="370">
        <v>1220</v>
      </c>
    </row>
    <row r="365" s="348" customFormat="1" spans="1:7">
      <c r="A365" s="362" t="s">
        <v>296</v>
      </c>
      <c r="B365" s="362" t="s">
        <v>2335</v>
      </c>
      <c r="C365" s="362">
        <v>2140</v>
      </c>
      <c r="D365" s="362">
        <v>2100</v>
      </c>
      <c r="E365" s="362">
        <v>2060</v>
      </c>
      <c r="F365" s="362">
        <v>540</v>
      </c>
      <c r="G365" s="370">
        <v>1270</v>
      </c>
    </row>
    <row r="366" s="348" customFormat="1" spans="1:7">
      <c r="A366" s="362" t="s">
        <v>296</v>
      </c>
      <c r="B366" s="362" t="s">
        <v>2345</v>
      </c>
      <c r="C366" s="362">
        <v>2410</v>
      </c>
      <c r="D366" s="362">
        <v>2370</v>
      </c>
      <c r="E366" s="362">
        <v>2330</v>
      </c>
      <c r="F366" s="362">
        <v>570</v>
      </c>
      <c r="G366" s="370">
        <v>1440</v>
      </c>
    </row>
    <row r="367" s="348" customFormat="1" spans="1:7">
      <c r="A367" s="362" t="s">
        <v>296</v>
      </c>
      <c r="B367" s="362" t="s">
        <v>2355</v>
      </c>
      <c r="C367" s="362">
        <v>2300</v>
      </c>
      <c r="D367" s="362">
        <v>2260</v>
      </c>
      <c r="E367" s="362">
        <v>2220</v>
      </c>
      <c r="F367" s="362">
        <v>560</v>
      </c>
      <c r="G367" s="370">
        <v>1370</v>
      </c>
    </row>
    <row r="368" s="348" customFormat="1" spans="1:7">
      <c r="A368" s="362" t="s">
        <v>296</v>
      </c>
      <c r="B368" s="362" t="s">
        <v>2365</v>
      </c>
      <c r="C368" s="362">
        <v>2430</v>
      </c>
      <c r="D368" s="362">
        <v>2390</v>
      </c>
      <c r="E368" s="362">
        <v>2350</v>
      </c>
      <c r="F368" s="362">
        <v>570</v>
      </c>
      <c r="G368" s="370">
        <v>1450</v>
      </c>
    </row>
    <row r="369" s="348" customFormat="1" spans="1:7">
      <c r="A369" s="362" t="s">
        <v>296</v>
      </c>
      <c r="B369" s="362" t="s">
        <v>2375</v>
      </c>
      <c r="C369" s="362">
        <v>2320</v>
      </c>
      <c r="D369" s="362">
        <v>2290</v>
      </c>
      <c r="E369" s="362">
        <v>2250</v>
      </c>
      <c r="F369" s="362">
        <v>550</v>
      </c>
      <c r="G369" s="370">
        <v>1380</v>
      </c>
    </row>
    <row r="370" s="348" customFormat="1" spans="1:7">
      <c r="A370" s="362" t="s">
        <v>296</v>
      </c>
      <c r="B370" s="362" t="s">
        <v>2385</v>
      </c>
      <c r="C370" s="362">
        <v>2190</v>
      </c>
      <c r="D370" s="362">
        <v>2170</v>
      </c>
      <c r="E370" s="362">
        <v>2130</v>
      </c>
      <c r="F370" s="362">
        <v>530</v>
      </c>
      <c r="G370" s="370">
        <v>1310</v>
      </c>
    </row>
    <row r="371" s="348" customFormat="1" spans="1:7">
      <c r="A371" s="362" t="s">
        <v>296</v>
      </c>
      <c r="B371" s="362" t="s">
        <v>2395</v>
      </c>
      <c r="C371" s="362">
        <v>2460</v>
      </c>
      <c r="D371" s="362">
        <v>2420</v>
      </c>
      <c r="E371" s="362">
        <v>2370</v>
      </c>
      <c r="F371" s="362">
        <v>560</v>
      </c>
      <c r="G371" s="370">
        <v>1470</v>
      </c>
    </row>
    <row r="372" s="348" customFormat="1" spans="1:7">
      <c r="A372" s="362" t="s">
        <v>296</v>
      </c>
      <c r="B372" s="362" t="s">
        <v>2405</v>
      </c>
      <c r="C372" s="362">
        <v>2250</v>
      </c>
      <c r="D372" s="362">
        <v>2210</v>
      </c>
      <c r="E372" s="362">
        <v>2180</v>
      </c>
      <c r="F372" s="362">
        <v>550</v>
      </c>
      <c r="G372" s="370">
        <v>1340</v>
      </c>
    </row>
    <row r="373" s="348" customFormat="1" spans="1:7">
      <c r="A373" s="362" t="s">
        <v>296</v>
      </c>
      <c r="B373" s="362" t="s">
        <v>2415</v>
      </c>
      <c r="C373" s="362">
        <v>2210</v>
      </c>
      <c r="D373" s="362">
        <v>2190</v>
      </c>
      <c r="E373" s="362">
        <v>2150</v>
      </c>
      <c r="F373" s="362">
        <v>530</v>
      </c>
      <c r="G373" s="370">
        <v>1320</v>
      </c>
    </row>
    <row r="374" s="348" customFormat="1" spans="1:7">
      <c r="A374" s="362" t="s">
        <v>296</v>
      </c>
      <c r="B374" s="362" t="s">
        <v>2425</v>
      </c>
      <c r="C374" s="362">
        <v>2320</v>
      </c>
      <c r="D374" s="362">
        <v>2280</v>
      </c>
      <c r="E374" s="362">
        <v>2230</v>
      </c>
      <c r="F374" s="362">
        <v>580</v>
      </c>
      <c r="G374" s="370">
        <v>1380</v>
      </c>
    </row>
    <row r="375" s="348" customFormat="1" spans="1:7">
      <c r="A375" s="362" t="s">
        <v>296</v>
      </c>
      <c r="B375" s="362" t="s">
        <v>2435</v>
      </c>
      <c r="C375" s="362">
        <v>2090</v>
      </c>
      <c r="D375" s="362">
        <v>2050</v>
      </c>
      <c r="E375" s="362">
        <v>2020</v>
      </c>
      <c r="F375" s="362">
        <v>520</v>
      </c>
      <c r="G375" s="370">
        <v>1240</v>
      </c>
    </row>
    <row r="376" s="348" customFormat="1" spans="1:7">
      <c r="A376" s="362" t="s">
        <v>296</v>
      </c>
      <c r="B376" s="362" t="s">
        <v>2445</v>
      </c>
      <c r="C376" s="362">
        <v>2010</v>
      </c>
      <c r="D376" s="362">
        <v>1980</v>
      </c>
      <c r="E376" s="362">
        <v>1940</v>
      </c>
      <c r="F376" s="362">
        <v>540</v>
      </c>
      <c r="G376" s="370">
        <v>1190</v>
      </c>
    </row>
    <row r="377" s="348" customFormat="1" ht="12.75" spans="1:7">
      <c r="A377" s="364" t="s">
        <v>296</v>
      </c>
      <c r="B377" s="368" t="s">
        <v>2455</v>
      </c>
      <c r="C377" s="368">
        <v>1930</v>
      </c>
      <c r="D377" s="368">
        <v>1890</v>
      </c>
      <c r="E377" s="368">
        <v>1860</v>
      </c>
      <c r="F377" s="368">
        <v>530</v>
      </c>
      <c r="G377" s="377">
        <v>1150</v>
      </c>
    </row>
    <row r="378" s="348" customFormat="1" spans="1:7">
      <c r="A378" s="378" t="s">
        <v>300</v>
      </c>
      <c r="B378" s="361" t="s">
        <v>2252</v>
      </c>
      <c r="C378" s="361">
        <v>1520</v>
      </c>
      <c r="D378" s="361">
        <v>1490</v>
      </c>
      <c r="E378" s="361">
        <v>1460</v>
      </c>
      <c r="F378" s="361">
        <v>460</v>
      </c>
      <c r="G378" s="369">
        <v>940</v>
      </c>
    </row>
    <row r="379" s="348" customFormat="1" spans="1:7">
      <c r="A379" s="379" t="s">
        <v>300</v>
      </c>
      <c r="B379" s="362" t="s">
        <v>2265</v>
      </c>
      <c r="C379" s="362">
        <v>1500</v>
      </c>
      <c r="D379" s="362">
        <v>1470</v>
      </c>
      <c r="E379" s="362">
        <v>1430</v>
      </c>
      <c r="F379" s="362">
        <v>460</v>
      </c>
      <c r="G379" s="370">
        <v>920</v>
      </c>
    </row>
    <row r="380" s="348" customFormat="1" spans="1:7">
      <c r="A380" s="379" t="s">
        <v>300</v>
      </c>
      <c r="B380" s="362" t="s">
        <v>2279</v>
      </c>
      <c r="C380" s="362">
        <v>1620</v>
      </c>
      <c r="D380" s="362">
        <v>1590</v>
      </c>
      <c r="E380" s="362">
        <v>1560</v>
      </c>
      <c r="F380" s="362">
        <v>480</v>
      </c>
      <c r="G380" s="370">
        <v>1000</v>
      </c>
    </row>
    <row r="381" s="348" customFormat="1" spans="1:7">
      <c r="A381" s="379" t="s">
        <v>300</v>
      </c>
      <c r="B381" s="362" t="s">
        <v>2291</v>
      </c>
      <c r="C381" s="362">
        <v>1460</v>
      </c>
      <c r="D381" s="362">
        <v>1430</v>
      </c>
      <c r="E381" s="362">
        <v>1390</v>
      </c>
      <c r="F381" s="362">
        <v>450</v>
      </c>
      <c r="G381" s="370">
        <v>900</v>
      </c>
    </row>
    <row r="382" s="348" customFormat="1" spans="1:7">
      <c r="A382" s="379" t="s">
        <v>300</v>
      </c>
      <c r="B382" s="362" t="s">
        <v>2303</v>
      </c>
      <c r="C382" s="362">
        <v>1310</v>
      </c>
      <c r="D382" s="362">
        <v>1280</v>
      </c>
      <c r="E382" s="362">
        <v>1250</v>
      </c>
      <c r="F382" s="362">
        <v>440</v>
      </c>
      <c r="G382" s="370">
        <v>800</v>
      </c>
    </row>
    <row r="383" s="348" customFormat="1" spans="1:7">
      <c r="A383" s="379" t="s">
        <v>300</v>
      </c>
      <c r="B383" s="362" t="s">
        <v>2314</v>
      </c>
      <c r="C383" s="362">
        <v>1260</v>
      </c>
      <c r="D383" s="362">
        <v>1230</v>
      </c>
      <c r="E383" s="362">
        <v>1200</v>
      </c>
      <c r="F383" s="362">
        <v>420</v>
      </c>
      <c r="G383" s="370">
        <v>770</v>
      </c>
    </row>
    <row r="384" s="348" customFormat="1" ht="12.75" spans="1:7">
      <c r="A384" s="380" t="s">
        <v>300</v>
      </c>
      <c r="B384" s="366" t="s">
        <v>2325</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09" customWidth="1"/>
    <col min="2" max="2" width="20" style="309" customWidth="1"/>
    <col min="3" max="7" width="8.87272727272727" style="310"/>
    <col min="8" max="16384" width="8.87272727272727" style="311"/>
  </cols>
  <sheetData>
    <row r="1" spans="1:2">
      <c r="A1" s="312" t="s">
        <v>2623</v>
      </c>
      <c r="B1" s="312"/>
    </row>
    <row r="2" ht="14.75" spans="1:2">
      <c r="A2" s="312"/>
      <c r="B2" s="312"/>
    </row>
    <row r="3" ht="14.75" spans="1:7">
      <c r="A3" s="312"/>
      <c r="B3" s="312"/>
      <c r="C3" s="313" t="s">
        <v>1916</v>
      </c>
      <c r="D3" s="313" t="s">
        <v>1181</v>
      </c>
      <c r="E3" s="313" t="s">
        <v>412</v>
      </c>
      <c r="F3" s="313" t="s">
        <v>408</v>
      </c>
      <c r="G3" s="313" t="s">
        <v>280</v>
      </c>
    </row>
    <row r="4" ht="14.75" spans="1:7">
      <c r="A4" s="314" t="s">
        <v>2253</v>
      </c>
      <c r="B4" s="315" t="s">
        <v>2266</v>
      </c>
      <c r="C4" s="313"/>
      <c r="D4" s="313"/>
      <c r="E4" s="313"/>
      <c r="F4" s="313"/>
      <c r="G4" s="313"/>
    </row>
    <row r="5" spans="1:7">
      <c r="A5" s="316" t="s">
        <v>230</v>
      </c>
      <c r="B5" s="317" t="s">
        <v>2241</v>
      </c>
      <c r="C5" s="318">
        <v>0.098</v>
      </c>
      <c r="D5" s="318">
        <v>0.087</v>
      </c>
      <c r="E5" s="318">
        <v>0.087</v>
      </c>
      <c r="F5" s="318">
        <v>0.098</v>
      </c>
      <c r="G5" s="319">
        <v>0.095</v>
      </c>
    </row>
    <row r="6" spans="1:7">
      <c r="A6" s="320" t="s">
        <v>230</v>
      </c>
      <c r="B6" s="321" t="s">
        <v>2254</v>
      </c>
      <c r="C6" s="322">
        <v>0.098</v>
      </c>
      <c r="D6" s="322">
        <v>0.098</v>
      </c>
      <c r="E6" s="322">
        <v>0.098</v>
      </c>
      <c r="F6" s="322">
        <v>0.1</v>
      </c>
      <c r="G6" s="323">
        <v>0.099</v>
      </c>
    </row>
    <row r="7" spans="1:7">
      <c r="A7" s="320" t="s">
        <v>230</v>
      </c>
      <c r="B7" s="321" t="s">
        <v>2268</v>
      </c>
      <c r="C7" s="322">
        <v>0.097</v>
      </c>
      <c r="D7" s="322">
        <v>0.097</v>
      </c>
      <c r="E7" s="322">
        <v>0.096</v>
      </c>
      <c r="F7" s="322">
        <v>0.1</v>
      </c>
      <c r="G7" s="323">
        <v>0.098</v>
      </c>
    </row>
    <row r="8" spans="1:7">
      <c r="A8" s="320" t="s">
        <v>230</v>
      </c>
      <c r="B8" s="321" t="s">
        <v>2280</v>
      </c>
      <c r="C8" s="322">
        <v>0.081</v>
      </c>
      <c r="D8" s="322">
        <v>0.082</v>
      </c>
      <c r="E8" s="322">
        <v>0.07</v>
      </c>
      <c r="F8" s="322">
        <v>0.096</v>
      </c>
      <c r="G8" s="323">
        <v>0.089</v>
      </c>
    </row>
    <row r="9" ht="14.75" spans="1:7">
      <c r="A9" s="324" t="s">
        <v>230</v>
      </c>
      <c r="B9" s="325" t="s">
        <v>2292</v>
      </c>
      <c r="C9" s="326">
        <v>0.1</v>
      </c>
      <c r="D9" s="326">
        <v>0.1</v>
      </c>
      <c r="E9" s="326">
        <v>0.1</v>
      </c>
      <c r="F9" s="327"/>
      <c r="G9" s="328">
        <v>0.1</v>
      </c>
    </row>
    <row r="10" spans="1:7">
      <c r="A10" s="316" t="s">
        <v>241</v>
      </c>
      <c r="B10" s="317" t="s">
        <v>2242</v>
      </c>
      <c r="C10" s="318">
        <v>0.067</v>
      </c>
      <c r="D10" s="318">
        <v>0.079</v>
      </c>
      <c r="E10" s="318">
        <v>0.079</v>
      </c>
      <c r="F10" s="318">
        <v>0.1</v>
      </c>
      <c r="G10" s="319">
        <v>0.091</v>
      </c>
    </row>
    <row r="11" spans="1:7">
      <c r="A11" s="320" t="s">
        <v>241</v>
      </c>
      <c r="B11" s="321" t="s">
        <v>2255</v>
      </c>
      <c r="C11" s="322">
        <v>0.05</v>
      </c>
      <c r="D11" s="322">
        <v>0.053</v>
      </c>
      <c r="E11" s="322">
        <v>0.063</v>
      </c>
      <c r="F11" s="322">
        <v>0.1</v>
      </c>
      <c r="G11" s="323">
        <v>0.072</v>
      </c>
    </row>
    <row r="12" spans="1:7">
      <c r="A12" s="320" t="s">
        <v>241</v>
      </c>
      <c r="B12" s="321" t="s">
        <v>2269</v>
      </c>
      <c r="C12" s="322">
        <v>0.053</v>
      </c>
      <c r="D12" s="322">
        <v>0.09</v>
      </c>
      <c r="E12" s="322">
        <v>0.072</v>
      </c>
      <c r="F12" s="322">
        <v>0.1</v>
      </c>
      <c r="G12" s="323">
        <v>0.097</v>
      </c>
    </row>
    <row r="13" spans="1:7">
      <c r="A13" s="320" t="s">
        <v>241</v>
      </c>
      <c r="B13" s="321" t="s">
        <v>2281</v>
      </c>
      <c r="C13" s="322">
        <v>0.097</v>
      </c>
      <c r="D13" s="322">
        <v>0.092</v>
      </c>
      <c r="E13" s="322">
        <v>0.095</v>
      </c>
      <c r="F13" s="322">
        <v>0.1</v>
      </c>
      <c r="G13" s="323">
        <v>0.097</v>
      </c>
    </row>
    <row r="14" spans="1:7">
      <c r="A14" s="320" t="s">
        <v>241</v>
      </c>
      <c r="B14" s="321" t="s">
        <v>2293</v>
      </c>
      <c r="C14" s="322">
        <v>0.097</v>
      </c>
      <c r="D14" s="322">
        <v>0.097</v>
      </c>
      <c r="E14" s="322">
        <v>0.097</v>
      </c>
      <c r="F14" s="322">
        <v>0.1</v>
      </c>
      <c r="G14" s="323">
        <v>0.098</v>
      </c>
    </row>
    <row r="15" spans="1:7">
      <c r="A15" s="320" t="s">
        <v>241</v>
      </c>
      <c r="B15" s="321" t="s">
        <v>2304</v>
      </c>
      <c r="C15" s="322">
        <v>0.098</v>
      </c>
      <c r="D15" s="322">
        <v>0.091</v>
      </c>
      <c r="E15" s="322">
        <v>0.06</v>
      </c>
      <c r="F15" s="322">
        <v>0.1</v>
      </c>
      <c r="G15" s="323">
        <v>0.097</v>
      </c>
    </row>
    <row r="16" spans="1:7">
      <c r="A16" s="320" t="s">
        <v>241</v>
      </c>
      <c r="B16" s="321" t="s">
        <v>2315</v>
      </c>
      <c r="C16" s="322">
        <v>0.098</v>
      </c>
      <c r="D16" s="322">
        <v>0.097</v>
      </c>
      <c r="E16" s="322">
        <v>0.095</v>
      </c>
      <c r="F16" s="322">
        <v>0.1</v>
      </c>
      <c r="G16" s="323">
        <v>0.099</v>
      </c>
    </row>
    <row r="17" spans="1:7">
      <c r="A17" s="320" t="s">
        <v>241</v>
      </c>
      <c r="B17" s="321" t="s">
        <v>2326</v>
      </c>
      <c r="C17" s="322">
        <v>0.089</v>
      </c>
      <c r="D17" s="322">
        <v>0.092</v>
      </c>
      <c r="E17" s="322">
        <v>0.061</v>
      </c>
      <c r="F17" s="322">
        <v>0.1</v>
      </c>
      <c r="G17" s="323">
        <v>0.097</v>
      </c>
    </row>
    <row r="18" spans="1:7">
      <c r="A18" s="320" t="s">
        <v>241</v>
      </c>
      <c r="B18" s="321" t="s">
        <v>2336</v>
      </c>
      <c r="C18" s="322">
        <v>0.098</v>
      </c>
      <c r="D18" s="322">
        <v>0.098</v>
      </c>
      <c r="E18" s="322">
        <v>0.098</v>
      </c>
      <c r="F18" s="329"/>
      <c r="G18" s="323">
        <v>0.099</v>
      </c>
    </row>
    <row r="19" spans="1:7">
      <c r="A19" s="320" t="s">
        <v>241</v>
      </c>
      <c r="B19" s="321" t="s">
        <v>2346</v>
      </c>
      <c r="C19" s="322">
        <v>0.099</v>
      </c>
      <c r="D19" s="322">
        <v>0.074</v>
      </c>
      <c r="E19" s="322">
        <v>0.081</v>
      </c>
      <c r="F19" s="329"/>
      <c r="G19" s="323">
        <v>0.093</v>
      </c>
    </row>
    <row r="20" spans="1:7">
      <c r="A20" s="320" t="s">
        <v>241</v>
      </c>
      <c r="B20" s="321" t="s">
        <v>2356</v>
      </c>
      <c r="C20" s="322">
        <v>0.1</v>
      </c>
      <c r="D20" s="322">
        <v>0.089</v>
      </c>
      <c r="E20" s="322">
        <v>0.089</v>
      </c>
      <c r="F20" s="329"/>
      <c r="G20" s="323">
        <v>0.095</v>
      </c>
    </row>
    <row r="21" spans="1:7">
      <c r="A21" s="320" t="s">
        <v>241</v>
      </c>
      <c r="B21" s="321" t="s">
        <v>2366</v>
      </c>
      <c r="C21" s="322">
        <v>0.1</v>
      </c>
      <c r="D21" s="322">
        <v>0.091</v>
      </c>
      <c r="E21" s="322">
        <v>0.082</v>
      </c>
      <c r="F21" s="329"/>
      <c r="G21" s="323">
        <v>0.097</v>
      </c>
    </row>
    <row r="22" spans="1:7">
      <c r="A22" s="320" t="s">
        <v>241</v>
      </c>
      <c r="B22" s="321" t="s">
        <v>2376</v>
      </c>
      <c r="C22" s="322">
        <v>0.095</v>
      </c>
      <c r="D22" s="322">
        <v>0.099</v>
      </c>
      <c r="E22" s="322">
        <v>0.098</v>
      </c>
      <c r="F22" s="329"/>
      <c r="G22" s="323">
        <v>0.1</v>
      </c>
    </row>
    <row r="23" spans="1:7">
      <c r="A23" s="320" t="s">
        <v>241</v>
      </c>
      <c r="B23" s="321" t="s">
        <v>2386</v>
      </c>
      <c r="C23" s="322">
        <v>0.099</v>
      </c>
      <c r="D23" s="322">
        <v>0.1</v>
      </c>
      <c r="E23" s="322">
        <v>0.1</v>
      </c>
      <c r="F23" s="329"/>
      <c r="G23" s="323">
        <v>0.1</v>
      </c>
    </row>
    <row r="24" spans="1:7">
      <c r="A24" s="320" t="s">
        <v>241</v>
      </c>
      <c r="B24" s="321" t="s">
        <v>2396</v>
      </c>
      <c r="C24" s="322">
        <v>0.095</v>
      </c>
      <c r="D24" s="322">
        <v>0.1</v>
      </c>
      <c r="E24" s="322">
        <v>0.098</v>
      </c>
      <c r="F24" s="329"/>
      <c r="G24" s="323">
        <v>0.1</v>
      </c>
    </row>
    <row r="25" spans="1:7">
      <c r="A25" s="320" t="s">
        <v>241</v>
      </c>
      <c r="B25" s="321" t="s">
        <v>2406</v>
      </c>
      <c r="C25" s="322">
        <v>0.05</v>
      </c>
      <c r="D25" s="322">
        <v>0.096</v>
      </c>
      <c r="E25" s="322">
        <v>0.096</v>
      </c>
      <c r="F25" s="329"/>
      <c r="G25" s="323">
        <v>0.096</v>
      </c>
    </row>
    <row r="26" spans="1:7">
      <c r="A26" s="320" t="s">
        <v>241</v>
      </c>
      <c r="B26" s="321" t="s">
        <v>2416</v>
      </c>
      <c r="C26" s="322">
        <v>0.063</v>
      </c>
      <c r="D26" s="322">
        <v>0.099</v>
      </c>
      <c r="E26" s="322">
        <v>0.098</v>
      </c>
      <c r="F26" s="329"/>
      <c r="G26" s="323">
        <v>0.1</v>
      </c>
    </row>
    <row r="27" spans="1:7">
      <c r="A27" s="320" t="s">
        <v>241</v>
      </c>
      <c r="B27" s="321" t="s">
        <v>2426</v>
      </c>
      <c r="C27" s="322">
        <v>0.052</v>
      </c>
      <c r="D27" s="322">
        <v>0.095</v>
      </c>
      <c r="E27" s="322">
        <v>0.064</v>
      </c>
      <c r="F27" s="329"/>
      <c r="G27" s="323">
        <v>0.097</v>
      </c>
    </row>
    <row r="28" spans="1:7">
      <c r="A28" s="320" t="s">
        <v>241</v>
      </c>
      <c r="B28" s="321" t="s">
        <v>2436</v>
      </c>
      <c r="C28" s="329"/>
      <c r="D28" s="322">
        <v>0.063</v>
      </c>
      <c r="E28" s="322">
        <v>0.052</v>
      </c>
      <c r="F28" s="329"/>
      <c r="G28" s="323">
        <v>0.063</v>
      </c>
    </row>
    <row r="29" ht="14.75" spans="1:7">
      <c r="A29" s="324" t="s">
        <v>241</v>
      </c>
      <c r="B29" s="325" t="s">
        <v>2446</v>
      </c>
      <c r="C29" s="330"/>
      <c r="D29" s="326">
        <v>0.052</v>
      </c>
      <c r="E29" s="326">
        <v>0.07</v>
      </c>
      <c r="F29" s="330"/>
      <c r="G29" s="328">
        <v>0.071</v>
      </c>
    </row>
    <row r="30" spans="1:7">
      <c r="A30" s="331" t="s">
        <v>251</v>
      </c>
      <c r="B30" s="317" t="s">
        <v>2243</v>
      </c>
      <c r="C30" s="318">
        <v>0.066</v>
      </c>
      <c r="D30" s="318">
        <v>0.066</v>
      </c>
      <c r="E30" s="318">
        <v>0.057</v>
      </c>
      <c r="F30" s="318">
        <v>0.1</v>
      </c>
      <c r="G30" s="319">
        <v>0.068</v>
      </c>
    </row>
    <row r="31" spans="1:7">
      <c r="A31" s="332" t="s">
        <v>251</v>
      </c>
      <c r="B31" s="321" t="s">
        <v>2256</v>
      </c>
      <c r="C31" s="322">
        <v>0.055</v>
      </c>
      <c r="D31" s="322">
        <v>0.082</v>
      </c>
      <c r="E31" s="322">
        <v>0.064</v>
      </c>
      <c r="F31" s="322">
        <v>0.1</v>
      </c>
      <c r="G31" s="323">
        <v>0.095</v>
      </c>
    </row>
    <row r="32" spans="1:7">
      <c r="A32" s="332" t="s">
        <v>251</v>
      </c>
      <c r="B32" s="321" t="s">
        <v>2270</v>
      </c>
      <c r="C32" s="322">
        <v>0.082</v>
      </c>
      <c r="D32" s="322">
        <v>0.087</v>
      </c>
      <c r="E32" s="322">
        <v>0.095</v>
      </c>
      <c r="F32" s="322">
        <v>0.1</v>
      </c>
      <c r="G32" s="323">
        <v>0.096</v>
      </c>
    </row>
    <row r="33" spans="1:7">
      <c r="A33" s="332" t="s">
        <v>251</v>
      </c>
      <c r="B33" s="321" t="s">
        <v>2282</v>
      </c>
      <c r="C33" s="322">
        <v>0.099</v>
      </c>
      <c r="D33" s="322">
        <v>0.092</v>
      </c>
      <c r="E33" s="322">
        <v>0.087</v>
      </c>
      <c r="F33" s="322">
        <v>0.1</v>
      </c>
      <c r="G33" s="323">
        <v>0.097</v>
      </c>
    </row>
    <row r="34" spans="1:7">
      <c r="A34" s="332" t="s">
        <v>251</v>
      </c>
      <c r="B34" s="321" t="s">
        <v>2294</v>
      </c>
      <c r="C34" s="322">
        <v>0.084</v>
      </c>
      <c r="D34" s="322">
        <v>0.097</v>
      </c>
      <c r="E34" s="322">
        <v>0.071</v>
      </c>
      <c r="F34" s="322">
        <v>0.1</v>
      </c>
      <c r="G34" s="323">
        <v>0.098</v>
      </c>
    </row>
    <row r="35" spans="1:7">
      <c r="A35" s="332" t="s">
        <v>251</v>
      </c>
      <c r="B35" s="321" t="s">
        <v>2305</v>
      </c>
      <c r="C35" s="322">
        <v>0.083</v>
      </c>
      <c r="D35" s="322">
        <v>0.097</v>
      </c>
      <c r="E35" s="322">
        <v>0.061</v>
      </c>
      <c r="F35" s="322">
        <v>0.1</v>
      </c>
      <c r="G35" s="323">
        <v>0.099</v>
      </c>
    </row>
    <row r="36" spans="1:7">
      <c r="A36" s="332" t="s">
        <v>251</v>
      </c>
      <c r="B36" s="321" t="s">
        <v>2316</v>
      </c>
      <c r="C36" s="322">
        <v>0.097</v>
      </c>
      <c r="D36" s="322">
        <v>0.097</v>
      </c>
      <c r="E36" s="322">
        <v>0.078</v>
      </c>
      <c r="F36" s="322">
        <v>0.1</v>
      </c>
      <c r="G36" s="323">
        <v>0.099</v>
      </c>
    </row>
    <row r="37" spans="1:7">
      <c r="A37" s="332" t="s">
        <v>251</v>
      </c>
      <c r="B37" s="321" t="s">
        <v>2327</v>
      </c>
      <c r="C37" s="322">
        <v>0.097</v>
      </c>
      <c r="D37" s="322">
        <v>0.095</v>
      </c>
      <c r="E37" s="322">
        <v>0.078</v>
      </c>
      <c r="F37" s="322">
        <v>0.1</v>
      </c>
      <c r="G37" s="323">
        <v>0.097</v>
      </c>
    </row>
    <row r="38" spans="1:7">
      <c r="A38" s="332" t="s">
        <v>251</v>
      </c>
      <c r="B38" s="321" t="s">
        <v>2337</v>
      </c>
      <c r="C38" s="322">
        <v>0.097</v>
      </c>
      <c r="D38" s="322">
        <v>0.077</v>
      </c>
      <c r="E38" s="322">
        <v>0.07</v>
      </c>
      <c r="F38" s="322">
        <v>0.1</v>
      </c>
      <c r="G38" s="323">
        <v>0.077</v>
      </c>
    </row>
    <row r="39" spans="1:7">
      <c r="A39" s="332" t="s">
        <v>251</v>
      </c>
      <c r="B39" s="321" t="s">
        <v>2347</v>
      </c>
      <c r="C39" s="322">
        <v>0.095</v>
      </c>
      <c r="D39" s="322">
        <v>0.077</v>
      </c>
      <c r="E39" s="322">
        <v>0.066</v>
      </c>
      <c r="F39" s="322">
        <v>0.1</v>
      </c>
      <c r="G39" s="323">
        <v>0.086</v>
      </c>
    </row>
    <row r="40" spans="1:7">
      <c r="A40" s="332" t="s">
        <v>251</v>
      </c>
      <c r="B40" s="321" t="s">
        <v>2357</v>
      </c>
      <c r="C40" s="322">
        <v>0.077</v>
      </c>
      <c r="D40" s="322">
        <v>0.078</v>
      </c>
      <c r="E40" s="322">
        <v>0.082</v>
      </c>
      <c r="F40" s="333"/>
      <c r="G40" s="323">
        <v>0.078</v>
      </c>
    </row>
    <row r="41" spans="1:7">
      <c r="A41" s="332" t="s">
        <v>251</v>
      </c>
      <c r="B41" s="321" t="s">
        <v>2367</v>
      </c>
      <c r="C41" s="322">
        <v>0.078</v>
      </c>
      <c r="D41" s="322">
        <v>0.078</v>
      </c>
      <c r="E41" s="322">
        <v>0.082</v>
      </c>
      <c r="F41" s="333"/>
      <c r="G41" s="323">
        <v>0.086</v>
      </c>
    </row>
    <row r="42" spans="1:7">
      <c r="A42" s="332" t="s">
        <v>251</v>
      </c>
      <c r="B42" s="321" t="s">
        <v>2377</v>
      </c>
      <c r="C42" s="322">
        <v>0.078</v>
      </c>
      <c r="D42" s="322">
        <v>0.096</v>
      </c>
      <c r="E42" s="322">
        <v>0.072</v>
      </c>
      <c r="F42" s="333"/>
      <c r="G42" s="323">
        <v>0.098</v>
      </c>
    </row>
    <row r="43" spans="1:7">
      <c r="A43" s="332" t="s">
        <v>251</v>
      </c>
      <c r="B43" s="321" t="s">
        <v>2387</v>
      </c>
      <c r="C43" s="322">
        <v>0.078</v>
      </c>
      <c r="D43" s="322">
        <v>0.099</v>
      </c>
      <c r="E43" s="322">
        <v>0.096</v>
      </c>
      <c r="F43" s="333"/>
      <c r="G43" s="323">
        <v>0.1</v>
      </c>
    </row>
    <row r="44" spans="1:7">
      <c r="A44" s="332" t="s">
        <v>251</v>
      </c>
      <c r="B44" s="321" t="s">
        <v>2397</v>
      </c>
      <c r="C44" s="322">
        <v>0.096</v>
      </c>
      <c r="D44" s="322">
        <v>0.1</v>
      </c>
      <c r="E44" s="322">
        <v>0.098</v>
      </c>
      <c r="F44" s="333"/>
      <c r="G44" s="323">
        <v>0.1</v>
      </c>
    </row>
    <row r="45" spans="1:7">
      <c r="A45" s="332" t="s">
        <v>251</v>
      </c>
      <c r="B45" s="321" t="s">
        <v>2407</v>
      </c>
      <c r="C45" s="322">
        <v>0.099</v>
      </c>
      <c r="D45" s="322">
        <v>0.098</v>
      </c>
      <c r="E45" s="322">
        <v>0.095</v>
      </c>
      <c r="F45" s="333"/>
      <c r="G45" s="323">
        <v>0.098</v>
      </c>
    </row>
    <row r="46" spans="1:7">
      <c r="A46" s="332" t="s">
        <v>251</v>
      </c>
      <c r="B46" s="321" t="s">
        <v>2417</v>
      </c>
      <c r="C46" s="322">
        <v>0.1</v>
      </c>
      <c r="D46" s="322">
        <v>0.099</v>
      </c>
      <c r="E46" s="322">
        <v>0.096</v>
      </c>
      <c r="F46" s="333"/>
      <c r="G46" s="323">
        <v>0.1</v>
      </c>
    </row>
    <row r="47" spans="1:7">
      <c r="A47" s="332" t="s">
        <v>251</v>
      </c>
      <c r="B47" s="321" t="s">
        <v>2427</v>
      </c>
      <c r="C47" s="322">
        <v>0.098</v>
      </c>
      <c r="D47" s="322">
        <v>0.087</v>
      </c>
      <c r="E47" s="322">
        <v>0.059</v>
      </c>
      <c r="F47" s="333"/>
      <c r="G47" s="323">
        <v>0.096</v>
      </c>
    </row>
    <row r="48" spans="1:7">
      <c r="A48" s="332" t="s">
        <v>251</v>
      </c>
      <c r="B48" s="321" t="s">
        <v>2437</v>
      </c>
      <c r="C48" s="322">
        <v>0.099</v>
      </c>
      <c r="D48" s="322">
        <v>0.098</v>
      </c>
      <c r="E48" s="322">
        <v>0.095</v>
      </c>
      <c r="F48" s="333"/>
      <c r="G48" s="323">
        <v>0.098</v>
      </c>
    </row>
    <row r="49" spans="1:7">
      <c r="A49" s="332" t="s">
        <v>251</v>
      </c>
      <c r="B49" s="321" t="s">
        <v>2447</v>
      </c>
      <c r="C49" s="322">
        <v>0.088</v>
      </c>
      <c r="D49" s="322">
        <v>0.099</v>
      </c>
      <c r="E49" s="322">
        <v>0.07</v>
      </c>
      <c r="F49" s="333"/>
      <c r="G49" s="323">
        <v>0.1</v>
      </c>
    </row>
    <row r="50" spans="1:7">
      <c r="A50" s="332" t="s">
        <v>251</v>
      </c>
      <c r="B50" s="321" t="s">
        <v>2456</v>
      </c>
      <c r="C50" s="322">
        <v>0.098</v>
      </c>
      <c r="D50" s="322">
        <v>0.073</v>
      </c>
      <c r="E50" s="322">
        <v>0.071</v>
      </c>
      <c r="F50" s="333"/>
      <c r="G50" s="323">
        <v>0.073</v>
      </c>
    </row>
    <row r="51" spans="1:7">
      <c r="A51" s="332" t="s">
        <v>251</v>
      </c>
      <c r="B51" s="321" t="s">
        <v>2464</v>
      </c>
      <c r="C51" s="322">
        <v>0.099</v>
      </c>
      <c r="D51" s="322">
        <v>0.085</v>
      </c>
      <c r="E51" s="322">
        <v>0.063</v>
      </c>
      <c r="F51" s="333"/>
      <c r="G51" s="323">
        <v>0.096</v>
      </c>
    </row>
    <row r="52" spans="1:7">
      <c r="A52" s="332" t="s">
        <v>251</v>
      </c>
      <c r="B52" s="321" t="s">
        <v>2472</v>
      </c>
      <c r="C52" s="322">
        <v>0.074</v>
      </c>
      <c r="D52" s="322">
        <v>0.096</v>
      </c>
      <c r="E52" s="322">
        <v>0.05</v>
      </c>
      <c r="F52" s="333"/>
      <c r="G52" s="323">
        <v>0.098</v>
      </c>
    </row>
    <row r="53" spans="1:7">
      <c r="A53" s="332" t="s">
        <v>251</v>
      </c>
      <c r="B53" s="321" t="s">
        <v>2480</v>
      </c>
      <c r="C53" s="322">
        <v>0.086</v>
      </c>
      <c r="D53" s="333"/>
      <c r="E53" s="322">
        <v>0.092</v>
      </c>
      <c r="F53" s="333"/>
      <c r="G53" s="334"/>
    </row>
    <row r="54" ht="14.75" spans="1:7">
      <c r="A54" s="335" t="s">
        <v>251</v>
      </c>
      <c r="B54" s="325" t="s">
        <v>2488</v>
      </c>
      <c r="C54" s="326">
        <v>0.096</v>
      </c>
      <c r="D54" s="327"/>
      <c r="E54" s="336"/>
      <c r="F54" s="327"/>
      <c r="G54" s="337"/>
    </row>
    <row r="55" spans="1:7">
      <c r="A55" s="331" t="s">
        <v>259</v>
      </c>
      <c r="B55" s="317" t="s">
        <v>2244</v>
      </c>
      <c r="C55" s="318">
        <v>0.096</v>
      </c>
      <c r="D55" s="318">
        <v>0.084</v>
      </c>
      <c r="E55" s="318">
        <v>0.092</v>
      </c>
      <c r="F55" s="318">
        <v>0.1</v>
      </c>
      <c r="G55" s="319">
        <v>0.095</v>
      </c>
    </row>
    <row r="56" spans="1:7">
      <c r="A56" s="332" t="s">
        <v>259</v>
      </c>
      <c r="B56" s="321" t="s">
        <v>2257</v>
      </c>
      <c r="C56" s="322">
        <v>0.084</v>
      </c>
      <c r="D56" s="322">
        <v>0.092</v>
      </c>
      <c r="E56" s="322">
        <v>0.095</v>
      </c>
      <c r="F56" s="322">
        <v>0.092</v>
      </c>
      <c r="G56" s="323">
        <v>0.096</v>
      </c>
    </row>
    <row r="57" spans="1:7">
      <c r="A57" s="332" t="s">
        <v>259</v>
      </c>
      <c r="B57" s="321" t="s">
        <v>2271</v>
      </c>
      <c r="C57" s="322">
        <v>0.099</v>
      </c>
      <c r="D57" s="322">
        <v>0.096</v>
      </c>
      <c r="E57" s="322">
        <v>0.092</v>
      </c>
      <c r="F57" s="322">
        <v>0.1</v>
      </c>
      <c r="G57" s="323">
        <v>0.098</v>
      </c>
    </row>
    <row r="58" spans="1:7">
      <c r="A58" s="332" t="s">
        <v>259</v>
      </c>
      <c r="B58" s="321" t="s">
        <v>2283</v>
      </c>
      <c r="C58" s="322">
        <v>0.098</v>
      </c>
      <c r="D58" s="322">
        <v>0.095</v>
      </c>
      <c r="E58" s="322">
        <v>0.057</v>
      </c>
      <c r="F58" s="322">
        <v>0.1</v>
      </c>
      <c r="G58" s="323">
        <v>0.096</v>
      </c>
    </row>
    <row r="59" spans="1:7">
      <c r="A59" s="332" t="s">
        <v>259</v>
      </c>
      <c r="B59" s="321" t="s">
        <v>2295</v>
      </c>
      <c r="C59" s="322">
        <v>0.095</v>
      </c>
      <c r="D59" s="322">
        <v>0.1</v>
      </c>
      <c r="E59" s="322">
        <v>0.075</v>
      </c>
      <c r="F59" s="322">
        <v>0.1</v>
      </c>
      <c r="G59" s="323">
        <v>0.1</v>
      </c>
    </row>
    <row r="60" spans="1:7">
      <c r="A60" s="332" t="s">
        <v>259</v>
      </c>
      <c r="B60" s="321" t="s">
        <v>2306</v>
      </c>
      <c r="C60" s="322">
        <v>0.1</v>
      </c>
      <c r="D60" s="322">
        <v>0.097</v>
      </c>
      <c r="E60" s="322">
        <v>0.1</v>
      </c>
      <c r="F60" s="322">
        <v>0.1</v>
      </c>
      <c r="G60" s="323">
        <v>0.097</v>
      </c>
    </row>
    <row r="61" spans="1:7">
      <c r="A61" s="332" t="s">
        <v>259</v>
      </c>
      <c r="B61" s="321" t="s">
        <v>2317</v>
      </c>
      <c r="C61" s="322">
        <v>0.097</v>
      </c>
      <c r="D61" s="322">
        <v>0.1</v>
      </c>
      <c r="E61" s="322">
        <v>0.093</v>
      </c>
      <c r="F61" s="322">
        <v>0.1</v>
      </c>
      <c r="G61" s="323">
        <v>0.1</v>
      </c>
    </row>
    <row r="62" spans="1:7">
      <c r="A62" s="332" t="s">
        <v>259</v>
      </c>
      <c r="B62" s="321" t="s">
        <v>2328</v>
      </c>
      <c r="C62" s="322">
        <v>0.1</v>
      </c>
      <c r="D62" s="322">
        <v>0.097</v>
      </c>
      <c r="E62" s="322">
        <v>0.089</v>
      </c>
      <c r="F62" s="322">
        <v>0.1</v>
      </c>
      <c r="G62" s="323">
        <v>0.098</v>
      </c>
    </row>
    <row r="63" spans="1:7">
      <c r="A63" s="332" t="s">
        <v>259</v>
      </c>
      <c r="B63" s="321" t="s">
        <v>2338</v>
      </c>
      <c r="C63" s="322">
        <v>0.097</v>
      </c>
      <c r="D63" s="322">
        <v>0.097</v>
      </c>
      <c r="E63" s="322">
        <v>0.099</v>
      </c>
      <c r="F63" s="322">
        <v>0.1</v>
      </c>
      <c r="G63" s="323">
        <v>0.097</v>
      </c>
    </row>
    <row r="64" spans="1:7">
      <c r="A64" s="332" t="s">
        <v>259</v>
      </c>
      <c r="B64" s="321" t="s">
        <v>2348</v>
      </c>
      <c r="C64" s="322">
        <v>0.097</v>
      </c>
      <c r="D64" s="322">
        <v>0.074</v>
      </c>
      <c r="E64" s="322">
        <v>0.078</v>
      </c>
      <c r="F64" s="322">
        <v>0.1</v>
      </c>
      <c r="G64" s="323">
        <v>0.089</v>
      </c>
    </row>
    <row r="65" spans="1:7">
      <c r="A65" s="332" t="s">
        <v>259</v>
      </c>
      <c r="B65" s="321" t="s">
        <v>2358</v>
      </c>
      <c r="C65" s="322">
        <v>0.073</v>
      </c>
      <c r="D65" s="322">
        <v>0.098</v>
      </c>
      <c r="E65" s="322">
        <v>0.095</v>
      </c>
      <c r="F65" s="322">
        <v>0.1</v>
      </c>
      <c r="G65" s="323">
        <v>0.099</v>
      </c>
    </row>
    <row r="66" spans="1:7">
      <c r="A66" s="332" t="s">
        <v>259</v>
      </c>
      <c r="B66" s="321" t="s">
        <v>2368</v>
      </c>
      <c r="C66" s="322">
        <v>0.098</v>
      </c>
      <c r="D66" s="322">
        <v>0.095</v>
      </c>
      <c r="E66" s="322">
        <v>0.05</v>
      </c>
      <c r="F66" s="322">
        <v>0.1</v>
      </c>
      <c r="G66" s="323">
        <v>0.097</v>
      </c>
    </row>
    <row r="67" spans="1:7">
      <c r="A67" s="332" t="s">
        <v>259</v>
      </c>
      <c r="B67" s="321" t="s">
        <v>2378</v>
      </c>
      <c r="C67" s="322">
        <v>0.095</v>
      </c>
      <c r="D67" s="322">
        <v>0.097</v>
      </c>
      <c r="E67" s="322">
        <v>0.097</v>
      </c>
      <c r="F67" s="322">
        <v>0.1</v>
      </c>
      <c r="G67" s="323">
        <v>0.099</v>
      </c>
    </row>
    <row r="68" spans="1:7">
      <c r="A68" s="332" t="s">
        <v>259</v>
      </c>
      <c r="B68" s="321" t="s">
        <v>2388</v>
      </c>
      <c r="C68" s="322">
        <v>0.097</v>
      </c>
      <c r="D68" s="322">
        <v>0.068</v>
      </c>
      <c r="E68" s="322">
        <v>0.066</v>
      </c>
      <c r="F68" s="322">
        <v>0.1</v>
      </c>
      <c r="G68" s="323">
        <v>0.084</v>
      </c>
    </row>
    <row r="69" spans="1:7">
      <c r="A69" s="332" t="s">
        <v>259</v>
      </c>
      <c r="B69" s="321" t="s">
        <v>2398</v>
      </c>
      <c r="C69" s="322">
        <v>0.068</v>
      </c>
      <c r="D69" s="322">
        <v>0.098</v>
      </c>
      <c r="E69" s="322">
        <v>0.095</v>
      </c>
      <c r="F69" s="322">
        <v>0.1</v>
      </c>
      <c r="G69" s="323">
        <v>0.1</v>
      </c>
    </row>
    <row r="70" spans="1:7">
      <c r="A70" s="332" t="s">
        <v>259</v>
      </c>
      <c r="B70" s="321" t="s">
        <v>2408</v>
      </c>
      <c r="C70" s="322">
        <v>0.098</v>
      </c>
      <c r="D70" s="322">
        <v>0.089</v>
      </c>
      <c r="E70" s="322">
        <v>0.059</v>
      </c>
      <c r="F70" s="322">
        <v>0.1</v>
      </c>
      <c r="G70" s="323">
        <v>0.096</v>
      </c>
    </row>
    <row r="71" spans="1:7">
      <c r="A71" s="332" t="s">
        <v>259</v>
      </c>
      <c r="B71" s="321" t="s">
        <v>2418</v>
      </c>
      <c r="C71" s="322">
        <v>0.089</v>
      </c>
      <c r="D71" s="322">
        <v>0.099</v>
      </c>
      <c r="E71" s="322">
        <v>0.096</v>
      </c>
      <c r="F71" s="322">
        <v>0.1</v>
      </c>
      <c r="G71" s="323">
        <v>0.1</v>
      </c>
    </row>
    <row r="72" spans="1:7">
      <c r="A72" s="332" t="s">
        <v>259</v>
      </c>
      <c r="B72" s="321" t="s">
        <v>2428</v>
      </c>
      <c r="C72" s="322">
        <v>0.099</v>
      </c>
      <c r="D72" s="322">
        <v>0.1</v>
      </c>
      <c r="E72" s="322">
        <v>0.07</v>
      </c>
      <c r="F72" s="333"/>
      <c r="G72" s="323">
        <v>0.1</v>
      </c>
    </row>
    <row r="73" spans="1:7">
      <c r="A73" s="332" t="s">
        <v>259</v>
      </c>
      <c r="B73" s="321" t="s">
        <v>2438</v>
      </c>
      <c r="C73" s="322">
        <v>0.1</v>
      </c>
      <c r="D73" s="322">
        <v>0.1</v>
      </c>
      <c r="E73" s="322">
        <v>0.096</v>
      </c>
      <c r="F73" s="333"/>
      <c r="G73" s="323">
        <v>0.1</v>
      </c>
    </row>
    <row r="74" spans="1:7">
      <c r="A74" s="332" t="s">
        <v>259</v>
      </c>
      <c r="B74" s="321" t="s">
        <v>2448</v>
      </c>
      <c r="C74" s="322">
        <v>0.1</v>
      </c>
      <c r="D74" s="322">
        <v>0.1</v>
      </c>
      <c r="E74" s="322">
        <v>0.098</v>
      </c>
      <c r="F74" s="333"/>
      <c r="G74" s="323">
        <v>0.1</v>
      </c>
    </row>
    <row r="75" spans="1:7">
      <c r="A75" s="332" t="s">
        <v>259</v>
      </c>
      <c r="B75" s="321" t="s">
        <v>2457</v>
      </c>
      <c r="C75" s="322">
        <v>0.1</v>
      </c>
      <c r="D75" s="322">
        <v>0.099</v>
      </c>
      <c r="E75" s="322">
        <v>0.098</v>
      </c>
      <c r="F75" s="333"/>
      <c r="G75" s="323">
        <v>0.1</v>
      </c>
    </row>
    <row r="76" spans="1:7">
      <c r="A76" s="332" t="s">
        <v>259</v>
      </c>
      <c r="B76" s="321" t="s">
        <v>2465</v>
      </c>
      <c r="C76" s="322">
        <v>0.099</v>
      </c>
      <c r="D76" s="322">
        <v>0.1</v>
      </c>
      <c r="E76" s="322">
        <v>0.097</v>
      </c>
      <c r="F76" s="333"/>
      <c r="G76" s="323">
        <v>0.1</v>
      </c>
    </row>
    <row r="77" spans="1:7">
      <c r="A77" s="332" t="s">
        <v>259</v>
      </c>
      <c r="B77" s="321" t="s">
        <v>2473</v>
      </c>
      <c r="C77" s="322">
        <v>0.1</v>
      </c>
      <c r="D77" s="322">
        <v>0.1</v>
      </c>
      <c r="E77" s="322">
        <v>0.096</v>
      </c>
      <c r="F77" s="333"/>
      <c r="G77" s="323">
        <v>0.1</v>
      </c>
    </row>
    <row r="78" spans="1:7">
      <c r="A78" s="332" t="s">
        <v>259</v>
      </c>
      <c r="B78" s="321" t="s">
        <v>2481</v>
      </c>
      <c r="C78" s="322">
        <v>0.1</v>
      </c>
      <c r="D78" s="322">
        <v>0.085</v>
      </c>
      <c r="E78" s="322">
        <v>0.096</v>
      </c>
      <c r="F78" s="333"/>
      <c r="G78" s="323">
        <v>0.096</v>
      </c>
    </row>
    <row r="79" spans="1:7">
      <c r="A79" s="332" t="s">
        <v>259</v>
      </c>
      <c r="B79" s="321" t="s">
        <v>2489</v>
      </c>
      <c r="C79" s="322">
        <v>0.05</v>
      </c>
      <c r="D79" s="322">
        <v>0.096</v>
      </c>
      <c r="E79" s="322">
        <v>0.095</v>
      </c>
      <c r="F79" s="333"/>
      <c r="G79" s="323">
        <v>0.098</v>
      </c>
    </row>
    <row r="80" spans="1:7">
      <c r="A80" s="332" t="s">
        <v>259</v>
      </c>
      <c r="B80" s="321" t="s">
        <v>2496</v>
      </c>
      <c r="C80" s="322">
        <v>0.086</v>
      </c>
      <c r="D80" s="338"/>
      <c r="E80" s="322">
        <v>0.1</v>
      </c>
      <c r="F80" s="333"/>
      <c r="G80" s="334"/>
    </row>
    <row r="81" spans="1:7">
      <c r="A81" s="332" t="s">
        <v>259</v>
      </c>
      <c r="B81" s="321" t="s">
        <v>2503</v>
      </c>
      <c r="C81" s="322">
        <v>0.096</v>
      </c>
      <c r="D81" s="333"/>
      <c r="E81" s="322">
        <v>0.098</v>
      </c>
      <c r="F81" s="333"/>
      <c r="G81" s="334"/>
    </row>
    <row r="82" spans="1:7">
      <c r="A82" s="332" t="s">
        <v>259</v>
      </c>
      <c r="B82" s="321" t="s">
        <v>2510</v>
      </c>
      <c r="C82" s="338"/>
      <c r="D82" s="333"/>
      <c r="E82" s="322">
        <v>0.077</v>
      </c>
      <c r="F82" s="333"/>
      <c r="G82" s="334"/>
    </row>
    <row r="83" spans="1:7">
      <c r="A83" s="332" t="s">
        <v>259</v>
      </c>
      <c r="B83" s="321" t="s">
        <v>500</v>
      </c>
      <c r="C83" s="333"/>
      <c r="D83" s="333"/>
      <c r="E83" s="333"/>
      <c r="F83" s="322">
        <v>0.1</v>
      </c>
      <c r="G83" s="339"/>
    </row>
    <row r="84" spans="1:7">
      <c r="A84" s="332" t="s">
        <v>259</v>
      </c>
      <c r="B84" s="321" t="s">
        <v>2523</v>
      </c>
      <c r="C84" s="333"/>
      <c r="D84" s="333"/>
      <c r="E84" s="333"/>
      <c r="F84" s="322">
        <v>0.1</v>
      </c>
      <c r="G84" s="339"/>
    </row>
    <row r="85" spans="1:7">
      <c r="A85" s="332" t="s">
        <v>259</v>
      </c>
      <c r="B85" s="321" t="s">
        <v>2530</v>
      </c>
      <c r="C85" s="333"/>
      <c r="D85" s="333"/>
      <c r="E85" s="333"/>
      <c r="F85" s="322">
        <v>0.1</v>
      </c>
      <c r="G85" s="339"/>
    </row>
    <row r="86" ht="14.75" spans="1:7">
      <c r="A86" s="335" t="s">
        <v>259</v>
      </c>
      <c r="B86" s="325" t="s">
        <v>2537</v>
      </c>
      <c r="C86" s="326">
        <v>0.098</v>
      </c>
      <c r="D86" s="326">
        <v>0.098</v>
      </c>
      <c r="E86" s="326">
        <v>0.096</v>
      </c>
      <c r="F86" s="336"/>
      <c r="G86" s="328">
        <v>0.1</v>
      </c>
    </row>
    <row r="87" spans="1:7">
      <c r="A87" s="331" t="s">
        <v>267</v>
      </c>
      <c r="B87" s="317" t="s">
        <v>2245</v>
      </c>
      <c r="C87" s="318">
        <v>0.1</v>
      </c>
      <c r="D87" s="318">
        <v>0.1</v>
      </c>
      <c r="E87" s="318">
        <v>0.098</v>
      </c>
      <c r="F87" s="318">
        <v>0.1</v>
      </c>
      <c r="G87" s="319">
        <v>0.1</v>
      </c>
    </row>
    <row r="88" spans="1:7">
      <c r="A88" s="332" t="s">
        <v>267</v>
      </c>
      <c r="B88" s="321" t="s">
        <v>2258</v>
      </c>
      <c r="C88" s="322">
        <v>0.091</v>
      </c>
      <c r="D88" s="322">
        <v>0.092</v>
      </c>
      <c r="E88" s="322">
        <v>0.1</v>
      </c>
      <c r="F88" s="322">
        <v>0.1</v>
      </c>
      <c r="G88" s="323">
        <v>0.096</v>
      </c>
    </row>
    <row r="89" spans="1:7">
      <c r="A89" s="332" t="s">
        <v>267</v>
      </c>
      <c r="B89" s="321" t="s">
        <v>2272</v>
      </c>
      <c r="C89" s="322">
        <v>0.1</v>
      </c>
      <c r="D89" s="322">
        <v>0.1</v>
      </c>
      <c r="E89" s="322">
        <v>0.067</v>
      </c>
      <c r="F89" s="322">
        <v>0.093</v>
      </c>
      <c r="G89" s="323">
        <v>0.1</v>
      </c>
    </row>
    <row r="90" spans="1:7">
      <c r="A90" s="332" t="s">
        <v>267</v>
      </c>
      <c r="B90" s="321" t="s">
        <v>2284</v>
      </c>
      <c r="C90" s="322">
        <v>0.096</v>
      </c>
      <c r="D90" s="322">
        <v>0.096</v>
      </c>
      <c r="E90" s="322">
        <v>0.1</v>
      </c>
      <c r="F90" s="322">
        <v>0.1</v>
      </c>
      <c r="G90" s="323">
        <v>0.098</v>
      </c>
    </row>
    <row r="91" spans="1:7">
      <c r="A91" s="332" t="s">
        <v>267</v>
      </c>
      <c r="B91" s="321" t="s">
        <v>2296</v>
      </c>
      <c r="C91" s="322">
        <v>0.077</v>
      </c>
      <c r="D91" s="322">
        <v>0.077</v>
      </c>
      <c r="E91" s="322">
        <v>0.096</v>
      </c>
      <c r="F91" s="322">
        <v>0.1</v>
      </c>
      <c r="G91" s="323">
        <v>0.077</v>
      </c>
    </row>
    <row r="92" spans="1:7">
      <c r="A92" s="332" t="s">
        <v>267</v>
      </c>
      <c r="B92" s="321" t="s">
        <v>2307</v>
      </c>
      <c r="C92" s="322">
        <v>0.1</v>
      </c>
      <c r="D92" s="322">
        <v>0.1</v>
      </c>
      <c r="E92" s="322">
        <v>0.092</v>
      </c>
      <c r="F92" s="322">
        <v>0.1</v>
      </c>
      <c r="G92" s="323">
        <v>0.1</v>
      </c>
    </row>
    <row r="93" spans="1:7">
      <c r="A93" s="332" t="s">
        <v>267</v>
      </c>
      <c r="B93" s="321" t="s">
        <v>2318</v>
      </c>
      <c r="C93" s="322">
        <v>0.098</v>
      </c>
      <c r="D93" s="322">
        <v>0.098</v>
      </c>
      <c r="E93" s="322">
        <v>0.096</v>
      </c>
      <c r="F93" s="322">
        <v>0.1</v>
      </c>
      <c r="G93" s="323">
        <v>0.099</v>
      </c>
    </row>
    <row r="94" spans="1:7">
      <c r="A94" s="332" t="s">
        <v>267</v>
      </c>
      <c r="B94" s="321" t="s">
        <v>2329</v>
      </c>
      <c r="C94" s="322">
        <v>0.088</v>
      </c>
      <c r="D94" s="322">
        <v>0.088</v>
      </c>
      <c r="E94" s="322">
        <v>0.096</v>
      </c>
      <c r="F94" s="322">
        <v>0.1</v>
      </c>
      <c r="G94" s="323">
        <v>0.088</v>
      </c>
    </row>
    <row r="95" spans="1:7">
      <c r="A95" s="332" t="s">
        <v>267</v>
      </c>
      <c r="B95" s="321" t="s">
        <v>2339</v>
      </c>
      <c r="C95" s="322">
        <v>0.096</v>
      </c>
      <c r="D95" s="322">
        <v>0.096</v>
      </c>
      <c r="E95" s="322">
        <v>0.1</v>
      </c>
      <c r="F95" s="322">
        <v>0.1</v>
      </c>
      <c r="G95" s="323">
        <v>0.098</v>
      </c>
    </row>
    <row r="96" spans="1:7">
      <c r="A96" s="332" t="s">
        <v>267</v>
      </c>
      <c r="B96" s="321" t="s">
        <v>2349</v>
      </c>
      <c r="C96" s="322">
        <v>0.097</v>
      </c>
      <c r="D96" s="322">
        <v>0.097</v>
      </c>
      <c r="E96" s="322">
        <v>0.1</v>
      </c>
      <c r="F96" s="322">
        <v>0.1</v>
      </c>
      <c r="G96" s="323">
        <v>0.098</v>
      </c>
    </row>
    <row r="97" spans="1:7">
      <c r="A97" s="332" t="s">
        <v>267</v>
      </c>
      <c r="B97" s="321" t="s">
        <v>2359</v>
      </c>
      <c r="C97" s="322">
        <v>0.096</v>
      </c>
      <c r="D97" s="322">
        <v>0.096</v>
      </c>
      <c r="E97" s="322">
        <v>0.099</v>
      </c>
      <c r="F97" s="322">
        <v>0.1</v>
      </c>
      <c r="G97" s="323">
        <v>0.098</v>
      </c>
    </row>
    <row r="98" spans="1:7">
      <c r="A98" s="332" t="s">
        <v>267</v>
      </c>
      <c r="B98" s="321" t="s">
        <v>2369</v>
      </c>
      <c r="C98" s="322">
        <v>0.098</v>
      </c>
      <c r="D98" s="322">
        <v>0.098</v>
      </c>
      <c r="E98" s="322">
        <v>0.1</v>
      </c>
      <c r="F98" s="322">
        <v>0.1</v>
      </c>
      <c r="G98" s="323">
        <v>0.099</v>
      </c>
    </row>
    <row r="99" spans="1:7">
      <c r="A99" s="332" t="s">
        <v>267</v>
      </c>
      <c r="B99" s="321" t="s">
        <v>2379</v>
      </c>
      <c r="C99" s="322">
        <v>0.096</v>
      </c>
      <c r="D99" s="322">
        <v>0.096</v>
      </c>
      <c r="E99" s="322">
        <v>0.1</v>
      </c>
      <c r="F99" s="322">
        <v>0.1</v>
      </c>
      <c r="G99" s="323">
        <v>0.097</v>
      </c>
    </row>
    <row r="100" spans="1:7">
      <c r="A100" s="332" t="s">
        <v>267</v>
      </c>
      <c r="B100" s="321" t="s">
        <v>2389</v>
      </c>
      <c r="C100" s="322">
        <v>0.1</v>
      </c>
      <c r="D100" s="322">
        <v>0.1</v>
      </c>
      <c r="E100" s="322">
        <v>0.097</v>
      </c>
      <c r="F100" s="322">
        <v>0.098</v>
      </c>
      <c r="G100" s="323">
        <v>0.1</v>
      </c>
    </row>
    <row r="101" spans="1:7">
      <c r="A101" s="332" t="s">
        <v>267</v>
      </c>
      <c r="B101" s="321" t="s">
        <v>2399</v>
      </c>
      <c r="C101" s="322">
        <v>0.1</v>
      </c>
      <c r="D101" s="322">
        <v>0.1</v>
      </c>
      <c r="E101" s="322">
        <v>0.095</v>
      </c>
      <c r="F101" s="322">
        <v>0.1</v>
      </c>
      <c r="G101" s="323">
        <v>0.1</v>
      </c>
    </row>
    <row r="102" spans="1:7">
      <c r="A102" s="332" t="s">
        <v>267</v>
      </c>
      <c r="B102" s="321" t="s">
        <v>2409</v>
      </c>
      <c r="C102" s="322">
        <v>0.1</v>
      </c>
      <c r="D102" s="322">
        <v>0.1</v>
      </c>
      <c r="E102" s="322">
        <v>0.099</v>
      </c>
      <c r="F102" s="322">
        <v>0.097</v>
      </c>
      <c r="G102" s="323">
        <v>0.1</v>
      </c>
    </row>
    <row r="103" spans="1:7">
      <c r="A103" s="332" t="s">
        <v>267</v>
      </c>
      <c r="B103" s="321" t="s">
        <v>2419</v>
      </c>
      <c r="C103" s="322">
        <v>0.1</v>
      </c>
      <c r="D103" s="322">
        <v>0.1</v>
      </c>
      <c r="E103" s="322">
        <v>0.098</v>
      </c>
      <c r="F103" s="322">
        <v>0.1</v>
      </c>
      <c r="G103" s="323">
        <v>0.1</v>
      </c>
    </row>
    <row r="104" spans="1:7">
      <c r="A104" s="332" t="s">
        <v>267</v>
      </c>
      <c r="B104" s="321" t="s">
        <v>2429</v>
      </c>
      <c r="C104" s="322">
        <v>0.1</v>
      </c>
      <c r="D104" s="322">
        <v>0.1</v>
      </c>
      <c r="E104" s="322">
        <v>0.098</v>
      </c>
      <c r="F104" s="322">
        <v>0.1</v>
      </c>
      <c r="G104" s="323">
        <v>0.1</v>
      </c>
    </row>
    <row r="105" spans="1:7">
      <c r="A105" s="332" t="s">
        <v>267</v>
      </c>
      <c r="B105" s="321" t="s">
        <v>2439</v>
      </c>
      <c r="C105" s="322">
        <v>0.098</v>
      </c>
      <c r="D105" s="322">
        <v>0.098</v>
      </c>
      <c r="E105" s="322">
        <v>0.098</v>
      </c>
      <c r="F105" s="322">
        <v>0.1</v>
      </c>
      <c r="G105" s="323">
        <v>0.099</v>
      </c>
    </row>
    <row r="106" spans="1:7">
      <c r="A106" s="332" t="s">
        <v>267</v>
      </c>
      <c r="B106" s="321" t="s">
        <v>2449</v>
      </c>
      <c r="C106" s="322">
        <v>0.097</v>
      </c>
      <c r="D106" s="322">
        <v>0.097</v>
      </c>
      <c r="E106" s="322">
        <v>0.097</v>
      </c>
      <c r="F106" s="322">
        <v>0.1</v>
      </c>
      <c r="G106" s="323">
        <v>0.099</v>
      </c>
    </row>
    <row r="107" spans="1:7">
      <c r="A107" s="332" t="s">
        <v>267</v>
      </c>
      <c r="B107" s="321" t="s">
        <v>2458</v>
      </c>
      <c r="C107" s="322">
        <v>0.1</v>
      </c>
      <c r="D107" s="322">
        <v>0.1</v>
      </c>
      <c r="E107" s="322">
        <v>0.086</v>
      </c>
      <c r="F107" s="322">
        <v>0.09</v>
      </c>
      <c r="G107" s="323">
        <v>0.1</v>
      </c>
    </row>
    <row r="108" spans="1:7">
      <c r="A108" s="332" t="s">
        <v>267</v>
      </c>
      <c r="B108" s="321" t="s">
        <v>2466</v>
      </c>
      <c r="C108" s="322">
        <v>0.1</v>
      </c>
      <c r="D108" s="322">
        <v>0.1</v>
      </c>
      <c r="E108" s="322">
        <v>0.096</v>
      </c>
      <c r="F108" s="333"/>
      <c r="G108" s="323">
        <v>0.1</v>
      </c>
    </row>
    <row r="109" spans="1:7">
      <c r="A109" s="332" t="s">
        <v>267</v>
      </c>
      <c r="B109" s="321" t="s">
        <v>2474</v>
      </c>
      <c r="C109" s="322">
        <v>0.1</v>
      </c>
      <c r="D109" s="322">
        <v>0.1</v>
      </c>
      <c r="E109" s="322">
        <v>0.1</v>
      </c>
      <c r="F109" s="333"/>
      <c r="G109" s="323">
        <v>0.1</v>
      </c>
    </row>
    <row r="110" spans="1:7">
      <c r="A110" s="332" t="s">
        <v>267</v>
      </c>
      <c r="B110" s="321" t="s">
        <v>2482</v>
      </c>
      <c r="C110" s="322">
        <v>0.1</v>
      </c>
      <c r="D110" s="322">
        <v>0.1</v>
      </c>
      <c r="E110" s="322">
        <v>0.1</v>
      </c>
      <c r="F110" s="333"/>
      <c r="G110" s="323">
        <v>0.1</v>
      </c>
    </row>
    <row r="111" spans="1:7">
      <c r="A111" s="332" t="s">
        <v>267</v>
      </c>
      <c r="B111" s="321" t="s">
        <v>2490</v>
      </c>
      <c r="C111" s="322">
        <v>0.1</v>
      </c>
      <c r="D111" s="322">
        <v>0.1</v>
      </c>
      <c r="E111" s="322">
        <v>0.095</v>
      </c>
      <c r="F111" s="333"/>
      <c r="G111" s="323">
        <v>0.1</v>
      </c>
    </row>
    <row r="112" spans="1:7">
      <c r="A112" s="332" t="s">
        <v>267</v>
      </c>
      <c r="B112" s="321" t="s">
        <v>2497</v>
      </c>
      <c r="C112" s="322">
        <v>0.097</v>
      </c>
      <c r="D112" s="322">
        <v>0.097</v>
      </c>
      <c r="E112" s="322">
        <v>0.05</v>
      </c>
      <c r="F112" s="333"/>
      <c r="G112" s="323">
        <v>0.098</v>
      </c>
    </row>
    <row r="113" spans="1:7">
      <c r="A113" s="332" t="s">
        <v>267</v>
      </c>
      <c r="B113" s="321" t="s">
        <v>2504</v>
      </c>
      <c r="C113" s="322">
        <v>0.1</v>
      </c>
      <c r="D113" s="322">
        <v>0.1</v>
      </c>
      <c r="E113" s="333"/>
      <c r="F113" s="333"/>
      <c r="G113" s="323">
        <v>0.1</v>
      </c>
    </row>
    <row r="114" spans="1:7">
      <c r="A114" s="332" t="s">
        <v>267</v>
      </c>
      <c r="B114" s="321" t="s">
        <v>2511</v>
      </c>
      <c r="C114" s="322">
        <v>0.097</v>
      </c>
      <c r="D114" s="322">
        <v>0.097</v>
      </c>
      <c r="E114" s="333"/>
      <c r="F114" s="333"/>
      <c r="G114" s="323">
        <v>0.099</v>
      </c>
    </row>
    <row r="115" spans="1:7">
      <c r="A115" s="332" t="s">
        <v>267</v>
      </c>
      <c r="B115" s="321" t="s">
        <v>2517</v>
      </c>
      <c r="C115" s="322">
        <v>0.1</v>
      </c>
      <c r="D115" s="322">
        <v>0.1</v>
      </c>
      <c r="E115" s="333"/>
      <c r="F115" s="333"/>
      <c r="G115" s="323">
        <v>0.1</v>
      </c>
    </row>
    <row r="116" spans="1:7">
      <c r="A116" s="332" t="s">
        <v>267</v>
      </c>
      <c r="B116" s="321" t="s">
        <v>2524</v>
      </c>
      <c r="C116" s="322">
        <v>0.1</v>
      </c>
      <c r="D116" s="322">
        <v>0.1</v>
      </c>
      <c r="E116" s="333"/>
      <c r="F116" s="333"/>
      <c r="G116" s="323">
        <v>0.1</v>
      </c>
    </row>
    <row r="117" spans="1:7">
      <c r="A117" s="332" t="s">
        <v>267</v>
      </c>
      <c r="B117" s="321" t="s">
        <v>2531</v>
      </c>
      <c r="C117" s="322">
        <v>0.097</v>
      </c>
      <c r="D117" s="322">
        <v>0.097</v>
      </c>
      <c r="E117" s="333"/>
      <c r="F117" s="333"/>
      <c r="G117" s="323">
        <v>0.097</v>
      </c>
    </row>
    <row r="118" spans="1:7">
      <c r="A118" s="332" t="s">
        <v>267</v>
      </c>
      <c r="B118" s="321" t="s">
        <v>2538</v>
      </c>
      <c r="C118" s="322">
        <v>0.1</v>
      </c>
      <c r="D118" s="322">
        <v>0.1</v>
      </c>
      <c r="E118" s="333"/>
      <c r="F118" s="333"/>
      <c r="G118" s="323">
        <v>0.1</v>
      </c>
    </row>
    <row r="119" spans="1:7">
      <c r="A119" s="332" t="s">
        <v>267</v>
      </c>
      <c r="B119" s="321" t="s">
        <v>2543</v>
      </c>
      <c r="C119" s="322">
        <v>0.051</v>
      </c>
      <c r="D119" s="322">
        <v>0.052</v>
      </c>
      <c r="E119" s="333"/>
      <c r="F119" s="338"/>
      <c r="G119" s="323">
        <v>0.06</v>
      </c>
    </row>
    <row r="120" spans="1:7">
      <c r="A120" s="332" t="s">
        <v>267</v>
      </c>
      <c r="B120" s="321" t="s">
        <v>2548</v>
      </c>
      <c r="C120" s="333"/>
      <c r="D120" s="333"/>
      <c r="E120" s="333"/>
      <c r="F120" s="322">
        <v>0.1</v>
      </c>
      <c r="G120" s="339"/>
    </row>
    <row r="121" spans="1:7">
      <c r="A121" s="332" t="s">
        <v>267</v>
      </c>
      <c r="B121" s="321" t="s">
        <v>2553</v>
      </c>
      <c r="C121" s="333"/>
      <c r="D121" s="333"/>
      <c r="E121" s="333"/>
      <c r="F121" s="322">
        <v>0.1</v>
      </c>
      <c r="G121" s="339"/>
    </row>
    <row r="122" spans="1:7">
      <c r="A122" s="332" t="s">
        <v>267</v>
      </c>
      <c r="B122" s="321" t="s">
        <v>2558</v>
      </c>
      <c r="C122" s="322">
        <v>0.1</v>
      </c>
      <c r="D122" s="322">
        <v>0.1</v>
      </c>
      <c r="E122" s="322">
        <v>0.098</v>
      </c>
      <c r="F122" s="322">
        <v>0.1</v>
      </c>
      <c r="G122" s="323">
        <v>0.1</v>
      </c>
    </row>
    <row r="123" spans="1:7">
      <c r="A123" s="332" t="s">
        <v>267</v>
      </c>
      <c r="B123" s="321" t="s">
        <v>2563</v>
      </c>
      <c r="C123" s="322">
        <v>0.1</v>
      </c>
      <c r="D123" s="322">
        <v>0.1</v>
      </c>
      <c r="E123" s="322">
        <v>0.098</v>
      </c>
      <c r="F123" s="322">
        <v>0.1</v>
      </c>
      <c r="G123" s="323">
        <v>0.1</v>
      </c>
    </row>
    <row r="124" spans="1:7">
      <c r="A124" s="332" t="s">
        <v>267</v>
      </c>
      <c r="B124" s="321" t="s">
        <v>2568</v>
      </c>
      <c r="C124" s="322">
        <v>0.1</v>
      </c>
      <c r="D124" s="322">
        <v>0.1</v>
      </c>
      <c r="E124" s="322">
        <v>0.098</v>
      </c>
      <c r="F124" s="338"/>
      <c r="G124" s="323">
        <v>0.1</v>
      </c>
    </row>
    <row r="125" spans="1:7">
      <c r="A125" s="332" t="s">
        <v>267</v>
      </c>
      <c r="B125" s="321" t="s">
        <v>2573</v>
      </c>
      <c r="C125" s="322">
        <v>0.098</v>
      </c>
      <c r="D125" s="322">
        <v>0.098</v>
      </c>
      <c r="E125" s="322">
        <v>0.096</v>
      </c>
      <c r="F125" s="338"/>
      <c r="G125" s="323">
        <v>0.1</v>
      </c>
    </row>
    <row r="126" ht="14.75" spans="1:7">
      <c r="A126" s="335" t="s">
        <v>267</v>
      </c>
      <c r="B126" s="325" t="s">
        <v>2578</v>
      </c>
      <c r="C126" s="326">
        <v>0.1</v>
      </c>
      <c r="D126" s="326">
        <v>0.1</v>
      </c>
      <c r="E126" s="326">
        <v>0.098</v>
      </c>
      <c r="F126" s="326">
        <v>0.1</v>
      </c>
      <c r="G126" s="328">
        <v>0.1</v>
      </c>
    </row>
    <row r="127" spans="1:7">
      <c r="A127" s="331" t="s">
        <v>273</v>
      </c>
      <c r="B127" s="317" t="s">
        <v>2246</v>
      </c>
      <c r="C127" s="318">
        <v>0.121</v>
      </c>
      <c r="D127" s="318">
        <v>0.121</v>
      </c>
      <c r="E127" s="318">
        <v>0.107</v>
      </c>
      <c r="F127" s="318">
        <v>0.13</v>
      </c>
      <c r="G127" s="319">
        <v>0.122</v>
      </c>
    </row>
    <row r="128" spans="1:7">
      <c r="A128" s="332" t="s">
        <v>273</v>
      </c>
      <c r="B128" s="321" t="s">
        <v>2259</v>
      </c>
      <c r="C128" s="322">
        <v>0.116</v>
      </c>
      <c r="D128" s="322">
        <v>0.117</v>
      </c>
      <c r="E128" s="322">
        <v>0.104</v>
      </c>
      <c r="F128" s="322">
        <v>0.13</v>
      </c>
      <c r="G128" s="323">
        <v>0.117</v>
      </c>
    </row>
    <row r="129" spans="1:7">
      <c r="A129" s="332" t="s">
        <v>273</v>
      </c>
      <c r="B129" s="321" t="s">
        <v>2273</v>
      </c>
      <c r="C129" s="322">
        <v>0.107</v>
      </c>
      <c r="D129" s="322">
        <v>0.108</v>
      </c>
      <c r="E129" s="322">
        <v>0.1</v>
      </c>
      <c r="F129" s="322">
        <v>0.13</v>
      </c>
      <c r="G129" s="323">
        <v>0.117</v>
      </c>
    </row>
    <row r="130" spans="1:7">
      <c r="A130" s="332" t="s">
        <v>273</v>
      </c>
      <c r="B130" s="321" t="s">
        <v>2285</v>
      </c>
      <c r="C130" s="322">
        <v>0.13</v>
      </c>
      <c r="D130" s="322">
        <v>0.13</v>
      </c>
      <c r="E130" s="322">
        <v>0.126</v>
      </c>
      <c r="F130" s="322">
        <v>0.13</v>
      </c>
      <c r="G130" s="323">
        <v>0.13</v>
      </c>
    </row>
    <row r="131" spans="1:7">
      <c r="A131" s="332" t="s">
        <v>273</v>
      </c>
      <c r="B131" s="321" t="s">
        <v>2297</v>
      </c>
      <c r="C131" s="322">
        <v>0.13</v>
      </c>
      <c r="D131" s="322">
        <v>0.13</v>
      </c>
      <c r="E131" s="322">
        <v>0.13</v>
      </c>
      <c r="F131" s="322">
        <v>0.13</v>
      </c>
      <c r="G131" s="323">
        <v>0.13</v>
      </c>
    </row>
    <row r="132" spans="1:7">
      <c r="A132" s="332" t="s">
        <v>273</v>
      </c>
      <c r="B132" s="321" t="s">
        <v>2308</v>
      </c>
      <c r="C132" s="322">
        <v>0.13</v>
      </c>
      <c r="D132" s="322">
        <v>0.13</v>
      </c>
      <c r="E132" s="322">
        <v>0.126</v>
      </c>
      <c r="F132" s="322">
        <v>0.13</v>
      </c>
      <c r="G132" s="323">
        <v>0.13</v>
      </c>
    </row>
    <row r="133" spans="1:7">
      <c r="A133" s="332" t="s">
        <v>273</v>
      </c>
      <c r="B133" s="321" t="s">
        <v>2319</v>
      </c>
      <c r="C133" s="322">
        <v>0.111</v>
      </c>
      <c r="D133" s="322">
        <v>0.111</v>
      </c>
      <c r="E133" s="322">
        <v>0.102</v>
      </c>
      <c r="F133" s="322">
        <v>0.13</v>
      </c>
      <c r="G133" s="323">
        <v>0.121</v>
      </c>
    </row>
    <row r="134" spans="1:7">
      <c r="A134" s="332" t="s">
        <v>273</v>
      </c>
      <c r="B134" s="321" t="s">
        <v>2330</v>
      </c>
      <c r="C134" s="322">
        <v>0.121</v>
      </c>
      <c r="D134" s="322">
        <v>0.121</v>
      </c>
      <c r="E134" s="322">
        <v>0.1</v>
      </c>
      <c r="F134" s="322">
        <v>0.13</v>
      </c>
      <c r="G134" s="323">
        <v>0.123</v>
      </c>
    </row>
    <row r="135" spans="1:7">
      <c r="A135" s="332" t="s">
        <v>273</v>
      </c>
      <c r="B135" s="321" t="s">
        <v>2340</v>
      </c>
      <c r="C135" s="322">
        <v>0.105</v>
      </c>
      <c r="D135" s="322">
        <v>0.106</v>
      </c>
      <c r="E135" s="322">
        <v>0.1</v>
      </c>
      <c r="F135" s="322">
        <v>0.13</v>
      </c>
      <c r="G135" s="323">
        <v>0.115</v>
      </c>
    </row>
    <row r="136" spans="1:7">
      <c r="A136" s="332" t="s">
        <v>273</v>
      </c>
      <c r="B136" s="321" t="s">
        <v>2350</v>
      </c>
      <c r="C136" s="322">
        <v>0.127</v>
      </c>
      <c r="D136" s="322">
        <v>0.127</v>
      </c>
      <c r="E136" s="322">
        <v>0.121</v>
      </c>
      <c r="F136" s="322">
        <v>0.123</v>
      </c>
      <c r="G136" s="323">
        <v>0.129</v>
      </c>
    </row>
    <row r="137" spans="1:7">
      <c r="A137" s="332" t="s">
        <v>273</v>
      </c>
      <c r="B137" s="321" t="s">
        <v>2360</v>
      </c>
      <c r="C137" s="322">
        <v>0.13</v>
      </c>
      <c r="D137" s="322">
        <v>0.13</v>
      </c>
      <c r="E137" s="322">
        <v>0.129</v>
      </c>
      <c r="F137" s="322">
        <v>0.13</v>
      </c>
      <c r="G137" s="323">
        <v>0.13</v>
      </c>
    </row>
    <row r="138" spans="1:7">
      <c r="A138" s="332" t="s">
        <v>273</v>
      </c>
      <c r="B138" s="321" t="s">
        <v>2370</v>
      </c>
      <c r="C138" s="322">
        <v>0.13</v>
      </c>
      <c r="D138" s="322">
        <v>0.13</v>
      </c>
      <c r="E138" s="322">
        <v>0.125</v>
      </c>
      <c r="F138" s="322">
        <v>0.13</v>
      </c>
      <c r="G138" s="323">
        <v>0.13</v>
      </c>
    </row>
    <row r="139" spans="1:7">
      <c r="A139" s="332" t="s">
        <v>273</v>
      </c>
      <c r="B139" s="321" t="s">
        <v>2380</v>
      </c>
      <c r="C139" s="322">
        <v>0.13</v>
      </c>
      <c r="D139" s="322">
        <v>0.13</v>
      </c>
      <c r="E139" s="322">
        <v>0.126</v>
      </c>
      <c r="F139" s="322">
        <v>0.13</v>
      </c>
      <c r="G139" s="323">
        <v>0.13</v>
      </c>
    </row>
    <row r="140" spans="1:7">
      <c r="A140" s="332" t="s">
        <v>273</v>
      </c>
      <c r="B140" s="321" t="s">
        <v>2390</v>
      </c>
      <c r="C140" s="322">
        <v>0.1</v>
      </c>
      <c r="D140" s="322">
        <v>0.1</v>
      </c>
      <c r="E140" s="322">
        <v>0.1</v>
      </c>
      <c r="F140" s="322">
        <v>0.123</v>
      </c>
      <c r="G140" s="323">
        <v>0.107</v>
      </c>
    </row>
    <row r="141" spans="1:7">
      <c r="A141" s="332" t="s">
        <v>273</v>
      </c>
      <c r="B141" s="321" t="s">
        <v>2400</v>
      </c>
      <c r="C141" s="322">
        <v>0.127</v>
      </c>
      <c r="D141" s="322">
        <v>0.127</v>
      </c>
      <c r="E141" s="322">
        <v>0.122</v>
      </c>
      <c r="F141" s="322">
        <v>0.1</v>
      </c>
      <c r="G141" s="323">
        <v>0.129</v>
      </c>
    </row>
    <row r="142" spans="1:7">
      <c r="A142" s="332" t="s">
        <v>273</v>
      </c>
      <c r="B142" s="321" t="s">
        <v>2410</v>
      </c>
      <c r="C142" s="322">
        <v>0.121</v>
      </c>
      <c r="D142" s="322">
        <v>0.122</v>
      </c>
      <c r="E142" s="322">
        <v>0.1</v>
      </c>
      <c r="F142" s="322">
        <v>0.123</v>
      </c>
      <c r="G142" s="323">
        <v>0.123</v>
      </c>
    </row>
    <row r="143" spans="1:7">
      <c r="A143" s="332" t="s">
        <v>273</v>
      </c>
      <c r="B143" s="321" t="s">
        <v>2420</v>
      </c>
      <c r="C143" s="322">
        <v>0.1</v>
      </c>
      <c r="D143" s="322">
        <v>0.1</v>
      </c>
      <c r="E143" s="322">
        <v>0.1</v>
      </c>
      <c r="F143" s="322">
        <v>0.13</v>
      </c>
      <c r="G143" s="323">
        <v>0.1</v>
      </c>
    </row>
    <row r="144" spans="1:7">
      <c r="A144" s="332" t="s">
        <v>273</v>
      </c>
      <c r="B144" s="321" t="s">
        <v>2430</v>
      </c>
      <c r="C144" s="322">
        <v>0.106</v>
      </c>
      <c r="D144" s="322">
        <v>0.105</v>
      </c>
      <c r="E144" s="322">
        <v>0.1</v>
      </c>
      <c r="F144" s="322">
        <v>0.13</v>
      </c>
      <c r="G144" s="323">
        <v>0.118</v>
      </c>
    </row>
    <row r="145" spans="1:7">
      <c r="A145" s="332" t="s">
        <v>273</v>
      </c>
      <c r="B145" s="321" t="s">
        <v>2440</v>
      </c>
      <c r="C145" s="322">
        <v>0.123</v>
      </c>
      <c r="D145" s="322">
        <v>0.123</v>
      </c>
      <c r="E145" s="322">
        <v>0.117</v>
      </c>
      <c r="F145" s="322">
        <v>0.13</v>
      </c>
      <c r="G145" s="323">
        <v>0.126</v>
      </c>
    </row>
    <row r="146" spans="1:7">
      <c r="A146" s="332" t="s">
        <v>273</v>
      </c>
      <c r="B146" s="321" t="s">
        <v>2450</v>
      </c>
      <c r="C146" s="322">
        <v>0.127</v>
      </c>
      <c r="D146" s="322">
        <v>0.127</v>
      </c>
      <c r="E146" s="322">
        <v>0.12</v>
      </c>
      <c r="F146" s="333"/>
      <c r="G146" s="323">
        <v>0.129</v>
      </c>
    </row>
    <row r="147" spans="1:7">
      <c r="A147" s="332" t="s">
        <v>273</v>
      </c>
      <c r="B147" s="321" t="s">
        <v>2459</v>
      </c>
      <c r="C147" s="322">
        <v>0.13</v>
      </c>
      <c r="D147" s="322">
        <v>0.13</v>
      </c>
      <c r="E147" s="322">
        <v>0.126</v>
      </c>
      <c r="F147" s="333"/>
      <c r="G147" s="323">
        <v>0.13</v>
      </c>
    </row>
    <row r="148" spans="1:7">
      <c r="A148" s="332" t="s">
        <v>273</v>
      </c>
      <c r="B148" s="321" t="s">
        <v>2467</v>
      </c>
      <c r="C148" s="322">
        <v>0.13</v>
      </c>
      <c r="D148" s="322">
        <v>0.13</v>
      </c>
      <c r="E148" s="322">
        <v>0.13</v>
      </c>
      <c r="F148" s="333"/>
      <c r="G148" s="323">
        <v>0.13</v>
      </c>
    </row>
    <row r="149" spans="1:7">
      <c r="A149" s="332" t="s">
        <v>273</v>
      </c>
      <c r="B149" s="321" t="s">
        <v>2475</v>
      </c>
      <c r="C149" s="322">
        <v>0.13</v>
      </c>
      <c r="D149" s="322">
        <v>0.13</v>
      </c>
      <c r="E149" s="322">
        <v>0.13</v>
      </c>
      <c r="F149" s="322">
        <v>0.13</v>
      </c>
      <c r="G149" s="323">
        <v>0.13</v>
      </c>
    </row>
    <row r="150" spans="1:7">
      <c r="A150" s="332" t="s">
        <v>273</v>
      </c>
      <c r="B150" s="321" t="s">
        <v>2483</v>
      </c>
      <c r="C150" s="322">
        <v>0.13</v>
      </c>
      <c r="D150" s="322">
        <v>0.13</v>
      </c>
      <c r="E150" s="322">
        <v>0.127</v>
      </c>
      <c r="F150" s="322">
        <v>0.13</v>
      </c>
      <c r="G150" s="323">
        <v>0.13</v>
      </c>
    </row>
    <row r="151" spans="1:7">
      <c r="A151" s="332" t="s">
        <v>273</v>
      </c>
      <c r="B151" s="321" t="s">
        <v>2491</v>
      </c>
      <c r="C151" s="322">
        <v>0.13</v>
      </c>
      <c r="D151" s="322">
        <v>0.13</v>
      </c>
      <c r="E151" s="322">
        <v>0.13</v>
      </c>
      <c r="F151" s="322">
        <v>0.13</v>
      </c>
      <c r="G151" s="323">
        <v>0.13</v>
      </c>
    </row>
    <row r="152" spans="1:7">
      <c r="A152" s="332" t="s">
        <v>273</v>
      </c>
      <c r="B152" s="321" t="s">
        <v>2498</v>
      </c>
      <c r="C152" s="322">
        <v>0.13</v>
      </c>
      <c r="D152" s="322">
        <v>0.13</v>
      </c>
      <c r="E152" s="322">
        <v>0.13</v>
      </c>
      <c r="F152" s="322">
        <v>0.13</v>
      </c>
      <c r="G152" s="323">
        <v>0.13</v>
      </c>
    </row>
    <row r="153" spans="1:7">
      <c r="A153" s="332" t="s">
        <v>273</v>
      </c>
      <c r="B153" s="321" t="s">
        <v>2505</v>
      </c>
      <c r="C153" s="322">
        <v>0.13</v>
      </c>
      <c r="D153" s="322">
        <v>0.13</v>
      </c>
      <c r="E153" s="322">
        <v>0.13</v>
      </c>
      <c r="F153" s="322">
        <v>0.13</v>
      </c>
      <c r="G153" s="323">
        <v>0.13</v>
      </c>
    </row>
    <row r="154" spans="1:7">
      <c r="A154" s="332" t="s">
        <v>273</v>
      </c>
      <c r="B154" s="321" t="s">
        <v>2512</v>
      </c>
      <c r="C154" s="322">
        <v>0.121</v>
      </c>
      <c r="D154" s="322">
        <v>0.121</v>
      </c>
      <c r="E154" s="322">
        <v>0.105</v>
      </c>
      <c r="F154" s="322">
        <v>0.121</v>
      </c>
      <c r="G154" s="323">
        <v>0.123</v>
      </c>
    </row>
    <row r="155" spans="1:7">
      <c r="A155" s="332" t="s">
        <v>273</v>
      </c>
      <c r="B155" s="321" t="s">
        <v>2518</v>
      </c>
      <c r="C155" s="322">
        <v>0.1</v>
      </c>
      <c r="D155" s="322">
        <v>0.1</v>
      </c>
      <c r="E155" s="322">
        <v>0.1</v>
      </c>
      <c r="F155" s="322">
        <v>0.1</v>
      </c>
      <c r="G155" s="323">
        <v>0.1</v>
      </c>
    </row>
    <row r="156" spans="1:7">
      <c r="A156" s="332" t="s">
        <v>273</v>
      </c>
      <c r="B156" s="321" t="s">
        <v>2525</v>
      </c>
      <c r="C156" s="322">
        <v>0.13</v>
      </c>
      <c r="D156" s="322">
        <v>0.13</v>
      </c>
      <c r="E156" s="322">
        <v>0.13</v>
      </c>
      <c r="F156" s="322">
        <v>0.13</v>
      </c>
      <c r="G156" s="323">
        <v>0.13</v>
      </c>
    </row>
    <row r="157" spans="1:7">
      <c r="A157" s="332" t="s">
        <v>273</v>
      </c>
      <c r="B157" s="321" t="s">
        <v>2532</v>
      </c>
      <c r="C157" s="322">
        <v>0.13</v>
      </c>
      <c r="D157" s="322">
        <v>0.13</v>
      </c>
      <c r="E157" s="322">
        <v>0.125</v>
      </c>
      <c r="F157" s="322">
        <v>0.13</v>
      </c>
      <c r="G157" s="323">
        <v>0.13</v>
      </c>
    </row>
    <row r="158" spans="1:7">
      <c r="A158" s="332" t="s">
        <v>273</v>
      </c>
      <c r="B158" s="321" t="s">
        <v>2539</v>
      </c>
      <c r="C158" s="322">
        <v>0.124</v>
      </c>
      <c r="D158" s="322">
        <v>0.124</v>
      </c>
      <c r="E158" s="322">
        <v>0.117</v>
      </c>
      <c r="F158" s="322">
        <v>0.121</v>
      </c>
      <c r="G158" s="323">
        <v>0.124</v>
      </c>
    </row>
    <row r="159" spans="1:7">
      <c r="A159" s="332" t="s">
        <v>273</v>
      </c>
      <c r="B159" s="321" t="s">
        <v>2544</v>
      </c>
      <c r="C159" s="322">
        <v>0.127</v>
      </c>
      <c r="D159" s="322">
        <v>0.127</v>
      </c>
      <c r="E159" s="322">
        <v>0.122</v>
      </c>
      <c r="F159" s="322">
        <v>0.13</v>
      </c>
      <c r="G159" s="323">
        <v>0.129</v>
      </c>
    </row>
    <row r="160" spans="1:7">
      <c r="A160" s="332" t="s">
        <v>273</v>
      </c>
      <c r="B160" s="321" t="s">
        <v>2549</v>
      </c>
      <c r="C160" s="322">
        <v>0.13</v>
      </c>
      <c r="D160" s="322">
        <v>0.13</v>
      </c>
      <c r="E160" s="322">
        <v>0.124</v>
      </c>
      <c r="F160" s="322">
        <v>0.126</v>
      </c>
      <c r="G160" s="323">
        <v>0.13</v>
      </c>
    </row>
    <row r="161" spans="1:7">
      <c r="A161" s="332" t="s">
        <v>273</v>
      </c>
      <c r="B161" s="321" t="s">
        <v>2554</v>
      </c>
      <c r="C161" s="322">
        <v>0.13</v>
      </c>
      <c r="D161" s="322">
        <v>0.13</v>
      </c>
      <c r="E161" s="322">
        <v>0.124</v>
      </c>
      <c r="F161" s="322">
        <v>0.127</v>
      </c>
      <c r="G161" s="323">
        <v>0.13</v>
      </c>
    </row>
    <row r="162" spans="1:7">
      <c r="A162" s="332" t="s">
        <v>273</v>
      </c>
      <c r="B162" s="321" t="s">
        <v>2559</v>
      </c>
      <c r="C162" s="322">
        <v>0.1</v>
      </c>
      <c r="D162" s="322">
        <v>0.1</v>
      </c>
      <c r="E162" s="322">
        <v>0.1</v>
      </c>
      <c r="F162" s="322">
        <v>0.121</v>
      </c>
      <c r="G162" s="323">
        <v>0.105</v>
      </c>
    </row>
    <row r="163" spans="1:7">
      <c r="A163" s="332" t="s">
        <v>273</v>
      </c>
      <c r="B163" s="321" t="s">
        <v>2564</v>
      </c>
      <c r="C163" s="322">
        <v>0.1</v>
      </c>
      <c r="D163" s="322">
        <v>0.1</v>
      </c>
      <c r="E163" s="322">
        <v>0.1</v>
      </c>
      <c r="F163" s="322">
        <v>0.1</v>
      </c>
      <c r="G163" s="323">
        <v>0.1</v>
      </c>
    </row>
    <row r="164" spans="1:7">
      <c r="A164" s="332" t="s">
        <v>273</v>
      </c>
      <c r="B164" s="321" t="s">
        <v>2569</v>
      </c>
      <c r="C164" s="338"/>
      <c r="D164" s="338"/>
      <c r="E164" s="338"/>
      <c r="F164" s="322">
        <v>0.1</v>
      </c>
      <c r="G164" s="334"/>
    </row>
    <row r="165" spans="1:7">
      <c r="A165" s="332" t="s">
        <v>273</v>
      </c>
      <c r="B165" s="321" t="s">
        <v>2574</v>
      </c>
      <c r="C165" s="322">
        <v>0.126</v>
      </c>
      <c r="D165" s="322">
        <v>0.126</v>
      </c>
      <c r="E165" s="322">
        <v>0.119</v>
      </c>
      <c r="F165" s="322">
        <v>0.13</v>
      </c>
      <c r="G165" s="323">
        <v>0.128</v>
      </c>
    </row>
    <row r="166" spans="1:7">
      <c r="A166" s="332" t="s">
        <v>273</v>
      </c>
      <c r="B166" s="321" t="s">
        <v>2579</v>
      </c>
      <c r="C166" s="322">
        <v>0.129</v>
      </c>
      <c r="D166" s="322">
        <v>0.129</v>
      </c>
      <c r="E166" s="322">
        <v>0.123</v>
      </c>
      <c r="F166" s="322">
        <v>0.128</v>
      </c>
      <c r="G166" s="323">
        <v>0.13</v>
      </c>
    </row>
    <row r="167" spans="1:7">
      <c r="A167" s="332" t="s">
        <v>273</v>
      </c>
      <c r="B167" s="321" t="s">
        <v>2583</v>
      </c>
      <c r="C167" s="322">
        <v>0.125</v>
      </c>
      <c r="D167" s="322">
        <v>0.125</v>
      </c>
      <c r="E167" s="322">
        <v>0.117</v>
      </c>
      <c r="F167" s="322">
        <v>0.13</v>
      </c>
      <c r="G167" s="323">
        <v>0.126</v>
      </c>
    </row>
    <row r="168" spans="1:7">
      <c r="A168" s="332" t="s">
        <v>273</v>
      </c>
      <c r="B168" s="321" t="s">
        <v>2587</v>
      </c>
      <c r="C168" s="322">
        <v>0.128</v>
      </c>
      <c r="D168" s="322">
        <v>0.128</v>
      </c>
      <c r="E168" s="322">
        <v>0.123</v>
      </c>
      <c r="F168" s="333"/>
      <c r="G168" s="323">
        <v>0.13</v>
      </c>
    </row>
    <row r="169" spans="1:7">
      <c r="A169" s="332" t="s">
        <v>273</v>
      </c>
      <c r="B169" s="321" t="s">
        <v>2591</v>
      </c>
      <c r="C169" s="338"/>
      <c r="D169" s="338"/>
      <c r="E169" s="338"/>
      <c r="F169" s="322">
        <v>0.05</v>
      </c>
      <c r="G169" s="334"/>
    </row>
    <row r="170" spans="1:7">
      <c r="A170" s="332" t="s">
        <v>273</v>
      </c>
      <c r="B170" s="321" t="s">
        <v>2595</v>
      </c>
      <c r="C170" s="338"/>
      <c r="D170" s="338"/>
      <c r="E170" s="338"/>
      <c r="F170" s="322">
        <v>0.05</v>
      </c>
      <c r="G170" s="334"/>
    </row>
    <row r="171" spans="1:7">
      <c r="A171" s="332" t="s">
        <v>273</v>
      </c>
      <c r="B171" s="321" t="s">
        <v>2598</v>
      </c>
      <c r="C171" s="338"/>
      <c r="D171" s="338"/>
      <c r="E171" s="338"/>
      <c r="F171" s="322">
        <v>0.05</v>
      </c>
      <c r="G171" s="339"/>
    </row>
    <row r="172" spans="1:7">
      <c r="A172" s="332" t="s">
        <v>273</v>
      </c>
      <c r="B172" s="321" t="s">
        <v>2600</v>
      </c>
      <c r="C172" s="338"/>
      <c r="D172" s="338"/>
      <c r="E172" s="338"/>
      <c r="F172" s="322">
        <v>0.05</v>
      </c>
      <c r="G172" s="339"/>
    </row>
    <row r="173" spans="1:7">
      <c r="A173" s="332" t="s">
        <v>273</v>
      </c>
      <c r="B173" s="321" t="s">
        <v>2602</v>
      </c>
      <c r="C173" s="338"/>
      <c r="D173" s="338"/>
      <c r="E173" s="338"/>
      <c r="F173" s="322">
        <v>0.05</v>
      </c>
      <c r="G173" s="334"/>
    </row>
    <row r="174" spans="1:7">
      <c r="A174" s="332" t="s">
        <v>273</v>
      </c>
      <c r="B174" s="321" t="s">
        <v>2604</v>
      </c>
      <c r="C174" s="338"/>
      <c r="D174" s="338"/>
      <c r="E174" s="338"/>
      <c r="F174" s="322">
        <v>0.05</v>
      </c>
      <c r="G174" s="334"/>
    </row>
    <row r="175" spans="1:7">
      <c r="A175" s="332" t="s">
        <v>273</v>
      </c>
      <c r="B175" s="321" t="s">
        <v>2606</v>
      </c>
      <c r="C175" s="338"/>
      <c r="D175" s="338"/>
      <c r="E175" s="338"/>
      <c r="F175" s="322">
        <v>0.05</v>
      </c>
      <c r="G175" s="334"/>
    </row>
    <row r="176" spans="1:7">
      <c r="A176" s="332" t="s">
        <v>273</v>
      </c>
      <c r="B176" s="321" t="s">
        <v>2608</v>
      </c>
      <c r="C176" s="338"/>
      <c r="D176" s="338"/>
      <c r="E176" s="338"/>
      <c r="F176" s="322">
        <v>0.05</v>
      </c>
      <c r="G176" s="334"/>
    </row>
    <row r="177" spans="1:7">
      <c r="A177" s="332" t="s">
        <v>273</v>
      </c>
      <c r="B177" s="321" t="s">
        <v>2610</v>
      </c>
      <c r="C177" s="333"/>
      <c r="D177" s="333"/>
      <c r="E177" s="333"/>
      <c r="F177" s="322">
        <v>0.05</v>
      </c>
      <c r="G177" s="339"/>
    </row>
    <row r="178" spans="1:7">
      <c r="A178" s="332" t="s">
        <v>273</v>
      </c>
      <c r="B178" s="321" t="s">
        <v>2611</v>
      </c>
      <c r="C178" s="333"/>
      <c r="D178" s="333"/>
      <c r="E178" s="333"/>
      <c r="F178" s="322">
        <v>0.05</v>
      </c>
      <c r="G178" s="339"/>
    </row>
    <row r="179" spans="1:7">
      <c r="A179" s="332" t="s">
        <v>273</v>
      </c>
      <c r="B179" s="321" t="s">
        <v>2612</v>
      </c>
      <c r="C179" s="333"/>
      <c r="D179" s="333"/>
      <c r="E179" s="333"/>
      <c r="F179" s="322">
        <v>0.05</v>
      </c>
      <c r="G179" s="339"/>
    </row>
    <row r="180" spans="1:7">
      <c r="A180" s="332" t="s">
        <v>273</v>
      </c>
      <c r="B180" s="321" t="s">
        <v>2613</v>
      </c>
      <c r="C180" s="333"/>
      <c r="D180" s="333"/>
      <c r="E180" s="333"/>
      <c r="F180" s="322">
        <v>0.05</v>
      </c>
      <c r="G180" s="339"/>
    </row>
    <row r="181" spans="1:7">
      <c r="A181" s="332" t="s">
        <v>273</v>
      </c>
      <c r="B181" s="321" t="s">
        <v>2614</v>
      </c>
      <c r="C181" s="333"/>
      <c r="D181" s="333"/>
      <c r="E181" s="333"/>
      <c r="F181" s="322">
        <v>0.05</v>
      </c>
      <c r="G181" s="339"/>
    </row>
    <row r="182" spans="1:7">
      <c r="A182" s="332" t="s">
        <v>273</v>
      </c>
      <c r="B182" s="321" t="s">
        <v>2615</v>
      </c>
      <c r="C182" s="333"/>
      <c r="D182" s="333"/>
      <c r="E182" s="333"/>
      <c r="F182" s="322">
        <v>0.05</v>
      </c>
      <c r="G182" s="339"/>
    </row>
    <row r="183" spans="1:7">
      <c r="A183" s="332" t="s">
        <v>273</v>
      </c>
      <c r="B183" s="321" t="s">
        <v>2616</v>
      </c>
      <c r="C183" s="333"/>
      <c r="D183" s="333"/>
      <c r="E183" s="333"/>
      <c r="F183" s="322">
        <v>0.05</v>
      </c>
      <c r="G183" s="339"/>
    </row>
    <row r="184" spans="1:7">
      <c r="A184" s="332" t="s">
        <v>273</v>
      </c>
      <c r="B184" s="321" t="s">
        <v>2617</v>
      </c>
      <c r="C184" s="333"/>
      <c r="D184" s="333"/>
      <c r="E184" s="333"/>
      <c r="F184" s="322">
        <v>0.05</v>
      </c>
      <c r="G184" s="339"/>
    </row>
    <row r="185" spans="1:7">
      <c r="A185" s="332" t="s">
        <v>273</v>
      </c>
      <c r="B185" s="321" t="s">
        <v>2618</v>
      </c>
      <c r="C185" s="333"/>
      <c r="D185" s="333"/>
      <c r="E185" s="333"/>
      <c r="F185" s="322">
        <v>0.05</v>
      </c>
      <c r="G185" s="339"/>
    </row>
    <row r="186" spans="1:7">
      <c r="A186" s="332" t="s">
        <v>273</v>
      </c>
      <c r="B186" s="321" t="s">
        <v>2619</v>
      </c>
      <c r="C186" s="333"/>
      <c r="D186" s="333"/>
      <c r="E186" s="333"/>
      <c r="F186" s="322">
        <v>0.05</v>
      </c>
      <c r="G186" s="339"/>
    </row>
    <row r="187" spans="1:7">
      <c r="A187" s="332" t="s">
        <v>273</v>
      </c>
      <c r="B187" s="321" t="s">
        <v>2620</v>
      </c>
      <c r="C187" s="333"/>
      <c r="D187" s="333"/>
      <c r="E187" s="333"/>
      <c r="F187" s="322">
        <v>0.05</v>
      </c>
      <c r="G187" s="339"/>
    </row>
    <row r="188" spans="1:7">
      <c r="A188" s="332" t="s">
        <v>273</v>
      </c>
      <c r="B188" s="321" t="s">
        <v>2621</v>
      </c>
      <c r="C188" s="333"/>
      <c r="D188" s="333"/>
      <c r="E188" s="333"/>
      <c r="F188" s="322">
        <v>0.05</v>
      </c>
      <c r="G188" s="339"/>
    </row>
    <row r="189" ht="14.75" spans="1:7">
      <c r="A189" s="335" t="s">
        <v>273</v>
      </c>
      <c r="B189" s="325" t="s">
        <v>2622</v>
      </c>
      <c r="C189" s="327"/>
      <c r="D189" s="327"/>
      <c r="E189" s="327"/>
      <c r="F189" s="326">
        <v>0.05</v>
      </c>
      <c r="G189" s="340"/>
    </row>
    <row r="190" spans="1:7">
      <c r="A190" s="331" t="s">
        <v>278</v>
      </c>
      <c r="B190" s="317" t="s">
        <v>2247</v>
      </c>
      <c r="C190" s="318">
        <v>0.124</v>
      </c>
      <c r="D190" s="318">
        <v>0.124</v>
      </c>
      <c r="E190" s="318">
        <v>0.129</v>
      </c>
      <c r="F190" s="318">
        <v>0.13</v>
      </c>
      <c r="G190" s="319">
        <v>0.127</v>
      </c>
    </row>
    <row r="191" spans="1:7">
      <c r="A191" s="332" t="s">
        <v>278</v>
      </c>
      <c r="B191" s="321" t="s">
        <v>2260</v>
      </c>
      <c r="C191" s="322">
        <v>0.13</v>
      </c>
      <c r="D191" s="322">
        <v>0.13</v>
      </c>
      <c r="E191" s="322">
        <v>0.13</v>
      </c>
      <c r="F191" s="322">
        <v>0.13</v>
      </c>
      <c r="G191" s="323">
        <v>0.13</v>
      </c>
    </row>
    <row r="192" spans="1:7">
      <c r="A192" s="332" t="s">
        <v>278</v>
      </c>
      <c r="B192" s="321" t="s">
        <v>2274</v>
      </c>
      <c r="C192" s="322">
        <v>0.13</v>
      </c>
      <c r="D192" s="322">
        <v>0.13</v>
      </c>
      <c r="E192" s="322">
        <v>0.13</v>
      </c>
      <c r="F192" s="322">
        <v>0.13</v>
      </c>
      <c r="G192" s="323">
        <v>0.13</v>
      </c>
    </row>
    <row r="193" spans="1:7">
      <c r="A193" s="332" t="s">
        <v>278</v>
      </c>
      <c r="B193" s="321" t="s">
        <v>2286</v>
      </c>
      <c r="C193" s="322">
        <v>0.13</v>
      </c>
      <c r="D193" s="322">
        <v>0.13</v>
      </c>
      <c r="E193" s="322">
        <v>0.13</v>
      </c>
      <c r="F193" s="322">
        <v>0.13</v>
      </c>
      <c r="G193" s="323">
        <v>0.13</v>
      </c>
    </row>
    <row r="194" spans="1:7">
      <c r="A194" s="332" t="s">
        <v>278</v>
      </c>
      <c r="B194" s="321" t="s">
        <v>2298</v>
      </c>
      <c r="C194" s="322">
        <v>0.123</v>
      </c>
      <c r="D194" s="322">
        <v>0.123</v>
      </c>
      <c r="E194" s="322">
        <v>0.128</v>
      </c>
      <c r="F194" s="322">
        <v>0.13</v>
      </c>
      <c r="G194" s="323">
        <v>0.126</v>
      </c>
    </row>
    <row r="195" spans="1:7">
      <c r="A195" s="332" t="s">
        <v>278</v>
      </c>
      <c r="B195" s="321" t="s">
        <v>2309</v>
      </c>
      <c r="C195" s="322">
        <v>0.127</v>
      </c>
      <c r="D195" s="322">
        <v>0.127</v>
      </c>
      <c r="E195" s="322">
        <v>0.121</v>
      </c>
      <c r="F195" s="322">
        <v>0.129</v>
      </c>
      <c r="G195" s="323">
        <v>0.129</v>
      </c>
    </row>
    <row r="196" spans="1:7">
      <c r="A196" s="332" t="s">
        <v>278</v>
      </c>
      <c r="B196" s="321" t="s">
        <v>2320</v>
      </c>
      <c r="C196" s="322">
        <v>0.127</v>
      </c>
      <c r="D196" s="322">
        <v>0.128</v>
      </c>
      <c r="E196" s="322">
        <v>0.122</v>
      </c>
      <c r="F196" s="322">
        <v>0.13</v>
      </c>
      <c r="G196" s="323">
        <v>0.129</v>
      </c>
    </row>
    <row r="197" spans="1:7">
      <c r="A197" s="332" t="s">
        <v>278</v>
      </c>
      <c r="B197" s="321" t="s">
        <v>2331</v>
      </c>
      <c r="C197" s="322">
        <v>0.126</v>
      </c>
      <c r="D197" s="322">
        <v>0.126</v>
      </c>
      <c r="E197" s="322">
        <v>0.119</v>
      </c>
      <c r="F197" s="322">
        <v>0.13</v>
      </c>
      <c r="G197" s="323">
        <v>0.128</v>
      </c>
    </row>
    <row r="198" spans="1:7">
      <c r="A198" s="332" t="s">
        <v>278</v>
      </c>
      <c r="B198" s="321" t="s">
        <v>2341</v>
      </c>
      <c r="C198" s="322">
        <v>0.13</v>
      </c>
      <c r="D198" s="322">
        <v>0.13</v>
      </c>
      <c r="E198" s="322">
        <v>0.126</v>
      </c>
      <c r="F198" s="338"/>
      <c r="G198" s="323">
        <v>0.13</v>
      </c>
    </row>
    <row r="199" spans="1:7">
      <c r="A199" s="332" t="s">
        <v>278</v>
      </c>
      <c r="B199" s="321" t="s">
        <v>2351</v>
      </c>
      <c r="C199" s="322">
        <v>0.13</v>
      </c>
      <c r="D199" s="322">
        <v>0.13</v>
      </c>
      <c r="E199" s="322">
        <v>0.13</v>
      </c>
      <c r="F199" s="322">
        <v>0.13</v>
      </c>
      <c r="G199" s="323">
        <v>0.13</v>
      </c>
    </row>
    <row r="200" spans="1:7">
      <c r="A200" s="332" t="s">
        <v>278</v>
      </c>
      <c r="B200" s="321" t="s">
        <v>2361</v>
      </c>
      <c r="C200" s="338"/>
      <c r="D200" s="338"/>
      <c r="E200" s="338"/>
      <c r="F200" s="322">
        <v>0.13</v>
      </c>
      <c r="G200" s="334"/>
    </row>
    <row r="201" spans="1:7">
      <c r="A201" s="332" t="s">
        <v>278</v>
      </c>
      <c r="B201" s="321" t="s">
        <v>2371</v>
      </c>
      <c r="C201" s="322">
        <v>0.13</v>
      </c>
      <c r="D201" s="322">
        <v>0.13</v>
      </c>
      <c r="E201" s="322">
        <v>0.13</v>
      </c>
      <c r="F201" s="322">
        <v>0.129</v>
      </c>
      <c r="G201" s="323">
        <v>0.13</v>
      </c>
    </row>
    <row r="202" spans="1:7">
      <c r="A202" s="332" t="s">
        <v>278</v>
      </c>
      <c r="B202" s="321" t="s">
        <v>2381</v>
      </c>
      <c r="C202" s="322">
        <v>0.13</v>
      </c>
      <c r="D202" s="322">
        <v>0.13</v>
      </c>
      <c r="E202" s="322">
        <v>0.13</v>
      </c>
      <c r="F202" s="322">
        <v>0.13</v>
      </c>
      <c r="G202" s="323">
        <v>0.13</v>
      </c>
    </row>
    <row r="203" spans="1:7">
      <c r="A203" s="332" t="s">
        <v>278</v>
      </c>
      <c r="B203" s="321" t="s">
        <v>2391</v>
      </c>
      <c r="C203" s="322">
        <v>0.129</v>
      </c>
      <c r="D203" s="322">
        <v>0.129</v>
      </c>
      <c r="E203" s="322">
        <v>0.13</v>
      </c>
      <c r="F203" s="322">
        <v>0.13</v>
      </c>
      <c r="G203" s="323">
        <v>0.13</v>
      </c>
    </row>
    <row r="204" spans="1:7">
      <c r="A204" s="332" t="s">
        <v>278</v>
      </c>
      <c r="B204" s="321" t="s">
        <v>2401</v>
      </c>
      <c r="C204" s="322">
        <v>0.129</v>
      </c>
      <c r="D204" s="322">
        <v>0.129</v>
      </c>
      <c r="E204" s="322">
        <v>0.123</v>
      </c>
      <c r="F204" s="322">
        <v>0.13</v>
      </c>
      <c r="G204" s="323">
        <v>0.13</v>
      </c>
    </row>
    <row r="205" spans="1:7">
      <c r="A205" s="332" t="s">
        <v>278</v>
      </c>
      <c r="B205" s="321" t="s">
        <v>2411</v>
      </c>
      <c r="C205" s="322">
        <v>0.13</v>
      </c>
      <c r="D205" s="322">
        <v>0.13</v>
      </c>
      <c r="E205" s="322">
        <v>0.13</v>
      </c>
      <c r="F205" s="322">
        <v>0.13</v>
      </c>
      <c r="G205" s="323">
        <v>0.13</v>
      </c>
    </row>
    <row r="206" spans="1:7">
      <c r="A206" s="332" t="s">
        <v>278</v>
      </c>
      <c r="B206" s="321" t="s">
        <v>2421</v>
      </c>
      <c r="C206" s="322">
        <v>0.13</v>
      </c>
      <c r="D206" s="322">
        <v>0.13</v>
      </c>
      <c r="E206" s="322">
        <v>0.13</v>
      </c>
      <c r="F206" s="322">
        <v>0.128</v>
      </c>
      <c r="G206" s="323">
        <v>0.13</v>
      </c>
    </row>
    <row r="207" spans="1:7">
      <c r="A207" s="332" t="s">
        <v>278</v>
      </c>
      <c r="B207" s="321" t="s">
        <v>2431</v>
      </c>
      <c r="C207" s="322">
        <v>0.13</v>
      </c>
      <c r="D207" s="322">
        <v>0.13</v>
      </c>
      <c r="E207" s="322">
        <v>0.13</v>
      </c>
      <c r="F207" s="322">
        <v>0.13</v>
      </c>
      <c r="G207" s="323">
        <v>0.13</v>
      </c>
    </row>
    <row r="208" spans="1:7">
      <c r="A208" s="332" t="s">
        <v>278</v>
      </c>
      <c r="B208" s="321" t="s">
        <v>2441</v>
      </c>
      <c r="C208" s="322">
        <v>0.13</v>
      </c>
      <c r="D208" s="322">
        <v>0.13</v>
      </c>
      <c r="E208" s="322">
        <v>0.13</v>
      </c>
      <c r="F208" s="322">
        <v>0.13</v>
      </c>
      <c r="G208" s="323">
        <v>0.13</v>
      </c>
    </row>
    <row r="209" spans="1:7">
      <c r="A209" s="332" t="s">
        <v>278</v>
      </c>
      <c r="B209" s="321" t="s">
        <v>2451</v>
      </c>
      <c r="C209" s="322">
        <v>0.13</v>
      </c>
      <c r="D209" s="322">
        <v>0.13</v>
      </c>
      <c r="E209" s="322">
        <v>0.13</v>
      </c>
      <c r="F209" s="322">
        <v>0.13</v>
      </c>
      <c r="G209" s="323">
        <v>0.13</v>
      </c>
    </row>
    <row r="210" spans="1:7">
      <c r="A210" s="332" t="s">
        <v>278</v>
      </c>
      <c r="B210" s="321" t="s">
        <v>2460</v>
      </c>
      <c r="C210" s="322">
        <v>0.121</v>
      </c>
      <c r="D210" s="322">
        <v>0.121</v>
      </c>
      <c r="E210" s="322">
        <v>0.125</v>
      </c>
      <c r="F210" s="322">
        <v>0.13</v>
      </c>
      <c r="G210" s="323">
        <v>0.123</v>
      </c>
    </row>
    <row r="211" spans="1:7">
      <c r="A211" s="332" t="s">
        <v>278</v>
      </c>
      <c r="B211" s="321" t="s">
        <v>2468</v>
      </c>
      <c r="C211" s="322">
        <v>0.123</v>
      </c>
      <c r="D211" s="322">
        <v>0.123</v>
      </c>
      <c r="E211" s="322">
        <v>0.127</v>
      </c>
      <c r="F211" s="322">
        <v>0.115</v>
      </c>
      <c r="G211" s="323">
        <v>0.126</v>
      </c>
    </row>
    <row r="212" spans="1:7">
      <c r="A212" s="332" t="s">
        <v>278</v>
      </c>
      <c r="B212" s="321" t="s">
        <v>2476</v>
      </c>
      <c r="C212" s="322">
        <v>0.126</v>
      </c>
      <c r="D212" s="322">
        <v>0.126</v>
      </c>
      <c r="E212" s="322">
        <v>0.13</v>
      </c>
      <c r="F212" s="322">
        <v>0.13</v>
      </c>
      <c r="G212" s="323">
        <v>0.129</v>
      </c>
    </row>
    <row r="213" spans="1:7">
      <c r="A213" s="332" t="s">
        <v>278</v>
      </c>
      <c r="B213" s="321" t="s">
        <v>2484</v>
      </c>
      <c r="C213" s="322">
        <v>0.129</v>
      </c>
      <c r="D213" s="322">
        <v>0.13</v>
      </c>
      <c r="E213" s="322">
        <v>0.127</v>
      </c>
      <c r="F213" s="322">
        <v>0.13</v>
      </c>
      <c r="G213" s="323">
        <v>0.13</v>
      </c>
    </row>
    <row r="214" spans="1:7">
      <c r="A214" s="332" t="s">
        <v>278</v>
      </c>
      <c r="B214" s="321" t="s">
        <v>2492</v>
      </c>
      <c r="C214" s="322">
        <v>0.128</v>
      </c>
      <c r="D214" s="322">
        <v>0.128</v>
      </c>
      <c r="E214" s="322">
        <v>0.13</v>
      </c>
      <c r="F214" s="322">
        <v>0.13</v>
      </c>
      <c r="G214" s="323">
        <v>0.13</v>
      </c>
    </row>
    <row r="215" spans="1:7">
      <c r="A215" s="332" t="s">
        <v>278</v>
      </c>
      <c r="B215" s="321" t="s">
        <v>2499</v>
      </c>
      <c r="C215" s="322">
        <v>0.13</v>
      </c>
      <c r="D215" s="322">
        <v>0.13</v>
      </c>
      <c r="E215" s="322">
        <v>0.13</v>
      </c>
      <c r="F215" s="322">
        <v>0.129</v>
      </c>
      <c r="G215" s="323">
        <v>0.13</v>
      </c>
    </row>
    <row r="216" spans="1:7">
      <c r="A216" s="332" t="s">
        <v>278</v>
      </c>
      <c r="B216" s="321" t="s">
        <v>2506</v>
      </c>
      <c r="C216" s="322">
        <v>0.13</v>
      </c>
      <c r="D216" s="322">
        <v>0.13</v>
      </c>
      <c r="E216" s="322">
        <v>0.13</v>
      </c>
      <c r="F216" s="322">
        <v>0.13</v>
      </c>
      <c r="G216" s="323">
        <v>0.13</v>
      </c>
    </row>
    <row r="217" spans="1:7">
      <c r="A217" s="332" t="s">
        <v>278</v>
      </c>
      <c r="B217" s="321" t="s">
        <v>2513</v>
      </c>
      <c r="C217" s="322">
        <v>0.129</v>
      </c>
      <c r="D217" s="322">
        <v>0.129</v>
      </c>
      <c r="E217" s="322">
        <v>0.13</v>
      </c>
      <c r="F217" s="322">
        <v>0.13</v>
      </c>
      <c r="G217" s="323">
        <v>0.13</v>
      </c>
    </row>
    <row r="218" spans="1:7">
      <c r="A218" s="332" t="s">
        <v>278</v>
      </c>
      <c r="B218" s="321" t="s">
        <v>2519</v>
      </c>
      <c r="C218" s="333"/>
      <c r="D218" s="333"/>
      <c r="E218" s="333"/>
      <c r="F218" s="322">
        <v>0.05</v>
      </c>
      <c r="G218" s="339"/>
    </row>
    <row r="219" spans="1:7">
      <c r="A219" s="332" t="s">
        <v>278</v>
      </c>
      <c r="B219" s="321" t="s">
        <v>2526</v>
      </c>
      <c r="C219" s="333"/>
      <c r="D219" s="333"/>
      <c r="E219" s="333"/>
      <c r="F219" s="322">
        <v>0.05</v>
      </c>
      <c r="G219" s="339"/>
    </row>
    <row r="220" spans="1:7">
      <c r="A220" s="332" t="s">
        <v>278</v>
      </c>
      <c r="B220" s="321" t="s">
        <v>2533</v>
      </c>
      <c r="C220" s="333"/>
      <c r="D220" s="333"/>
      <c r="E220" s="333"/>
      <c r="F220" s="322">
        <v>0.05</v>
      </c>
      <c r="G220" s="339"/>
    </row>
    <row r="221" spans="1:7">
      <c r="A221" s="332" t="s">
        <v>278</v>
      </c>
      <c r="B221" s="321" t="s">
        <v>2540</v>
      </c>
      <c r="C221" s="333"/>
      <c r="D221" s="333"/>
      <c r="E221" s="333"/>
      <c r="F221" s="322">
        <v>0.05</v>
      </c>
      <c r="G221" s="339"/>
    </row>
    <row r="222" spans="1:7">
      <c r="A222" s="332" t="s">
        <v>278</v>
      </c>
      <c r="B222" s="321" t="s">
        <v>2545</v>
      </c>
      <c r="C222" s="333"/>
      <c r="D222" s="333"/>
      <c r="E222" s="333"/>
      <c r="F222" s="322">
        <v>0.05</v>
      </c>
      <c r="G222" s="339"/>
    </row>
    <row r="223" spans="1:7">
      <c r="A223" s="332" t="s">
        <v>278</v>
      </c>
      <c r="B223" s="321" t="s">
        <v>2550</v>
      </c>
      <c r="C223" s="333"/>
      <c r="D223" s="333"/>
      <c r="E223" s="333"/>
      <c r="F223" s="322">
        <v>0.05</v>
      </c>
      <c r="G223" s="339"/>
    </row>
    <row r="224" spans="1:7">
      <c r="A224" s="332" t="s">
        <v>278</v>
      </c>
      <c r="B224" s="321" t="s">
        <v>2555</v>
      </c>
      <c r="C224" s="333"/>
      <c r="D224" s="333"/>
      <c r="E224" s="333"/>
      <c r="F224" s="322">
        <v>0.05</v>
      </c>
      <c r="G224" s="339"/>
    </row>
    <row r="225" spans="1:7">
      <c r="A225" s="332" t="s">
        <v>278</v>
      </c>
      <c r="B225" s="321" t="s">
        <v>2560</v>
      </c>
      <c r="C225" s="333"/>
      <c r="D225" s="333"/>
      <c r="E225" s="333"/>
      <c r="F225" s="322">
        <v>0.05</v>
      </c>
      <c r="G225" s="339"/>
    </row>
    <row r="226" spans="1:7">
      <c r="A226" s="332" t="s">
        <v>278</v>
      </c>
      <c r="B226" s="321" t="s">
        <v>2565</v>
      </c>
      <c r="C226" s="333"/>
      <c r="D226" s="333"/>
      <c r="E226" s="333"/>
      <c r="F226" s="322">
        <v>0.05</v>
      </c>
      <c r="G226" s="339"/>
    </row>
    <row r="227" spans="1:7">
      <c r="A227" s="332" t="s">
        <v>278</v>
      </c>
      <c r="B227" s="321" t="s">
        <v>2624</v>
      </c>
      <c r="C227" s="333"/>
      <c r="D227" s="333"/>
      <c r="E227" s="333"/>
      <c r="F227" s="322">
        <v>0.05</v>
      </c>
      <c r="G227" s="339"/>
    </row>
    <row r="228" spans="1:7">
      <c r="A228" s="332" t="s">
        <v>278</v>
      </c>
      <c r="B228" s="321" t="s">
        <v>2625</v>
      </c>
      <c r="C228" s="333"/>
      <c r="D228" s="333"/>
      <c r="E228" s="333"/>
      <c r="F228" s="322">
        <v>0.05</v>
      </c>
      <c r="G228" s="339"/>
    </row>
    <row r="229" spans="1:7">
      <c r="A229" s="332" t="s">
        <v>278</v>
      </c>
      <c r="B229" s="321" t="s">
        <v>2626</v>
      </c>
      <c r="C229" s="333"/>
      <c r="D229" s="333"/>
      <c r="E229" s="333"/>
      <c r="F229" s="322">
        <v>0.05</v>
      </c>
      <c r="G229" s="339"/>
    </row>
    <row r="230" spans="1:7">
      <c r="A230" s="332" t="s">
        <v>278</v>
      </c>
      <c r="B230" s="321" t="s">
        <v>2584</v>
      </c>
      <c r="C230" s="333"/>
      <c r="D230" s="333"/>
      <c r="E230" s="333"/>
      <c r="F230" s="322">
        <v>0.05</v>
      </c>
      <c r="G230" s="339"/>
    </row>
    <row r="231" spans="1:7">
      <c r="A231" s="332" t="s">
        <v>278</v>
      </c>
      <c r="B231" s="321" t="s">
        <v>2588</v>
      </c>
      <c r="C231" s="333"/>
      <c r="D231" s="333"/>
      <c r="E231" s="333"/>
      <c r="F231" s="322">
        <v>0.05</v>
      </c>
      <c r="G231" s="339"/>
    </row>
    <row r="232" spans="1:7">
      <c r="A232" s="332" t="s">
        <v>278</v>
      </c>
      <c r="B232" s="321" t="s">
        <v>2627</v>
      </c>
      <c r="C232" s="333"/>
      <c r="D232" s="333"/>
      <c r="E232" s="333"/>
      <c r="F232" s="322">
        <v>0.05</v>
      </c>
      <c r="G232" s="339"/>
    </row>
    <row r="233" ht="14.75" spans="1:7">
      <c r="A233" s="335" t="s">
        <v>278</v>
      </c>
      <c r="B233" s="325" t="s">
        <v>2596</v>
      </c>
      <c r="C233" s="327"/>
      <c r="D233" s="327"/>
      <c r="E233" s="327"/>
      <c r="F233" s="326">
        <v>0.05</v>
      </c>
      <c r="G233" s="340"/>
    </row>
    <row r="234" spans="1:7">
      <c r="A234" s="331" t="s">
        <v>284</v>
      </c>
      <c r="B234" s="317" t="s">
        <v>2248</v>
      </c>
      <c r="C234" s="318">
        <v>0.13</v>
      </c>
      <c r="D234" s="318">
        <v>0.128</v>
      </c>
      <c r="E234" s="318">
        <v>0.142</v>
      </c>
      <c r="F234" s="318">
        <v>0.147</v>
      </c>
      <c r="G234" s="319">
        <v>0.14</v>
      </c>
    </row>
    <row r="235" spans="1:7">
      <c r="A235" s="332" t="s">
        <v>284</v>
      </c>
      <c r="B235" s="321" t="s">
        <v>2261</v>
      </c>
      <c r="C235" s="322">
        <v>0.136</v>
      </c>
      <c r="D235" s="322">
        <v>0.138</v>
      </c>
      <c r="E235" s="322">
        <v>0.145</v>
      </c>
      <c r="F235" s="322">
        <v>0.143</v>
      </c>
      <c r="G235" s="323">
        <v>0.141</v>
      </c>
    </row>
    <row r="236" spans="1:7">
      <c r="A236" s="332" t="s">
        <v>284</v>
      </c>
      <c r="B236" s="321" t="s">
        <v>2275</v>
      </c>
      <c r="C236" s="322">
        <v>0.15</v>
      </c>
      <c r="D236" s="322">
        <v>0.15</v>
      </c>
      <c r="E236" s="322">
        <v>0.15</v>
      </c>
      <c r="F236" s="322">
        <v>0.15</v>
      </c>
      <c r="G236" s="323">
        <v>0.15</v>
      </c>
    </row>
    <row r="237" spans="1:7">
      <c r="A237" s="332" t="s">
        <v>284</v>
      </c>
      <c r="B237" s="321" t="s">
        <v>2287</v>
      </c>
      <c r="C237" s="322">
        <v>0.15</v>
      </c>
      <c r="D237" s="322">
        <v>0.15</v>
      </c>
      <c r="E237" s="322">
        <v>0.15</v>
      </c>
      <c r="F237" s="322">
        <v>0.15</v>
      </c>
      <c r="G237" s="323">
        <v>0.15</v>
      </c>
    </row>
    <row r="238" spans="1:7">
      <c r="A238" s="332" t="s">
        <v>284</v>
      </c>
      <c r="B238" s="321" t="s">
        <v>2299</v>
      </c>
      <c r="C238" s="322">
        <v>0.149</v>
      </c>
      <c r="D238" s="322">
        <v>0.149</v>
      </c>
      <c r="E238" s="322">
        <v>0.15</v>
      </c>
      <c r="F238" s="322">
        <v>0.15</v>
      </c>
      <c r="G238" s="323">
        <v>0.15</v>
      </c>
    </row>
    <row r="239" spans="1:7">
      <c r="A239" s="332" t="s">
        <v>284</v>
      </c>
      <c r="B239" s="321" t="s">
        <v>2310</v>
      </c>
      <c r="C239" s="322">
        <v>0.15</v>
      </c>
      <c r="D239" s="322">
        <v>0.15</v>
      </c>
      <c r="E239" s="322">
        <v>0.15</v>
      </c>
      <c r="F239" s="322">
        <v>0.15</v>
      </c>
      <c r="G239" s="323">
        <v>0.15</v>
      </c>
    </row>
    <row r="240" spans="1:7">
      <c r="A240" s="332" t="s">
        <v>284</v>
      </c>
      <c r="B240" s="321" t="s">
        <v>2321</v>
      </c>
      <c r="C240" s="322">
        <v>0.15</v>
      </c>
      <c r="D240" s="322">
        <v>0.15</v>
      </c>
      <c r="E240" s="322">
        <v>0.15</v>
      </c>
      <c r="F240" s="322">
        <v>0.15</v>
      </c>
      <c r="G240" s="323">
        <v>0.15</v>
      </c>
    </row>
    <row r="241" spans="1:7">
      <c r="A241" s="332" t="s">
        <v>284</v>
      </c>
      <c r="B241" s="321" t="s">
        <v>2332</v>
      </c>
      <c r="C241" s="322">
        <v>0.141</v>
      </c>
      <c r="D241" s="322">
        <v>0.142</v>
      </c>
      <c r="E241" s="322">
        <v>0.149</v>
      </c>
      <c r="F241" s="322">
        <v>0.15</v>
      </c>
      <c r="G241" s="323">
        <v>0.144</v>
      </c>
    </row>
    <row r="242" spans="1:7">
      <c r="A242" s="332" t="s">
        <v>284</v>
      </c>
      <c r="B242" s="321" t="s">
        <v>2342</v>
      </c>
      <c r="C242" s="322">
        <v>0.141</v>
      </c>
      <c r="D242" s="322">
        <v>0.142</v>
      </c>
      <c r="E242" s="322">
        <v>0.148</v>
      </c>
      <c r="F242" s="322">
        <v>0.127</v>
      </c>
      <c r="G242" s="323">
        <v>0.144</v>
      </c>
    </row>
    <row r="243" spans="1:7">
      <c r="A243" s="332" t="s">
        <v>284</v>
      </c>
      <c r="B243" s="321" t="s">
        <v>2352</v>
      </c>
      <c r="C243" s="322">
        <v>0.147</v>
      </c>
      <c r="D243" s="322">
        <v>0.147</v>
      </c>
      <c r="E243" s="322">
        <v>0.15</v>
      </c>
      <c r="F243" s="322">
        <v>0.15</v>
      </c>
      <c r="G243" s="323">
        <v>0.149</v>
      </c>
    </row>
    <row r="244" spans="1:7">
      <c r="A244" s="332" t="s">
        <v>284</v>
      </c>
      <c r="B244" s="321" t="s">
        <v>2362</v>
      </c>
      <c r="C244" s="322">
        <v>0.15</v>
      </c>
      <c r="D244" s="322">
        <v>0.15</v>
      </c>
      <c r="E244" s="322">
        <v>0.15</v>
      </c>
      <c r="F244" s="322">
        <v>0.15</v>
      </c>
      <c r="G244" s="323">
        <v>0.15</v>
      </c>
    </row>
    <row r="245" spans="1:7">
      <c r="A245" s="332" t="s">
        <v>284</v>
      </c>
      <c r="B245" s="321" t="s">
        <v>2372</v>
      </c>
      <c r="C245" s="322">
        <v>0.142</v>
      </c>
      <c r="D245" s="322">
        <v>0.142</v>
      </c>
      <c r="E245" s="322">
        <v>0.15</v>
      </c>
      <c r="F245" s="322">
        <v>0.15</v>
      </c>
      <c r="G245" s="323">
        <v>0.145</v>
      </c>
    </row>
    <row r="246" spans="1:7">
      <c r="A246" s="332" t="s">
        <v>284</v>
      </c>
      <c r="B246" s="321" t="s">
        <v>2382</v>
      </c>
      <c r="C246" s="322">
        <v>0.142</v>
      </c>
      <c r="D246" s="322">
        <v>0.143</v>
      </c>
      <c r="E246" s="322">
        <v>0.15</v>
      </c>
      <c r="F246" s="322">
        <v>0.142</v>
      </c>
      <c r="G246" s="323">
        <v>0.144</v>
      </c>
    </row>
    <row r="247" spans="1:7">
      <c r="A247" s="332" t="s">
        <v>284</v>
      </c>
      <c r="B247" s="321" t="s">
        <v>2392</v>
      </c>
      <c r="C247" s="322">
        <v>0.149</v>
      </c>
      <c r="D247" s="322">
        <v>0.149</v>
      </c>
      <c r="E247" s="322">
        <v>0.15</v>
      </c>
      <c r="F247" s="322">
        <v>0.15</v>
      </c>
      <c r="G247" s="323">
        <v>0.15</v>
      </c>
    </row>
    <row r="248" spans="1:7">
      <c r="A248" s="332" t="s">
        <v>284</v>
      </c>
      <c r="B248" s="321" t="s">
        <v>2402</v>
      </c>
      <c r="C248" s="322">
        <v>0.144</v>
      </c>
      <c r="D248" s="322">
        <v>0.144</v>
      </c>
      <c r="E248" s="322">
        <v>0.149</v>
      </c>
      <c r="F248" s="322">
        <v>0.148</v>
      </c>
      <c r="G248" s="323">
        <v>0.146</v>
      </c>
    </row>
    <row r="249" spans="1:7">
      <c r="A249" s="332" t="s">
        <v>284</v>
      </c>
      <c r="B249" s="321" t="s">
        <v>2412</v>
      </c>
      <c r="C249" s="322">
        <v>0.14</v>
      </c>
      <c r="D249" s="322">
        <v>0.14</v>
      </c>
      <c r="E249" s="322">
        <v>0.147</v>
      </c>
      <c r="F249" s="322">
        <v>0.149</v>
      </c>
      <c r="G249" s="323">
        <v>0.142</v>
      </c>
    </row>
    <row r="250" spans="1:7">
      <c r="A250" s="332" t="s">
        <v>284</v>
      </c>
      <c r="B250" s="321" t="s">
        <v>2422</v>
      </c>
      <c r="C250" s="322">
        <v>0.144</v>
      </c>
      <c r="D250" s="322">
        <v>0.143</v>
      </c>
      <c r="E250" s="322">
        <v>0.149</v>
      </c>
      <c r="F250" s="322">
        <v>0.15</v>
      </c>
      <c r="G250" s="323">
        <v>0.146</v>
      </c>
    </row>
    <row r="251" spans="1:7">
      <c r="A251" s="332" t="s">
        <v>284</v>
      </c>
      <c r="B251" s="321" t="s">
        <v>2432</v>
      </c>
      <c r="C251" s="338"/>
      <c r="D251" s="333"/>
      <c r="E251" s="333"/>
      <c r="F251" s="322">
        <v>0.1</v>
      </c>
      <c r="G251" s="339"/>
    </row>
    <row r="252" spans="1:7">
      <c r="A252" s="332" t="s">
        <v>284</v>
      </c>
      <c r="B252" s="321" t="s">
        <v>2442</v>
      </c>
      <c r="C252" s="322">
        <v>0.144</v>
      </c>
      <c r="D252" s="322">
        <v>0.144</v>
      </c>
      <c r="E252" s="322">
        <v>0.15</v>
      </c>
      <c r="F252" s="322">
        <v>0.149</v>
      </c>
      <c r="G252" s="323">
        <v>0.146</v>
      </c>
    </row>
    <row r="253" spans="1:7">
      <c r="A253" s="332" t="s">
        <v>284</v>
      </c>
      <c r="B253" s="321" t="s">
        <v>2452</v>
      </c>
      <c r="C253" s="322">
        <v>0.142</v>
      </c>
      <c r="D253" s="322">
        <v>0.142</v>
      </c>
      <c r="E253" s="322">
        <v>0.146</v>
      </c>
      <c r="F253" s="322">
        <v>0.148</v>
      </c>
      <c r="G253" s="323">
        <v>0.145</v>
      </c>
    </row>
    <row r="254" spans="1:7">
      <c r="A254" s="332" t="s">
        <v>284</v>
      </c>
      <c r="B254" s="321" t="s">
        <v>2461</v>
      </c>
      <c r="C254" s="322">
        <v>0.15</v>
      </c>
      <c r="D254" s="322">
        <v>0.15</v>
      </c>
      <c r="E254" s="322">
        <v>0.15</v>
      </c>
      <c r="F254" s="322">
        <v>0.15</v>
      </c>
      <c r="G254" s="323">
        <v>0.15</v>
      </c>
    </row>
    <row r="255" spans="1:7">
      <c r="A255" s="332" t="s">
        <v>284</v>
      </c>
      <c r="B255" s="321" t="s">
        <v>2469</v>
      </c>
      <c r="C255" s="322">
        <v>0.143</v>
      </c>
      <c r="D255" s="322">
        <v>0.143</v>
      </c>
      <c r="E255" s="322">
        <v>0.15</v>
      </c>
      <c r="F255" s="322">
        <v>0.15</v>
      </c>
      <c r="G255" s="323">
        <v>0.145</v>
      </c>
    </row>
    <row r="256" spans="1:7">
      <c r="A256" s="332" t="s">
        <v>284</v>
      </c>
      <c r="B256" s="321" t="s">
        <v>2477</v>
      </c>
      <c r="C256" s="322">
        <v>0.15</v>
      </c>
      <c r="D256" s="322">
        <v>0.15</v>
      </c>
      <c r="E256" s="322">
        <v>0.15</v>
      </c>
      <c r="F256" s="322">
        <v>0.146</v>
      </c>
      <c r="G256" s="323">
        <v>0.15</v>
      </c>
    </row>
    <row r="257" spans="1:7">
      <c r="A257" s="332" t="s">
        <v>284</v>
      </c>
      <c r="B257" s="321" t="s">
        <v>2485</v>
      </c>
      <c r="C257" s="322">
        <v>0.142</v>
      </c>
      <c r="D257" s="322">
        <v>0.143</v>
      </c>
      <c r="E257" s="322">
        <v>0.148</v>
      </c>
      <c r="F257" s="322">
        <v>0.15</v>
      </c>
      <c r="G257" s="323">
        <v>0.145</v>
      </c>
    </row>
    <row r="258" spans="1:7">
      <c r="A258" s="332" t="s">
        <v>284</v>
      </c>
      <c r="B258" s="321" t="s">
        <v>2493</v>
      </c>
      <c r="C258" s="322">
        <v>0.143</v>
      </c>
      <c r="D258" s="322">
        <v>0.143</v>
      </c>
      <c r="E258" s="322">
        <v>0.15</v>
      </c>
      <c r="F258" s="322">
        <v>0.148</v>
      </c>
      <c r="G258" s="323">
        <v>0.146</v>
      </c>
    </row>
    <row r="259" spans="1:7">
      <c r="A259" s="332" t="s">
        <v>284</v>
      </c>
      <c r="B259" s="321" t="s">
        <v>2500</v>
      </c>
      <c r="C259" s="322">
        <v>0.144</v>
      </c>
      <c r="D259" s="322">
        <v>0.144</v>
      </c>
      <c r="E259" s="322">
        <v>0.149</v>
      </c>
      <c r="F259" s="322">
        <v>0.147</v>
      </c>
      <c r="G259" s="323">
        <v>0.146</v>
      </c>
    </row>
    <row r="260" spans="1:7">
      <c r="A260" s="332" t="s">
        <v>284</v>
      </c>
      <c r="B260" s="321" t="s">
        <v>2507</v>
      </c>
      <c r="C260" s="322">
        <v>0.109</v>
      </c>
      <c r="D260" s="322">
        <v>0.111</v>
      </c>
      <c r="E260" s="322">
        <v>0.131</v>
      </c>
      <c r="F260" s="322">
        <v>0.126</v>
      </c>
      <c r="G260" s="323">
        <v>0.119</v>
      </c>
    </row>
    <row r="261" spans="1:7">
      <c r="A261" s="332" t="s">
        <v>284</v>
      </c>
      <c r="B261" s="321" t="s">
        <v>2514</v>
      </c>
      <c r="C261" s="322">
        <v>0.1</v>
      </c>
      <c r="D261" s="322">
        <v>0.1</v>
      </c>
      <c r="E261" s="322">
        <v>0.118</v>
      </c>
      <c r="F261" s="322">
        <v>0.108</v>
      </c>
      <c r="G261" s="323">
        <v>0.107</v>
      </c>
    </row>
    <row r="262" spans="1:7">
      <c r="A262" s="332" t="s">
        <v>284</v>
      </c>
      <c r="B262" s="321" t="s">
        <v>2520</v>
      </c>
      <c r="C262" s="322">
        <v>0.1</v>
      </c>
      <c r="D262" s="322">
        <v>0.1</v>
      </c>
      <c r="E262" s="322">
        <v>0.1</v>
      </c>
      <c r="F262" s="322">
        <v>0.141</v>
      </c>
      <c r="G262" s="323">
        <v>0.1</v>
      </c>
    </row>
    <row r="263" spans="1:7">
      <c r="A263" s="332" t="s">
        <v>284</v>
      </c>
      <c r="B263" s="321" t="s">
        <v>2527</v>
      </c>
      <c r="C263" s="322">
        <v>0.148</v>
      </c>
      <c r="D263" s="322">
        <v>0.148</v>
      </c>
      <c r="E263" s="322">
        <v>0.15</v>
      </c>
      <c r="F263" s="322">
        <v>0.147</v>
      </c>
      <c r="G263" s="323">
        <v>0.15</v>
      </c>
    </row>
    <row r="264" spans="1:7">
      <c r="A264" s="332" t="s">
        <v>284</v>
      </c>
      <c r="B264" s="321" t="s">
        <v>2534</v>
      </c>
      <c r="C264" s="322">
        <v>0.143</v>
      </c>
      <c r="D264" s="322">
        <v>0.143</v>
      </c>
      <c r="E264" s="322">
        <v>0.15</v>
      </c>
      <c r="F264" s="322">
        <v>0.149</v>
      </c>
      <c r="G264" s="323">
        <v>0.146</v>
      </c>
    </row>
    <row r="265" spans="1:7">
      <c r="A265" s="332" t="s">
        <v>284</v>
      </c>
      <c r="B265" s="321" t="s">
        <v>2541</v>
      </c>
      <c r="C265" s="333"/>
      <c r="D265" s="333"/>
      <c r="E265" s="333"/>
      <c r="F265" s="322">
        <v>0.05</v>
      </c>
      <c r="G265" s="339"/>
    </row>
    <row r="266" spans="1:7">
      <c r="A266" s="332" t="s">
        <v>284</v>
      </c>
      <c r="B266" s="321" t="s">
        <v>2546</v>
      </c>
      <c r="C266" s="333"/>
      <c r="D266" s="333"/>
      <c r="E266" s="333"/>
      <c r="F266" s="322">
        <v>0.05</v>
      </c>
      <c r="G266" s="339"/>
    </row>
    <row r="267" spans="1:7">
      <c r="A267" s="332" t="s">
        <v>284</v>
      </c>
      <c r="B267" s="321" t="s">
        <v>2551</v>
      </c>
      <c r="C267" s="333"/>
      <c r="D267" s="333"/>
      <c r="E267" s="333"/>
      <c r="F267" s="322">
        <v>0.05</v>
      </c>
      <c r="G267" s="339"/>
    </row>
    <row r="268" spans="1:7">
      <c r="A268" s="332" t="s">
        <v>284</v>
      </c>
      <c r="B268" s="321" t="s">
        <v>2556</v>
      </c>
      <c r="C268" s="333"/>
      <c r="D268" s="333"/>
      <c r="E268" s="333"/>
      <c r="F268" s="322">
        <v>0.05</v>
      </c>
      <c r="G268" s="339"/>
    </row>
    <row r="269" spans="1:7">
      <c r="A269" s="332" t="s">
        <v>284</v>
      </c>
      <c r="B269" s="321" t="s">
        <v>2561</v>
      </c>
      <c r="C269" s="333"/>
      <c r="D269" s="333"/>
      <c r="E269" s="333"/>
      <c r="F269" s="322">
        <v>0.05</v>
      </c>
      <c r="G269" s="339"/>
    </row>
    <row r="270" spans="1:7">
      <c r="A270" s="332" t="s">
        <v>284</v>
      </c>
      <c r="B270" s="321" t="s">
        <v>2566</v>
      </c>
      <c r="C270" s="333"/>
      <c r="D270" s="333"/>
      <c r="E270" s="333"/>
      <c r="F270" s="322">
        <v>0.05</v>
      </c>
      <c r="G270" s="339"/>
    </row>
    <row r="271" spans="1:7">
      <c r="A271" s="332" t="s">
        <v>284</v>
      </c>
      <c r="B271" s="321" t="s">
        <v>2571</v>
      </c>
      <c r="C271" s="333"/>
      <c r="D271" s="333"/>
      <c r="E271" s="333"/>
      <c r="F271" s="322">
        <v>0.05</v>
      </c>
      <c r="G271" s="339"/>
    </row>
    <row r="272" spans="1:7">
      <c r="A272" s="332" t="s">
        <v>284</v>
      </c>
      <c r="B272" s="321" t="s">
        <v>2576</v>
      </c>
      <c r="C272" s="333"/>
      <c r="D272" s="333"/>
      <c r="E272" s="333"/>
      <c r="F272" s="322">
        <v>0.05</v>
      </c>
      <c r="G272" s="339"/>
    </row>
    <row r="273" spans="1:7">
      <c r="A273" s="332" t="s">
        <v>284</v>
      </c>
      <c r="B273" s="321" t="s">
        <v>2581</v>
      </c>
      <c r="C273" s="333"/>
      <c r="D273" s="333"/>
      <c r="E273" s="333"/>
      <c r="F273" s="322">
        <v>0.05</v>
      </c>
      <c r="G273" s="339"/>
    </row>
    <row r="274" spans="1:7">
      <c r="A274" s="332" t="s">
        <v>284</v>
      </c>
      <c r="B274" s="321" t="s">
        <v>2585</v>
      </c>
      <c r="C274" s="333"/>
      <c r="D274" s="333"/>
      <c r="E274" s="333"/>
      <c r="F274" s="322">
        <v>0.05</v>
      </c>
      <c r="G274" s="339"/>
    </row>
    <row r="275" spans="1:7">
      <c r="A275" s="332" t="s">
        <v>284</v>
      </c>
      <c r="B275" s="321" t="s">
        <v>2589</v>
      </c>
      <c r="C275" s="333"/>
      <c r="D275" s="333"/>
      <c r="E275" s="333"/>
      <c r="F275" s="322">
        <v>0.05</v>
      </c>
      <c r="G275" s="339"/>
    </row>
    <row r="276" ht="14.75" spans="1:7">
      <c r="A276" s="335" t="s">
        <v>284</v>
      </c>
      <c r="B276" s="325" t="s">
        <v>2593</v>
      </c>
      <c r="C276" s="327"/>
      <c r="D276" s="327"/>
      <c r="E276" s="327"/>
      <c r="F276" s="326">
        <v>0.05</v>
      </c>
      <c r="G276" s="340"/>
    </row>
    <row r="277" spans="1:7">
      <c r="A277" s="331" t="s">
        <v>288</v>
      </c>
      <c r="B277" s="317" t="s">
        <v>2249</v>
      </c>
      <c r="C277" s="318">
        <v>0.15</v>
      </c>
      <c r="D277" s="318">
        <v>0.15</v>
      </c>
      <c r="E277" s="318">
        <v>0.15</v>
      </c>
      <c r="F277" s="318">
        <v>0.15</v>
      </c>
      <c r="G277" s="319">
        <v>0.15</v>
      </c>
    </row>
    <row r="278" spans="1:7">
      <c r="A278" s="332" t="s">
        <v>288</v>
      </c>
      <c r="B278" s="321" t="s">
        <v>2262</v>
      </c>
      <c r="C278" s="322">
        <v>0.15</v>
      </c>
      <c r="D278" s="322">
        <v>0.15</v>
      </c>
      <c r="E278" s="322">
        <v>0.15</v>
      </c>
      <c r="F278" s="322">
        <v>0.15</v>
      </c>
      <c r="G278" s="323">
        <v>0.15</v>
      </c>
    </row>
    <row r="279" spans="1:7">
      <c r="A279" s="332" t="s">
        <v>288</v>
      </c>
      <c r="B279" s="321" t="s">
        <v>2276</v>
      </c>
      <c r="C279" s="322">
        <v>0.15</v>
      </c>
      <c r="D279" s="322">
        <v>0.15</v>
      </c>
      <c r="E279" s="322">
        <v>0.15</v>
      </c>
      <c r="F279" s="322">
        <v>0.15</v>
      </c>
      <c r="G279" s="323">
        <v>0.15</v>
      </c>
    </row>
    <row r="280" spans="1:7">
      <c r="A280" s="332" t="s">
        <v>288</v>
      </c>
      <c r="B280" s="321" t="s">
        <v>2288</v>
      </c>
      <c r="C280" s="322">
        <v>0.15</v>
      </c>
      <c r="D280" s="322">
        <v>0.15</v>
      </c>
      <c r="E280" s="322">
        <v>0.15</v>
      </c>
      <c r="F280" s="322">
        <v>0.15</v>
      </c>
      <c r="G280" s="323">
        <v>0.15</v>
      </c>
    </row>
    <row r="281" spans="1:7">
      <c r="A281" s="332" t="s">
        <v>288</v>
      </c>
      <c r="B281" s="321" t="s">
        <v>2300</v>
      </c>
      <c r="C281" s="322">
        <v>0.15</v>
      </c>
      <c r="D281" s="322">
        <v>0.15</v>
      </c>
      <c r="E281" s="322">
        <v>0.15</v>
      </c>
      <c r="F281" s="322">
        <v>0.15</v>
      </c>
      <c r="G281" s="323">
        <v>0.15</v>
      </c>
    </row>
    <row r="282" spans="1:7">
      <c r="A282" s="332" t="s">
        <v>288</v>
      </c>
      <c r="B282" s="321" t="s">
        <v>2311</v>
      </c>
      <c r="C282" s="322">
        <v>0.15</v>
      </c>
      <c r="D282" s="322">
        <v>0.15</v>
      </c>
      <c r="E282" s="322">
        <v>0.15</v>
      </c>
      <c r="F282" s="322">
        <v>0.145</v>
      </c>
      <c r="G282" s="323">
        <v>0.15</v>
      </c>
    </row>
    <row r="283" spans="1:7">
      <c r="A283" s="332" t="s">
        <v>288</v>
      </c>
      <c r="B283" s="321" t="s">
        <v>2322</v>
      </c>
      <c r="C283" s="322">
        <v>0.15</v>
      </c>
      <c r="D283" s="322">
        <v>0.15</v>
      </c>
      <c r="E283" s="322">
        <v>0.15</v>
      </c>
      <c r="F283" s="322">
        <v>0.142</v>
      </c>
      <c r="G283" s="323">
        <v>0.15</v>
      </c>
    </row>
    <row r="284" spans="1:7">
      <c r="A284" s="332" t="s">
        <v>288</v>
      </c>
      <c r="B284" s="321" t="s">
        <v>2333</v>
      </c>
      <c r="C284" s="322">
        <v>0.15</v>
      </c>
      <c r="D284" s="322">
        <v>0.15</v>
      </c>
      <c r="E284" s="322">
        <v>0.15</v>
      </c>
      <c r="F284" s="322">
        <v>0.15</v>
      </c>
      <c r="G284" s="323">
        <v>0.15</v>
      </c>
    </row>
    <row r="285" spans="1:7">
      <c r="A285" s="332" t="s">
        <v>288</v>
      </c>
      <c r="B285" s="321" t="s">
        <v>2343</v>
      </c>
      <c r="C285" s="322">
        <v>0.15</v>
      </c>
      <c r="D285" s="322">
        <v>0.15</v>
      </c>
      <c r="E285" s="322">
        <v>0.15</v>
      </c>
      <c r="F285" s="322">
        <v>0.15</v>
      </c>
      <c r="G285" s="323">
        <v>0.15</v>
      </c>
    </row>
    <row r="286" spans="1:7">
      <c r="A286" s="332" t="s">
        <v>288</v>
      </c>
      <c r="B286" s="321" t="s">
        <v>2353</v>
      </c>
      <c r="C286" s="322">
        <v>0.145</v>
      </c>
      <c r="D286" s="322">
        <v>0.145</v>
      </c>
      <c r="E286" s="322">
        <v>0.15</v>
      </c>
      <c r="F286" s="322">
        <v>0.141</v>
      </c>
      <c r="G286" s="323">
        <v>0.145</v>
      </c>
    </row>
    <row r="287" spans="1:7">
      <c r="A287" s="332" t="s">
        <v>288</v>
      </c>
      <c r="B287" s="321" t="s">
        <v>2363</v>
      </c>
      <c r="C287" s="322">
        <v>0.11</v>
      </c>
      <c r="D287" s="322">
        <v>0.111</v>
      </c>
      <c r="E287" s="322">
        <v>0.141</v>
      </c>
      <c r="F287" s="322">
        <v>0.11</v>
      </c>
      <c r="G287" s="323">
        <v>0.12</v>
      </c>
    </row>
    <row r="288" spans="1:7">
      <c r="A288" s="332" t="s">
        <v>288</v>
      </c>
      <c r="B288" s="321" t="s">
        <v>2373</v>
      </c>
      <c r="C288" s="322">
        <v>0.142</v>
      </c>
      <c r="D288" s="322">
        <v>0.143</v>
      </c>
      <c r="E288" s="322">
        <v>0.15</v>
      </c>
      <c r="F288" s="322">
        <v>0.142</v>
      </c>
      <c r="G288" s="323">
        <v>0.144</v>
      </c>
    </row>
    <row r="289" spans="1:7">
      <c r="A289" s="332" t="s">
        <v>288</v>
      </c>
      <c r="B289" s="321" t="s">
        <v>2383</v>
      </c>
      <c r="C289" s="322">
        <v>0.143</v>
      </c>
      <c r="D289" s="322">
        <v>0.143</v>
      </c>
      <c r="E289" s="322">
        <v>0.148</v>
      </c>
      <c r="F289" s="322">
        <v>0.144</v>
      </c>
      <c r="G289" s="323">
        <v>0.144</v>
      </c>
    </row>
    <row r="290" spans="1:7">
      <c r="A290" s="332" t="s">
        <v>288</v>
      </c>
      <c r="B290" s="321" t="s">
        <v>2393</v>
      </c>
      <c r="C290" s="322">
        <v>0.148</v>
      </c>
      <c r="D290" s="322">
        <v>0.149</v>
      </c>
      <c r="E290" s="322">
        <v>0.15</v>
      </c>
      <c r="F290" s="322">
        <v>0.127</v>
      </c>
      <c r="G290" s="323">
        <v>0.15</v>
      </c>
    </row>
    <row r="291" spans="1:7">
      <c r="A291" s="332" t="s">
        <v>288</v>
      </c>
      <c r="B291" s="321" t="s">
        <v>2403</v>
      </c>
      <c r="C291" s="322">
        <v>0.15</v>
      </c>
      <c r="D291" s="322">
        <v>0.15</v>
      </c>
      <c r="E291" s="322">
        <v>0.15</v>
      </c>
      <c r="F291" s="322">
        <v>0.149</v>
      </c>
      <c r="G291" s="323">
        <v>0.15</v>
      </c>
    </row>
    <row r="292" spans="1:7">
      <c r="A292" s="332" t="s">
        <v>288</v>
      </c>
      <c r="B292" s="321" t="s">
        <v>2413</v>
      </c>
      <c r="C292" s="322">
        <v>0.15</v>
      </c>
      <c r="D292" s="322">
        <v>0.15</v>
      </c>
      <c r="E292" s="322">
        <v>0.15</v>
      </c>
      <c r="F292" s="322">
        <v>0.144</v>
      </c>
      <c r="G292" s="323">
        <v>0.15</v>
      </c>
    </row>
    <row r="293" spans="1:7">
      <c r="A293" s="332" t="s">
        <v>288</v>
      </c>
      <c r="B293" s="321" t="s">
        <v>2423</v>
      </c>
      <c r="C293" s="322">
        <v>0.15</v>
      </c>
      <c r="D293" s="322">
        <v>0.15</v>
      </c>
      <c r="E293" s="322">
        <v>0.15</v>
      </c>
      <c r="F293" s="322">
        <v>0.145</v>
      </c>
      <c r="G293" s="323">
        <v>0.15</v>
      </c>
    </row>
    <row r="294" spans="1:7">
      <c r="A294" s="332" t="s">
        <v>288</v>
      </c>
      <c r="B294" s="321" t="s">
        <v>2433</v>
      </c>
      <c r="C294" s="322">
        <v>0.15</v>
      </c>
      <c r="D294" s="322">
        <v>0.15</v>
      </c>
      <c r="E294" s="322">
        <v>0.15</v>
      </c>
      <c r="F294" s="322">
        <v>0.149</v>
      </c>
      <c r="G294" s="323">
        <v>0.15</v>
      </c>
    </row>
    <row r="295" spans="1:7">
      <c r="A295" s="332" t="s">
        <v>288</v>
      </c>
      <c r="B295" s="321" t="s">
        <v>2443</v>
      </c>
      <c r="C295" s="322">
        <v>0.15</v>
      </c>
      <c r="D295" s="322">
        <v>0.15</v>
      </c>
      <c r="E295" s="322">
        <v>0.15</v>
      </c>
      <c r="F295" s="322">
        <v>0.148</v>
      </c>
      <c r="G295" s="323">
        <v>0.15</v>
      </c>
    </row>
    <row r="296" spans="1:7">
      <c r="A296" s="332" t="s">
        <v>288</v>
      </c>
      <c r="B296" s="321" t="s">
        <v>2453</v>
      </c>
      <c r="C296" s="322">
        <v>0.15</v>
      </c>
      <c r="D296" s="322">
        <v>0.15</v>
      </c>
      <c r="E296" s="322">
        <v>0.15</v>
      </c>
      <c r="F296" s="322">
        <v>0.144</v>
      </c>
      <c r="G296" s="323">
        <v>0.15</v>
      </c>
    </row>
    <row r="297" spans="1:7">
      <c r="A297" s="332" t="s">
        <v>288</v>
      </c>
      <c r="B297" s="321" t="s">
        <v>2462</v>
      </c>
      <c r="C297" s="322">
        <v>0.15</v>
      </c>
      <c r="D297" s="322">
        <v>0.15</v>
      </c>
      <c r="E297" s="322">
        <v>0.15</v>
      </c>
      <c r="F297" s="322">
        <v>0.145</v>
      </c>
      <c r="G297" s="323">
        <v>0.15</v>
      </c>
    </row>
    <row r="298" spans="1:7">
      <c r="A298" s="332" t="s">
        <v>288</v>
      </c>
      <c r="B298" s="321" t="s">
        <v>2470</v>
      </c>
      <c r="C298" s="322">
        <v>0.15</v>
      </c>
      <c r="D298" s="322">
        <v>0.15</v>
      </c>
      <c r="E298" s="322">
        <v>0.15</v>
      </c>
      <c r="F298" s="322">
        <v>0.15</v>
      </c>
      <c r="G298" s="323">
        <v>0.15</v>
      </c>
    </row>
    <row r="299" spans="1:7">
      <c r="A299" s="332" t="s">
        <v>288</v>
      </c>
      <c r="B299" s="341" t="s">
        <v>2478</v>
      </c>
      <c r="C299" s="322">
        <v>0.15</v>
      </c>
      <c r="D299" s="322">
        <v>0.15</v>
      </c>
      <c r="E299" s="322">
        <v>0.15</v>
      </c>
      <c r="F299" s="322">
        <v>0.145</v>
      </c>
      <c r="G299" s="323">
        <v>0.15</v>
      </c>
    </row>
    <row r="300" spans="1:7">
      <c r="A300" s="332" t="s">
        <v>288</v>
      </c>
      <c r="B300" s="341" t="s">
        <v>2486</v>
      </c>
      <c r="C300" s="322">
        <v>0.15</v>
      </c>
      <c r="D300" s="322">
        <v>0.15</v>
      </c>
      <c r="E300" s="322">
        <v>0.15</v>
      </c>
      <c r="F300" s="322">
        <v>0.146</v>
      </c>
      <c r="G300" s="323">
        <v>0.15</v>
      </c>
    </row>
    <row r="301" spans="1:7">
      <c r="A301" s="332" t="s">
        <v>288</v>
      </c>
      <c r="B301" s="341" t="s">
        <v>2494</v>
      </c>
      <c r="C301" s="322">
        <v>0.126</v>
      </c>
      <c r="D301" s="322">
        <v>0.124</v>
      </c>
      <c r="E301" s="322">
        <v>0.141</v>
      </c>
      <c r="F301" s="322">
        <v>0.144</v>
      </c>
      <c r="G301" s="323">
        <v>0.13</v>
      </c>
    </row>
    <row r="302" spans="1:7">
      <c r="A302" s="332" t="s">
        <v>288</v>
      </c>
      <c r="B302" s="321" t="s">
        <v>2501</v>
      </c>
      <c r="C302" s="322">
        <v>0.15</v>
      </c>
      <c r="D302" s="322">
        <v>0.15</v>
      </c>
      <c r="E302" s="322">
        <v>0.15</v>
      </c>
      <c r="F302" s="322">
        <v>0.147</v>
      </c>
      <c r="G302" s="323">
        <v>0.15</v>
      </c>
    </row>
    <row r="303" spans="1:7">
      <c r="A303" s="332" t="s">
        <v>288</v>
      </c>
      <c r="B303" s="321" t="s">
        <v>2508</v>
      </c>
      <c r="C303" s="322">
        <v>0.15</v>
      </c>
      <c r="D303" s="322">
        <v>0.15</v>
      </c>
      <c r="E303" s="322">
        <v>0.15</v>
      </c>
      <c r="F303" s="322">
        <v>0.142</v>
      </c>
      <c r="G303" s="323">
        <v>0.15</v>
      </c>
    </row>
    <row r="304" spans="1:7">
      <c r="A304" s="332" t="s">
        <v>288</v>
      </c>
      <c r="B304" s="321" t="s">
        <v>2515</v>
      </c>
      <c r="C304" s="322">
        <v>0.15</v>
      </c>
      <c r="D304" s="322">
        <v>0.15</v>
      </c>
      <c r="E304" s="322">
        <v>0.15</v>
      </c>
      <c r="F304" s="322">
        <v>0.145</v>
      </c>
      <c r="G304" s="323">
        <v>0.15</v>
      </c>
    </row>
    <row r="305" spans="1:7">
      <c r="A305" s="332" t="s">
        <v>288</v>
      </c>
      <c r="B305" s="321" t="s">
        <v>2521</v>
      </c>
      <c r="C305" s="322">
        <v>0.15</v>
      </c>
      <c r="D305" s="322">
        <v>0.15</v>
      </c>
      <c r="E305" s="322">
        <v>0.15</v>
      </c>
      <c r="F305" s="322">
        <v>0.111</v>
      </c>
      <c r="G305" s="323">
        <v>0.15</v>
      </c>
    </row>
    <row r="306" spans="1:7">
      <c r="A306" s="332" t="s">
        <v>288</v>
      </c>
      <c r="B306" s="321" t="s">
        <v>2528</v>
      </c>
      <c r="C306" s="322">
        <v>0.15</v>
      </c>
      <c r="D306" s="322">
        <v>0.15</v>
      </c>
      <c r="E306" s="322">
        <v>0.15</v>
      </c>
      <c r="F306" s="322">
        <v>0.126</v>
      </c>
      <c r="G306" s="323">
        <v>0.15</v>
      </c>
    </row>
    <row r="307" spans="1:7">
      <c r="A307" s="332" t="s">
        <v>288</v>
      </c>
      <c r="B307" s="321" t="s">
        <v>2535</v>
      </c>
      <c r="C307" s="322">
        <v>0.15</v>
      </c>
      <c r="D307" s="322">
        <v>0.15</v>
      </c>
      <c r="E307" s="322">
        <v>0.15</v>
      </c>
      <c r="F307" s="322">
        <v>0.12</v>
      </c>
      <c r="G307" s="323">
        <v>0.15</v>
      </c>
    </row>
    <row r="308" spans="1:7">
      <c r="A308" s="332" t="s">
        <v>288</v>
      </c>
      <c r="B308" s="321" t="s">
        <v>2542</v>
      </c>
      <c r="C308" s="322">
        <v>0.15</v>
      </c>
      <c r="D308" s="322">
        <v>0.15</v>
      </c>
      <c r="E308" s="322">
        <v>0.15</v>
      </c>
      <c r="F308" s="322">
        <v>0.13</v>
      </c>
      <c r="G308" s="323">
        <v>0.15</v>
      </c>
    </row>
    <row r="309" spans="1:7">
      <c r="A309" s="332" t="s">
        <v>288</v>
      </c>
      <c r="B309" s="321" t="s">
        <v>2547</v>
      </c>
      <c r="C309" s="322">
        <v>0.15</v>
      </c>
      <c r="D309" s="322">
        <v>0.15</v>
      </c>
      <c r="E309" s="322">
        <v>0.15</v>
      </c>
      <c r="F309" s="322">
        <v>0.141</v>
      </c>
      <c r="G309" s="323">
        <v>0.15</v>
      </c>
    </row>
    <row r="310" spans="1:7">
      <c r="A310" s="332" t="s">
        <v>288</v>
      </c>
      <c r="B310" s="321" t="s">
        <v>2552</v>
      </c>
      <c r="C310" s="322">
        <v>0.15</v>
      </c>
      <c r="D310" s="322">
        <v>0.15</v>
      </c>
      <c r="E310" s="322">
        <v>0.15</v>
      </c>
      <c r="F310" s="322">
        <v>0.15</v>
      </c>
      <c r="G310" s="323">
        <v>0.15</v>
      </c>
    </row>
    <row r="311" spans="1:7">
      <c r="A311" s="332" t="s">
        <v>288</v>
      </c>
      <c r="B311" s="321" t="s">
        <v>2557</v>
      </c>
      <c r="C311" s="322">
        <v>0.132</v>
      </c>
      <c r="D311" s="322">
        <v>0.133</v>
      </c>
      <c r="E311" s="322">
        <v>0.145</v>
      </c>
      <c r="F311" s="322">
        <v>0.142</v>
      </c>
      <c r="G311" s="323">
        <v>0.14</v>
      </c>
    </row>
    <row r="312" spans="1:7">
      <c r="A312" s="332" t="s">
        <v>288</v>
      </c>
      <c r="B312" s="321" t="s">
        <v>2562</v>
      </c>
      <c r="C312" s="322">
        <v>0.138</v>
      </c>
      <c r="D312" s="322">
        <v>0.14</v>
      </c>
      <c r="E312" s="322">
        <v>0.146</v>
      </c>
      <c r="F312" s="322">
        <v>0.149</v>
      </c>
      <c r="G312" s="323">
        <v>0.142</v>
      </c>
    </row>
    <row r="313" spans="1:7">
      <c r="A313" s="332" t="s">
        <v>288</v>
      </c>
      <c r="B313" s="321" t="s">
        <v>2567</v>
      </c>
      <c r="C313" s="322">
        <v>0.125</v>
      </c>
      <c r="D313" s="322">
        <v>0.127</v>
      </c>
      <c r="E313" s="322">
        <v>0.144</v>
      </c>
      <c r="F313" s="322">
        <v>0.115</v>
      </c>
      <c r="G313" s="323">
        <v>0.136</v>
      </c>
    </row>
    <row r="314" spans="1:7">
      <c r="A314" s="332" t="s">
        <v>288</v>
      </c>
      <c r="B314" s="321" t="s">
        <v>2572</v>
      </c>
      <c r="C314" s="338"/>
      <c r="D314" s="338"/>
      <c r="E314" s="338"/>
      <c r="F314" s="322">
        <v>0.05</v>
      </c>
      <c r="G314" s="339"/>
    </row>
    <row r="315" spans="1:7">
      <c r="A315" s="332" t="s">
        <v>288</v>
      </c>
      <c r="B315" s="321" t="s">
        <v>2577</v>
      </c>
      <c r="C315" s="338"/>
      <c r="D315" s="338"/>
      <c r="E315" s="338"/>
      <c r="F315" s="322">
        <v>0.05</v>
      </c>
      <c r="G315" s="339"/>
    </row>
    <row r="316" spans="1:7">
      <c r="A316" s="332" t="s">
        <v>288</v>
      </c>
      <c r="B316" s="321" t="s">
        <v>2582</v>
      </c>
      <c r="C316" s="333"/>
      <c r="D316" s="333"/>
      <c r="E316" s="333"/>
      <c r="F316" s="322">
        <v>0.05</v>
      </c>
      <c r="G316" s="339"/>
    </row>
    <row r="317" spans="1:7">
      <c r="A317" s="332" t="s">
        <v>288</v>
      </c>
      <c r="B317" s="321" t="s">
        <v>2586</v>
      </c>
      <c r="C317" s="333"/>
      <c r="D317" s="333"/>
      <c r="E317" s="333"/>
      <c r="F317" s="322">
        <v>0.05</v>
      </c>
      <c r="G317" s="339"/>
    </row>
    <row r="318" spans="1:7">
      <c r="A318" s="332" t="s">
        <v>288</v>
      </c>
      <c r="B318" s="321" t="s">
        <v>2590</v>
      </c>
      <c r="C318" s="333"/>
      <c r="D318" s="333"/>
      <c r="E318" s="333"/>
      <c r="F318" s="322">
        <v>0.05</v>
      </c>
      <c r="G318" s="339"/>
    </row>
    <row r="319" spans="1:7">
      <c r="A319" s="332" t="s">
        <v>288</v>
      </c>
      <c r="B319" s="321" t="s">
        <v>2594</v>
      </c>
      <c r="C319" s="333"/>
      <c r="D319" s="333"/>
      <c r="E319" s="333"/>
      <c r="F319" s="322">
        <v>0.05</v>
      </c>
      <c r="G319" s="339"/>
    </row>
    <row r="320" spans="1:7">
      <c r="A320" s="332" t="s">
        <v>288</v>
      </c>
      <c r="B320" s="321" t="s">
        <v>2597</v>
      </c>
      <c r="C320" s="333"/>
      <c r="D320" s="333"/>
      <c r="E320" s="333"/>
      <c r="F320" s="322">
        <v>0.05</v>
      </c>
      <c r="G320" s="339"/>
    </row>
    <row r="321" spans="1:7">
      <c r="A321" s="332" t="s">
        <v>288</v>
      </c>
      <c r="B321" s="321" t="s">
        <v>2599</v>
      </c>
      <c r="C321" s="333"/>
      <c r="D321" s="333"/>
      <c r="E321" s="333"/>
      <c r="F321" s="322">
        <v>0.05</v>
      </c>
      <c r="G321" s="339"/>
    </row>
    <row r="322" spans="1:7">
      <c r="A322" s="332" t="s">
        <v>288</v>
      </c>
      <c r="B322" s="321" t="s">
        <v>2601</v>
      </c>
      <c r="C322" s="333"/>
      <c r="D322" s="333"/>
      <c r="E322" s="333"/>
      <c r="F322" s="322">
        <v>0.05</v>
      </c>
      <c r="G322" s="339"/>
    </row>
    <row r="323" spans="1:7">
      <c r="A323" s="332" t="s">
        <v>288</v>
      </c>
      <c r="B323" s="321" t="s">
        <v>2603</v>
      </c>
      <c r="C323" s="333"/>
      <c r="D323" s="333"/>
      <c r="E323" s="333"/>
      <c r="F323" s="322">
        <v>0.05</v>
      </c>
      <c r="G323" s="339"/>
    </row>
    <row r="324" spans="1:7">
      <c r="A324" s="332" t="s">
        <v>288</v>
      </c>
      <c r="B324" s="321" t="s">
        <v>2605</v>
      </c>
      <c r="C324" s="333"/>
      <c r="D324" s="333"/>
      <c r="E324" s="333"/>
      <c r="F324" s="322">
        <v>0.05</v>
      </c>
      <c r="G324" s="339"/>
    </row>
    <row r="325" spans="1:7">
      <c r="A325" s="332" t="s">
        <v>288</v>
      </c>
      <c r="B325" s="321" t="s">
        <v>2607</v>
      </c>
      <c r="C325" s="333"/>
      <c r="D325" s="333"/>
      <c r="E325" s="333"/>
      <c r="F325" s="322">
        <v>0.05</v>
      </c>
      <c r="G325" s="339"/>
    </row>
    <row r="326" ht="14.75" spans="1:7">
      <c r="A326" s="335" t="s">
        <v>288</v>
      </c>
      <c r="B326" s="325" t="s">
        <v>2609</v>
      </c>
      <c r="C326" s="327"/>
      <c r="D326" s="327"/>
      <c r="E326" s="327"/>
      <c r="F326" s="326">
        <v>0.05</v>
      </c>
      <c r="G326" s="340"/>
    </row>
    <row r="327" spans="1:7">
      <c r="A327" s="331" t="s">
        <v>292</v>
      </c>
      <c r="B327" s="317" t="s">
        <v>2250</v>
      </c>
      <c r="C327" s="318">
        <v>0.15</v>
      </c>
      <c r="D327" s="318">
        <v>0.15</v>
      </c>
      <c r="E327" s="318">
        <v>0.15</v>
      </c>
      <c r="F327" s="318">
        <v>0.15</v>
      </c>
      <c r="G327" s="319">
        <v>0.15</v>
      </c>
    </row>
    <row r="328" spans="1:7">
      <c r="A328" s="332" t="s">
        <v>292</v>
      </c>
      <c r="B328" s="321" t="s">
        <v>2263</v>
      </c>
      <c r="C328" s="322">
        <v>0.15</v>
      </c>
      <c r="D328" s="322">
        <v>0.15</v>
      </c>
      <c r="E328" s="322">
        <v>0.15</v>
      </c>
      <c r="F328" s="322">
        <v>0.126</v>
      </c>
      <c r="G328" s="323">
        <v>0.15</v>
      </c>
    </row>
    <row r="329" spans="1:7">
      <c r="A329" s="332" t="s">
        <v>292</v>
      </c>
      <c r="B329" s="321" t="s">
        <v>2277</v>
      </c>
      <c r="C329" s="322">
        <v>0.15</v>
      </c>
      <c r="D329" s="322">
        <v>0.15</v>
      </c>
      <c r="E329" s="322">
        <v>0.15</v>
      </c>
      <c r="F329" s="322">
        <v>0.15</v>
      </c>
      <c r="G329" s="323">
        <v>0.15</v>
      </c>
    </row>
    <row r="330" spans="1:7">
      <c r="A330" s="332" t="s">
        <v>292</v>
      </c>
      <c r="B330" s="321" t="s">
        <v>2289</v>
      </c>
      <c r="C330" s="322">
        <v>0.15</v>
      </c>
      <c r="D330" s="322">
        <v>0.15</v>
      </c>
      <c r="E330" s="322">
        <v>0.15</v>
      </c>
      <c r="F330" s="322">
        <v>0.15</v>
      </c>
      <c r="G330" s="323">
        <v>0.15</v>
      </c>
    </row>
    <row r="331" spans="1:7">
      <c r="A331" s="332" t="s">
        <v>292</v>
      </c>
      <c r="B331" s="321" t="s">
        <v>2301</v>
      </c>
      <c r="C331" s="322">
        <v>0.15</v>
      </c>
      <c r="D331" s="322">
        <v>0.15</v>
      </c>
      <c r="E331" s="322">
        <v>0.15</v>
      </c>
      <c r="F331" s="322">
        <v>0.15</v>
      </c>
      <c r="G331" s="323">
        <v>0.15</v>
      </c>
    </row>
    <row r="332" spans="1:7">
      <c r="A332" s="332" t="s">
        <v>292</v>
      </c>
      <c r="B332" s="321" t="s">
        <v>2312</v>
      </c>
      <c r="C332" s="322">
        <v>0.15</v>
      </c>
      <c r="D332" s="322">
        <v>0.15</v>
      </c>
      <c r="E332" s="322">
        <v>0.15</v>
      </c>
      <c r="F332" s="322">
        <v>0.15</v>
      </c>
      <c r="G332" s="323">
        <v>0.15</v>
      </c>
    </row>
    <row r="333" spans="1:7">
      <c r="A333" s="332" t="s">
        <v>292</v>
      </c>
      <c r="B333" s="321" t="s">
        <v>2323</v>
      </c>
      <c r="C333" s="322">
        <v>0.149</v>
      </c>
      <c r="D333" s="322">
        <v>0.149</v>
      </c>
      <c r="E333" s="322">
        <v>0.15</v>
      </c>
      <c r="F333" s="322">
        <v>0.116</v>
      </c>
      <c r="G333" s="323">
        <v>0.15</v>
      </c>
    </row>
    <row r="334" spans="1:7">
      <c r="A334" s="332" t="s">
        <v>292</v>
      </c>
      <c r="B334" s="321" t="s">
        <v>2334</v>
      </c>
      <c r="C334" s="322">
        <v>0.15</v>
      </c>
      <c r="D334" s="322">
        <v>0.15</v>
      </c>
      <c r="E334" s="322">
        <v>0.15</v>
      </c>
      <c r="F334" s="322">
        <v>0.13</v>
      </c>
      <c r="G334" s="323">
        <v>0.15</v>
      </c>
    </row>
    <row r="335" spans="1:7">
      <c r="A335" s="332" t="s">
        <v>292</v>
      </c>
      <c r="B335" s="321" t="s">
        <v>2344</v>
      </c>
      <c r="C335" s="322">
        <v>0.15</v>
      </c>
      <c r="D335" s="322">
        <v>0.15</v>
      </c>
      <c r="E335" s="322">
        <v>0.15</v>
      </c>
      <c r="F335" s="322">
        <v>0.144</v>
      </c>
      <c r="G335" s="323">
        <v>0.15</v>
      </c>
    </row>
    <row r="336" spans="1:7">
      <c r="A336" s="332" t="s">
        <v>292</v>
      </c>
      <c r="B336" s="321" t="s">
        <v>2354</v>
      </c>
      <c r="C336" s="322">
        <v>0.15</v>
      </c>
      <c r="D336" s="322">
        <v>0.15</v>
      </c>
      <c r="E336" s="322">
        <v>0.15</v>
      </c>
      <c r="F336" s="322">
        <v>0.142</v>
      </c>
      <c r="G336" s="323">
        <v>0.15</v>
      </c>
    </row>
    <row r="337" spans="1:7">
      <c r="A337" s="332" t="s">
        <v>292</v>
      </c>
      <c r="B337" s="321" t="s">
        <v>2364</v>
      </c>
      <c r="C337" s="322">
        <v>0.15</v>
      </c>
      <c r="D337" s="322">
        <v>0.15</v>
      </c>
      <c r="E337" s="322">
        <v>0.15</v>
      </c>
      <c r="F337" s="322">
        <v>0.145</v>
      </c>
      <c r="G337" s="323">
        <v>0.15</v>
      </c>
    </row>
    <row r="338" spans="1:7">
      <c r="A338" s="332" t="s">
        <v>292</v>
      </c>
      <c r="B338" s="321" t="s">
        <v>2374</v>
      </c>
      <c r="C338" s="322">
        <v>0.15</v>
      </c>
      <c r="D338" s="322">
        <v>0.15</v>
      </c>
      <c r="E338" s="322">
        <v>0.15</v>
      </c>
      <c r="F338" s="322">
        <v>0.15</v>
      </c>
      <c r="G338" s="323">
        <v>0.15</v>
      </c>
    </row>
    <row r="339" spans="1:7">
      <c r="A339" s="332" t="s">
        <v>292</v>
      </c>
      <c r="B339" s="321" t="s">
        <v>2384</v>
      </c>
      <c r="C339" s="322">
        <v>0.15</v>
      </c>
      <c r="D339" s="322">
        <v>0.15</v>
      </c>
      <c r="E339" s="322">
        <v>0.15</v>
      </c>
      <c r="F339" s="322">
        <v>0.147</v>
      </c>
      <c r="G339" s="323">
        <v>0.15</v>
      </c>
    </row>
    <row r="340" spans="1:7">
      <c r="A340" s="332" t="s">
        <v>292</v>
      </c>
      <c r="B340" s="321" t="s">
        <v>2394</v>
      </c>
      <c r="C340" s="322">
        <v>0.146</v>
      </c>
      <c r="D340" s="322">
        <v>0.146</v>
      </c>
      <c r="E340" s="322">
        <v>0.15</v>
      </c>
      <c r="F340" s="322">
        <v>0.141</v>
      </c>
      <c r="G340" s="323">
        <v>0.147</v>
      </c>
    </row>
    <row r="341" spans="1:7">
      <c r="A341" s="332" t="s">
        <v>292</v>
      </c>
      <c r="B341" s="321" t="s">
        <v>2404</v>
      </c>
      <c r="C341" s="322">
        <v>0.126</v>
      </c>
      <c r="D341" s="322">
        <v>0.124</v>
      </c>
      <c r="E341" s="322">
        <v>0.141</v>
      </c>
      <c r="F341" s="322">
        <v>0.144</v>
      </c>
      <c r="G341" s="323">
        <v>0.13</v>
      </c>
    </row>
    <row r="342" spans="1:7">
      <c r="A342" s="332" t="s">
        <v>292</v>
      </c>
      <c r="B342" s="321" t="s">
        <v>2414</v>
      </c>
      <c r="C342" s="322">
        <v>0.15</v>
      </c>
      <c r="D342" s="322">
        <v>0.15</v>
      </c>
      <c r="E342" s="322">
        <v>0.15</v>
      </c>
      <c r="F342" s="322">
        <v>0.144</v>
      </c>
      <c r="G342" s="323">
        <v>0.15</v>
      </c>
    </row>
    <row r="343" spans="1:7">
      <c r="A343" s="332" t="s">
        <v>292</v>
      </c>
      <c r="B343" s="321" t="s">
        <v>2424</v>
      </c>
      <c r="C343" s="322">
        <v>0.15</v>
      </c>
      <c r="D343" s="322">
        <v>0.15</v>
      </c>
      <c r="E343" s="322">
        <v>0.15</v>
      </c>
      <c r="F343" s="322">
        <v>0.128</v>
      </c>
      <c r="G343" s="323">
        <v>0.15</v>
      </c>
    </row>
    <row r="344" spans="1:7">
      <c r="A344" s="332" t="s">
        <v>292</v>
      </c>
      <c r="B344" s="321" t="s">
        <v>2434</v>
      </c>
      <c r="C344" s="322">
        <v>0.15</v>
      </c>
      <c r="D344" s="322">
        <v>0.15</v>
      </c>
      <c r="E344" s="322">
        <v>0.15</v>
      </c>
      <c r="F344" s="322">
        <v>0.148</v>
      </c>
      <c r="G344" s="323">
        <v>0.15</v>
      </c>
    </row>
    <row r="345" spans="1:7">
      <c r="A345" s="332" t="s">
        <v>292</v>
      </c>
      <c r="B345" s="321" t="s">
        <v>2444</v>
      </c>
      <c r="C345" s="322">
        <v>0.15</v>
      </c>
      <c r="D345" s="322">
        <v>0.15</v>
      </c>
      <c r="E345" s="322">
        <v>0.15</v>
      </c>
      <c r="F345" s="322">
        <v>0.138</v>
      </c>
      <c r="G345" s="323">
        <v>0.15</v>
      </c>
    </row>
    <row r="346" spans="1:7">
      <c r="A346" s="332" t="s">
        <v>292</v>
      </c>
      <c r="B346" s="321" t="s">
        <v>2454</v>
      </c>
      <c r="C346" s="322">
        <v>0.15</v>
      </c>
      <c r="D346" s="322">
        <v>0.15</v>
      </c>
      <c r="E346" s="322">
        <v>0.15</v>
      </c>
      <c r="F346" s="322">
        <v>0.144</v>
      </c>
      <c r="G346" s="323">
        <v>0.15</v>
      </c>
    </row>
    <row r="347" spans="1:7">
      <c r="A347" s="332" t="s">
        <v>292</v>
      </c>
      <c r="B347" s="321" t="s">
        <v>2463</v>
      </c>
      <c r="C347" s="322">
        <v>0.15</v>
      </c>
      <c r="D347" s="322">
        <v>0.15</v>
      </c>
      <c r="E347" s="322">
        <v>0.15</v>
      </c>
      <c r="F347" s="322">
        <v>0.146</v>
      </c>
      <c r="G347" s="323">
        <v>0.15</v>
      </c>
    </row>
    <row r="348" spans="1:7">
      <c r="A348" s="332" t="s">
        <v>292</v>
      </c>
      <c r="B348" s="321" t="s">
        <v>2471</v>
      </c>
      <c r="C348" s="322">
        <v>0.15</v>
      </c>
      <c r="D348" s="322">
        <v>0.15</v>
      </c>
      <c r="E348" s="322">
        <v>0.15</v>
      </c>
      <c r="F348" s="322">
        <v>0.144</v>
      </c>
      <c r="G348" s="323">
        <v>0.15</v>
      </c>
    </row>
    <row r="349" spans="1:7">
      <c r="A349" s="332" t="s">
        <v>292</v>
      </c>
      <c r="B349" s="321" t="s">
        <v>2479</v>
      </c>
      <c r="C349" s="322">
        <v>0.15</v>
      </c>
      <c r="D349" s="322">
        <v>0.15</v>
      </c>
      <c r="E349" s="322">
        <v>0.15</v>
      </c>
      <c r="F349" s="322">
        <v>0.15</v>
      </c>
      <c r="G349" s="323">
        <v>0.15</v>
      </c>
    </row>
    <row r="350" spans="1:7">
      <c r="A350" s="332" t="s">
        <v>292</v>
      </c>
      <c r="B350" s="321" t="s">
        <v>2487</v>
      </c>
      <c r="C350" s="322">
        <v>0.15</v>
      </c>
      <c r="D350" s="322">
        <v>0.15</v>
      </c>
      <c r="E350" s="322">
        <v>0.15</v>
      </c>
      <c r="F350" s="322">
        <v>0.147</v>
      </c>
      <c r="G350" s="323">
        <v>0.15</v>
      </c>
    </row>
    <row r="351" spans="1:7">
      <c r="A351" s="332" t="s">
        <v>292</v>
      </c>
      <c r="B351" s="321" t="s">
        <v>2495</v>
      </c>
      <c r="C351" s="322">
        <v>0.15</v>
      </c>
      <c r="D351" s="322">
        <v>0.15</v>
      </c>
      <c r="E351" s="322">
        <v>0.15</v>
      </c>
      <c r="F351" s="322">
        <v>0.13</v>
      </c>
      <c r="G351" s="323">
        <v>0.15</v>
      </c>
    </row>
    <row r="352" spans="1:7">
      <c r="A352" s="332" t="s">
        <v>292</v>
      </c>
      <c r="B352" s="321" t="s">
        <v>2502</v>
      </c>
      <c r="C352" s="322">
        <v>0.15</v>
      </c>
      <c r="D352" s="322">
        <v>0.15</v>
      </c>
      <c r="E352" s="322">
        <v>0.15</v>
      </c>
      <c r="F352" s="322">
        <v>0.146</v>
      </c>
      <c r="G352" s="323">
        <v>0.15</v>
      </c>
    </row>
    <row r="353" spans="1:7">
      <c r="A353" s="332" t="s">
        <v>292</v>
      </c>
      <c r="B353" s="321" t="s">
        <v>2509</v>
      </c>
      <c r="C353" s="322">
        <v>0.15</v>
      </c>
      <c r="D353" s="322">
        <v>0.15</v>
      </c>
      <c r="E353" s="322">
        <v>0.15</v>
      </c>
      <c r="F353" s="322">
        <v>0.145</v>
      </c>
      <c r="G353" s="323">
        <v>0.15</v>
      </c>
    </row>
    <row r="354" spans="1:7">
      <c r="A354" s="332" t="s">
        <v>292</v>
      </c>
      <c r="B354" s="321" t="s">
        <v>2516</v>
      </c>
      <c r="C354" s="322">
        <v>0.15</v>
      </c>
      <c r="D354" s="322">
        <v>0.15</v>
      </c>
      <c r="E354" s="322">
        <v>0.15</v>
      </c>
      <c r="F354" s="322">
        <v>0.141</v>
      </c>
      <c r="G354" s="323">
        <v>0.15</v>
      </c>
    </row>
    <row r="355" spans="1:7">
      <c r="A355" s="332" t="s">
        <v>292</v>
      </c>
      <c r="B355" s="321" t="s">
        <v>2522</v>
      </c>
      <c r="C355" s="322">
        <v>0.15</v>
      </c>
      <c r="D355" s="322">
        <v>0.15</v>
      </c>
      <c r="E355" s="322">
        <v>0.15</v>
      </c>
      <c r="F355" s="322">
        <v>0.15</v>
      </c>
      <c r="G355" s="323">
        <v>0.15</v>
      </c>
    </row>
    <row r="356" spans="1:7">
      <c r="A356" s="332" t="s">
        <v>292</v>
      </c>
      <c r="B356" s="321" t="s">
        <v>2529</v>
      </c>
      <c r="C356" s="322">
        <v>0.15</v>
      </c>
      <c r="D356" s="322">
        <v>0.15</v>
      </c>
      <c r="E356" s="322">
        <v>0.15</v>
      </c>
      <c r="F356" s="322">
        <v>0.15</v>
      </c>
      <c r="G356" s="323">
        <v>0.15</v>
      </c>
    </row>
    <row r="357" ht="14.75" spans="1:7">
      <c r="A357" s="335" t="s">
        <v>292</v>
      </c>
      <c r="B357" s="325" t="s">
        <v>2536</v>
      </c>
      <c r="C357" s="326">
        <v>0.126</v>
      </c>
      <c r="D357" s="326">
        <v>0.127</v>
      </c>
      <c r="E357" s="326">
        <v>0.143</v>
      </c>
      <c r="F357" s="326">
        <v>0.125</v>
      </c>
      <c r="G357" s="328">
        <v>0.129</v>
      </c>
    </row>
    <row r="358" spans="1:7">
      <c r="A358" s="331" t="s">
        <v>296</v>
      </c>
      <c r="B358" s="317" t="s">
        <v>2251</v>
      </c>
      <c r="C358" s="318">
        <v>0.15</v>
      </c>
      <c r="D358" s="318">
        <v>0.15</v>
      </c>
      <c r="E358" s="318">
        <v>0.15</v>
      </c>
      <c r="F358" s="318">
        <v>0.15</v>
      </c>
      <c r="G358" s="319">
        <v>0.15</v>
      </c>
    </row>
    <row r="359" spans="1:7">
      <c r="A359" s="332" t="s">
        <v>296</v>
      </c>
      <c r="B359" s="321" t="s">
        <v>2264</v>
      </c>
      <c r="C359" s="322">
        <v>0.1</v>
      </c>
      <c r="D359" s="322">
        <v>0.1</v>
      </c>
      <c r="E359" s="322">
        <v>0.1</v>
      </c>
      <c r="F359" s="322">
        <v>0.1</v>
      </c>
      <c r="G359" s="323">
        <v>0.1</v>
      </c>
    </row>
    <row r="360" spans="1:7">
      <c r="A360" s="332" t="s">
        <v>296</v>
      </c>
      <c r="B360" s="321" t="s">
        <v>2278</v>
      </c>
      <c r="C360" s="322">
        <v>0.15</v>
      </c>
      <c r="D360" s="322">
        <v>0.15</v>
      </c>
      <c r="E360" s="322">
        <v>0.15</v>
      </c>
      <c r="F360" s="322">
        <v>0.149</v>
      </c>
      <c r="G360" s="323">
        <v>0.15</v>
      </c>
    </row>
    <row r="361" spans="1:7">
      <c r="A361" s="332" t="s">
        <v>296</v>
      </c>
      <c r="B361" s="321" t="s">
        <v>2290</v>
      </c>
      <c r="C361" s="322">
        <v>0.15</v>
      </c>
      <c r="D361" s="322">
        <v>0.15</v>
      </c>
      <c r="E361" s="322">
        <v>0.15</v>
      </c>
      <c r="F361" s="322">
        <v>0.115</v>
      </c>
      <c r="G361" s="323">
        <v>0.15</v>
      </c>
    </row>
    <row r="362" spans="1:7">
      <c r="A362" s="332" t="s">
        <v>296</v>
      </c>
      <c r="B362" s="321" t="s">
        <v>2302</v>
      </c>
      <c r="C362" s="322">
        <v>0.15</v>
      </c>
      <c r="D362" s="322">
        <v>0.15</v>
      </c>
      <c r="E362" s="322">
        <v>0.15</v>
      </c>
      <c r="F362" s="322">
        <v>0.106</v>
      </c>
      <c r="G362" s="323">
        <v>0.15</v>
      </c>
    </row>
    <row r="363" spans="1:7">
      <c r="A363" s="332" t="s">
        <v>296</v>
      </c>
      <c r="B363" s="321" t="s">
        <v>2313</v>
      </c>
      <c r="C363" s="322">
        <v>0.15</v>
      </c>
      <c r="D363" s="322">
        <v>0.15</v>
      </c>
      <c r="E363" s="322">
        <v>0.15</v>
      </c>
      <c r="F363" s="322">
        <v>0.147</v>
      </c>
      <c r="G363" s="323">
        <v>0.15</v>
      </c>
    </row>
    <row r="364" spans="1:7">
      <c r="A364" s="332" t="s">
        <v>296</v>
      </c>
      <c r="B364" s="321" t="s">
        <v>2324</v>
      </c>
      <c r="C364" s="322">
        <v>0.15</v>
      </c>
      <c r="D364" s="322">
        <v>0.15</v>
      </c>
      <c r="E364" s="322">
        <v>0.15</v>
      </c>
      <c r="F364" s="322">
        <v>0.148</v>
      </c>
      <c r="G364" s="323">
        <v>0.15</v>
      </c>
    </row>
    <row r="365" spans="1:7">
      <c r="A365" s="332" t="s">
        <v>296</v>
      </c>
      <c r="B365" s="321" t="s">
        <v>2335</v>
      </c>
      <c r="C365" s="322">
        <v>0.15</v>
      </c>
      <c r="D365" s="322">
        <v>0.15</v>
      </c>
      <c r="E365" s="322">
        <v>0.15</v>
      </c>
      <c r="F365" s="322">
        <v>0.15</v>
      </c>
      <c r="G365" s="323">
        <v>0.15</v>
      </c>
    </row>
    <row r="366" spans="1:7">
      <c r="A366" s="332" t="s">
        <v>296</v>
      </c>
      <c r="B366" s="321" t="s">
        <v>2345</v>
      </c>
      <c r="C366" s="322">
        <v>0.15</v>
      </c>
      <c r="D366" s="322">
        <v>0.15</v>
      </c>
      <c r="E366" s="322">
        <v>0.15</v>
      </c>
      <c r="F366" s="322">
        <v>0.15</v>
      </c>
      <c r="G366" s="323">
        <v>0.15</v>
      </c>
    </row>
    <row r="367" spans="1:7">
      <c r="A367" s="332" t="s">
        <v>296</v>
      </c>
      <c r="B367" s="321" t="s">
        <v>2355</v>
      </c>
      <c r="C367" s="322">
        <v>0.15</v>
      </c>
      <c r="D367" s="322">
        <v>0.15</v>
      </c>
      <c r="E367" s="322">
        <v>0.15</v>
      </c>
      <c r="F367" s="322">
        <v>0.147</v>
      </c>
      <c r="G367" s="323">
        <v>0.15</v>
      </c>
    </row>
    <row r="368" spans="1:7">
      <c r="A368" s="332" t="s">
        <v>296</v>
      </c>
      <c r="B368" s="321" t="s">
        <v>2365</v>
      </c>
      <c r="C368" s="322">
        <v>0.15</v>
      </c>
      <c r="D368" s="322">
        <v>0.15</v>
      </c>
      <c r="E368" s="322">
        <v>0.15</v>
      </c>
      <c r="F368" s="322">
        <v>0.136</v>
      </c>
      <c r="G368" s="323">
        <v>0.15</v>
      </c>
    </row>
    <row r="369" spans="1:7">
      <c r="A369" s="332" t="s">
        <v>296</v>
      </c>
      <c r="B369" s="321" t="s">
        <v>2375</v>
      </c>
      <c r="C369" s="322">
        <v>0.15</v>
      </c>
      <c r="D369" s="322">
        <v>0.15</v>
      </c>
      <c r="E369" s="322">
        <v>0.15</v>
      </c>
      <c r="F369" s="322">
        <v>0.144</v>
      </c>
      <c r="G369" s="323">
        <v>0.15</v>
      </c>
    </row>
    <row r="370" spans="1:7">
      <c r="A370" s="332" t="s">
        <v>296</v>
      </c>
      <c r="B370" s="321" t="s">
        <v>2385</v>
      </c>
      <c r="C370" s="322">
        <v>0.15</v>
      </c>
      <c r="D370" s="322">
        <v>0.15</v>
      </c>
      <c r="E370" s="322">
        <v>0.15</v>
      </c>
      <c r="F370" s="322">
        <v>0.146</v>
      </c>
      <c r="G370" s="323">
        <v>0.15</v>
      </c>
    </row>
    <row r="371" spans="1:7">
      <c r="A371" s="332" t="s">
        <v>296</v>
      </c>
      <c r="B371" s="321" t="s">
        <v>2395</v>
      </c>
      <c r="C371" s="322">
        <v>0.15</v>
      </c>
      <c r="D371" s="322">
        <v>0.15</v>
      </c>
      <c r="E371" s="322">
        <v>0.15</v>
      </c>
      <c r="F371" s="322">
        <v>0.12</v>
      </c>
      <c r="G371" s="323">
        <v>0.15</v>
      </c>
    </row>
    <row r="372" spans="1:7">
      <c r="A372" s="332" t="s">
        <v>296</v>
      </c>
      <c r="B372" s="321" t="s">
        <v>2405</v>
      </c>
      <c r="C372" s="322">
        <v>0.15</v>
      </c>
      <c r="D372" s="322">
        <v>0.15</v>
      </c>
      <c r="E372" s="322">
        <v>0.15</v>
      </c>
      <c r="F372" s="322">
        <v>0.143</v>
      </c>
      <c r="G372" s="323">
        <v>0.15</v>
      </c>
    </row>
    <row r="373" spans="1:7">
      <c r="A373" s="332" t="s">
        <v>296</v>
      </c>
      <c r="B373" s="321" t="s">
        <v>2415</v>
      </c>
      <c r="C373" s="322">
        <v>0.15</v>
      </c>
      <c r="D373" s="322">
        <v>0.15</v>
      </c>
      <c r="E373" s="322">
        <v>0.15</v>
      </c>
      <c r="F373" s="322">
        <v>0.146</v>
      </c>
      <c r="G373" s="323">
        <v>0.15</v>
      </c>
    </row>
    <row r="374" spans="1:7">
      <c r="A374" s="332" t="s">
        <v>296</v>
      </c>
      <c r="B374" s="321" t="s">
        <v>2425</v>
      </c>
      <c r="C374" s="322">
        <v>0.15</v>
      </c>
      <c r="D374" s="322">
        <v>0.15</v>
      </c>
      <c r="E374" s="322">
        <v>0.15</v>
      </c>
      <c r="F374" s="322">
        <v>0.144</v>
      </c>
      <c r="G374" s="323">
        <v>0.15</v>
      </c>
    </row>
    <row r="375" spans="1:7">
      <c r="A375" s="332" t="s">
        <v>296</v>
      </c>
      <c r="B375" s="321" t="s">
        <v>2435</v>
      </c>
      <c r="C375" s="322">
        <v>0.15</v>
      </c>
      <c r="D375" s="322">
        <v>0.15</v>
      </c>
      <c r="E375" s="322">
        <v>0.15</v>
      </c>
      <c r="F375" s="322">
        <v>0.13</v>
      </c>
      <c r="G375" s="323">
        <v>0.15</v>
      </c>
    </row>
    <row r="376" spans="1:7">
      <c r="A376" s="332" t="s">
        <v>296</v>
      </c>
      <c r="B376" s="321" t="s">
        <v>2445</v>
      </c>
      <c r="C376" s="322">
        <v>0.15</v>
      </c>
      <c r="D376" s="322">
        <v>0.15</v>
      </c>
      <c r="E376" s="322">
        <v>0.15</v>
      </c>
      <c r="F376" s="322">
        <v>0.142</v>
      </c>
      <c r="G376" s="323">
        <v>0.15</v>
      </c>
    </row>
    <row r="377" ht="14.75" spans="1:7">
      <c r="A377" s="335" t="s">
        <v>296</v>
      </c>
      <c r="B377" s="325" t="s">
        <v>2455</v>
      </c>
      <c r="C377" s="326">
        <v>0.15</v>
      </c>
      <c r="D377" s="326">
        <v>0.15</v>
      </c>
      <c r="E377" s="326">
        <v>0.15</v>
      </c>
      <c r="F377" s="326">
        <v>0.14</v>
      </c>
      <c r="G377" s="328">
        <v>0.15</v>
      </c>
    </row>
    <row r="378" spans="1:7">
      <c r="A378" s="331" t="s">
        <v>300</v>
      </c>
      <c r="B378" s="317" t="s">
        <v>2252</v>
      </c>
      <c r="C378" s="318">
        <v>0.15</v>
      </c>
      <c r="D378" s="318">
        <v>0.15</v>
      </c>
      <c r="E378" s="318">
        <v>0.15</v>
      </c>
      <c r="F378" s="318">
        <v>0.107</v>
      </c>
      <c r="G378" s="319">
        <v>0.15</v>
      </c>
    </row>
    <row r="379" spans="1:7">
      <c r="A379" s="332" t="s">
        <v>300</v>
      </c>
      <c r="B379" s="321" t="s">
        <v>2265</v>
      </c>
      <c r="C379" s="322">
        <v>0.15</v>
      </c>
      <c r="D379" s="322">
        <v>0.15</v>
      </c>
      <c r="E379" s="322">
        <v>0.15</v>
      </c>
      <c r="F379" s="322">
        <v>0.115</v>
      </c>
      <c r="G379" s="323">
        <v>0.149</v>
      </c>
    </row>
    <row r="380" spans="1:7">
      <c r="A380" s="332" t="s">
        <v>300</v>
      </c>
      <c r="B380" s="321" t="s">
        <v>2279</v>
      </c>
      <c r="C380" s="322">
        <v>0.15</v>
      </c>
      <c r="D380" s="322">
        <v>0.15</v>
      </c>
      <c r="E380" s="322">
        <v>0.15</v>
      </c>
      <c r="F380" s="322">
        <v>0.1</v>
      </c>
      <c r="G380" s="323">
        <v>0.148</v>
      </c>
    </row>
    <row r="381" spans="1:7">
      <c r="A381" s="332" t="s">
        <v>300</v>
      </c>
      <c r="B381" s="321" t="s">
        <v>2291</v>
      </c>
      <c r="C381" s="322">
        <v>0.15</v>
      </c>
      <c r="D381" s="322">
        <v>0.15</v>
      </c>
      <c r="E381" s="322">
        <v>0.15</v>
      </c>
      <c r="F381" s="322">
        <v>0.126</v>
      </c>
      <c r="G381" s="323">
        <v>0.15</v>
      </c>
    </row>
    <row r="382" spans="1:7">
      <c r="A382" s="332" t="s">
        <v>300</v>
      </c>
      <c r="B382" s="321" t="s">
        <v>2303</v>
      </c>
      <c r="C382" s="322">
        <v>0.15</v>
      </c>
      <c r="D382" s="322">
        <v>0.15</v>
      </c>
      <c r="E382" s="322">
        <v>0.15</v>
      </c>
      <c r="F382" s="322">
        <v>0.15</v>
      </c>
      <c r="G382" s="323">
        <v>0.15</v>
      </c>
    </row>
    <row r="383" spans="1:7">
      <c r="A383" s="332" t="s">
        <v>300</v>
      </c>
      <c r="B383" s="321" t="s">
        <v>2314</v>
      </c>
      <c r="C383" s="322">
        <v>0.15</v>
      </c>
      <c r="D383" s="322">
        <v>0.15</v>
      </c>
      <c r="E383" s="322">
        <v>0.15</v>
      </c>
      <c r="F383" s="322">
        <v>0.147</v>
      </c>
      <c r="G383" s="323">
        <v>0.15</v>
      </c>
    </row>
    <row r="384" ht="14.75" spans="1:7">
      <c r="A384" s="342" t="s">
        <v>300</v>
      </c>
      <c r="B384" s="343" t="s">
        <v>2325</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99"/>
  </cols>
  <sheetData>
    <row r="1" spans="1:6">
      <c r="A1" s="300" t="s">
        <v>2628</v>
      </c>
      <c r="B1" s="300"/>
      <c r="C1" s="300"/>
      <c r="D1" s="300"/>
      <c r="E1" s="300"/>
      <c r="F1" s="301"/>
    </row>
    <row r="2" spans="1:6">
      <c r="A2" s="302" t="s">
        <v>2629</v>
      </c>
      <c r="B2" s="303"/>
      <c r="C2" s="303"/>
      <c r="D2" s="303"/>
      <c r="E2" s="303"/>
      <c r="F2" s="303"/>
    </row>
    <row r="3" spans="1:6">
      <c r="A3" s="302" t="s">
        <v>2630</v>
      </c>
      <c r="B3" s="303"/>
      <c r="C3" s="303"/>
      <c r="D3" s="303"/>
      <c r="E3" s="303"/>
      <c r="F3" s="304" t="s">
        <v>2631</v>
      </c>
    </row>
    <row r="4" spans="1:6">
      <c r="A4" s="305" t="s">
        <v>404</v>
      </c>
      <c r="B4" s="305" t="s">
        <v>1916</v>
      </c>
      <c r="C4" s="305" t="s">
        <v>1181</v>
      </c>
      <c r="D4" s="305" t="s">
        <v>2632</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4"/>
  <sheetViews>
    <sheetView zoomScale="80" zoomScaleNormal="80" workbookViewId="0">
      <selection activeCell="Q80" sqref="Q80"/>
    </sheetView>
  </sheetViews>
  <sheetFormatPr defaultColWidth="9" defaultRowHeight="14"/>
  <cols>
    <col min="1" max="1" width="13.8727272727273" customWidth="1"/>
    <col min="11" max="17" width="9" hidden="1" customWidth="1"/>
    <col min="25" max="30" width="9" hidden="1" customWidth="1"/>
  </cols>
  <sheetData>
    <row r="1" spans="1:30">
      <c r="A1" s="225">
        <f>基准地价修正!G23</f>
        <v>45538</v>
      </c>
      <c r="B1" s="226" t="s">
        <v>2633</v>
      </c>
      <c r="C1" s="227"/>
      <c r="D1" s="227"/>
      <c r="E1" s="227"/>
      <c r="F1" s="227"/>
      <c r="G1" s="227"/>
      <c r="H1" s="227"/>
      <c r="I1" s="227"/>
      <c r="J1" s="253"/>
      <c r="K1" s="227" t="s">
        <v>2634</v>
      </c>
      <c r="L1" s="227"/>
      <c r="M1" s="227"/>
      <c r="N1" s="227"/>
      <c r="O1" s="227"/>
      <c r="P1" s="227"/>
      <c r="Q1" s="253"/>
      <c r="R1" s="273" t="s">
        <v>2635</v>
      </c>
      <c r="S1" s="224"/>
      <c r="T1" s="224"/>
      <c r="U1" s="224"/>
      <c r="V1" s="224"/>
      <c r="W1" s="224"/>
      <c r="X1" s="253"/>
      <c r="Y1" s="273" t="s">
        <v>2636</v>
      </c>
      <c r="Z1" s="224"/>
      <c r="AA1" s="224"/>
      <c r="AB1" s="224"/>
      <c r="AC1" s="224"/>
      <c r="AD1" s="224"/>
    </row>
    <row r="2" s="217" customFormat="1" ht="14.75" spans="2:30">
      <c r="B2" s="228"/>
      <c r="C2" s="229"/>
      <c r="D2" s="230" t="s">
        <v>2637</v>
      </c>
      <c r="E2" s="231" t="s">
        <v>1916</v>
      </c>
      <c r="F2" s="231" t="s">
        <v>1181</v>
      </c>
      <c r="G2" s="231" t="s">
        <v>412</v>
      </c>
      <c r="H2" s="231" t="s">
        <v>408</v>
      </c>
      <c r="I2" s="231" t="s">
        <v>280</v>
      </c>
      <c r="J2" s="254"/>
      <c r="K2" s="230" t="s">
        <v>2637</v>
      </c>
      <c r="L2" s="231" t="s">
        <v>1916</v>
      </c>
      <c r="M2" s="231" t="s">
        <v>1181</v>
      </c>
      <c r="N2" s="231" t="s">
        <v>412</v>
      </c>
      <c r="O2" s="231" t="s">
        <v>408</v>
      </c>
      <c r="P2" s="231" t="s">
        <v>280</v>
      </c>
      <c r="Q2" s="254"/>
      <c r="R2" s="230" t="s">
        <v>2637</v>
      </c>
      <c r="S2" s="231" t="s">
        <v>1916</v>
      </c>
      <c r="T2" s="231" t="s">
        <v>1181</v>
      </c>
      <c r="U2" s="231" t="s">
        <v>412</v>
      </c>
      <c r="V2" s="231" t="s">
        <v>408</v>
      </c>
      <c r="W2" s="231" t="s">
        <v>280</v>
      </c>
      <c r="X2" s="254"/>
      <c r="Y2" s="230" t="s">
        <v>2637</v>
      </c>
      <c r="Z2" s="231" t="s">
        <v>1916</v>
      </c>
      <c r="AA2" s="231" t="s">
        <v>1181</v>
      </c>
      <c r="AB2" s="231" t="s">
        <v>412</v>
      </c>
      <c r="AC2" s="231" t="s">
        <v>408</v>
      </c>
      <c r="AD2" s="231" t="s">
        <v>280</v>
      </c>
    </row>
    <row r="3" s="218" customFormat="1" ht="13" spans="1:30">
      <c r="A3" s="232" t="s">
        <v>2638</v>
      </c>
      <c r="B3" s="233"/>
      <c r="C3" s="234"/>
      <c r="D3" s="234">
        <f>ROUND(AVERAGEIF(D4:D19,"&lt;&gt;0"),2)</f>
        <v>0.59</v>
      </c>
      <c r="E3" s="234">
        <f t="shared" ref="E3:H3" si="0">ROUND(AVERAGEIF(E4:E19,"&lt;&gt;0"),2)</f>
        <v>0.36</v>
      </c>
      <c r="F3" s="234">
        <f t="shared" si="0"/>
        <v>0.06</v>
      </c>
      <c r="G3" s="234">
        <f t="shared" si="0"/>
        <v>0.6</v>
      </c>
      <c r="H3" s="234">
        <f t="shared" si="0"/>
        <v>0.6</v>
      </c>
      <c r="I3" s="234">
        <f>F3</f>
        <v>0.06</v>
      </c>
      <c r="J3" s="255"/>
      <c r="K3" s="256">
        <f>ROUND(AVERAGEIF(K4:K19,"&lt;&gt;0"),4)</f>
        <v>0.0059</v>
      </c>
      <c r="L3" s="257">
        <f t="shared" ref="L3:O3" si="1">ROUND(AVERAGEIF(L4:L19,"&lt;&gt;0"),4)</f>
        <v>0.0036</v>
      </c>
      <c r="M3" s="257">
        <f t="shared" si="1"/>
        <v>0.0006</v>
      </c>
      <c r="N3" s="257">
        <f t="shared" si="1"/>
        <v>0.006</v>
      </c>
      <c r="O3" s="257">
        <f t="shared" si="1"/>
        <v>0.006</v>
      </c>
      <c r="P3" s="257">
        <f>M3</f>
        <v>0.0006</v>
      </c>
      <c r="Q3" s="255"/>
      <c r="R3" s="274">
        <f>ROUND(SUMPRODUCT(PRODUCT(1+K4:K19)),4)</f>
        <v>1.0853</v>
      </c>
      <c r="S3" s="275">
        <f t="shared" ref="S3:V3" si="2">ROUND(SUMPRODUCT(PRODUCT(1+L4:L19)),4)</f>
        <v>1.0514</v>
      </c>
      <c r="T3" s="275">
        <f t="shared" si="2"/>
        <v>1.0083</v>
      </c>
      <c r="U3" s="275">
        <f t="shared" si="2"/>
        <v>1.0872</v>
      </c>
      <c r="V3" s="275">
        <f t="shared" si="2"/>
        <v>1.088</v>
      </c>
      <c r="W3" s="274">
        <f>T3</f>
        <v>1.0083</v>
      </c>
      <c r="X3" s="255"/>
      <c r="Y3" s="282">
        <f>ROUND(AVERAGEIF(Y6:Y19,"&lt;&gt;0"),4)</f>
        <v>0.0084</v>
      </c>
      <c r="Z3" s="283">
        <f t="shared" ref="Z3:AC3" si="3">ROUND(AVERAGEIF(Z6:Z19,"&lt;&gt;0"),4)</f>
        <v>0.0035</v>
      </c>
      <c r="AA3" s="284">
        <f t="shared" si="3"/>
        <v>0.0008</v>
      </c>
      <c r="AB3" s="282">
        <f t="shared" si="3"/>
        <v>0.0091</v>
      </c>
      <c r="AC3" s="285">
        <f t="shared" si="3"/>
        <v>0.0061</v>
      </c>
      <c r="AD3" s="282">
        <f>AA3</f>
        <v>0.0008</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2639</v>
      </c>
      <c r="B5" s="237">
        <v>2024</v>
      </c>
      <c r="C5" s="238">
        <v>3</v>
      </c>
      <c r="D5" s="239">
        <v>0</v>
      </c>
      <c r="E5" s="239">
        <v>0</v>
      </c>
      <c r="F5" s="239">
        <v>0</v>
      </c>
      <c r="G5" s="239">
        <v>0</v>
      </c>
      <c r="H5" s="239">
        <v>0</v>
      </c>
      <c r="I5" s="260">
        <f t="shared" ref="I5" si="4">F5</f>
        <v>0</v>
      </c>
      <c r="J5" s="261"/>
      <c r="K5" s="262">
        <f t="shared" ref="K5" si="5">D5/100</f>
        <v>0</v>
      </c>
      <c r="L5" s="263">
        <f t="shared" ref="L5" si="6">E5/100</f>
        <v>0</v>
      </c>
      <c r="M5" s="263">
        <f t="shared" ref="M5" si="7">F5/100</f>
        <v>0</v>
      </c>
      <c r="N5" s="263">
        <f t="shared" ref="N5" si="8">G5/100</f>
        <v>0</v>
      </c>
      <c r="O5" s="263">
        <f t="shared" ref="O5" si="9">H5/100</f>
        <v>0</v>
      </c>
      <c r="P5" s="263">
        <f>M5</f>
        <v>0</v>
      </c>
      <c r="Q5" s="261"/>
      <c r="R5" s="280">
        <f>ROUND(IF(项目基本情况!$B$8="出让",SUMPRODUCT(PRODUCT(1+K5:$K$19)),SUMPRODUCT(PRODUCT(1+K5:$K$18))),4)</f>
        <v>1.0748</v>
      </c>
      <c r="S5" s="280">
        <f>ROUND(IF(项目基本情况!$B$8="出让",SUMPRODUCT(PRODUCT(1+L5:$L$19)),SUMPRODUCT(PRODUCT(1+L5:$L$18))),4)</f>
        <v>1.0498</v>
      </c>
      <c r="T5" s="280">
        <f>ROUND(IF(项目基本情况!$B$8="出让",SUMPRODUCT(PRODUCT(1+M5:$M$19)),SUMPRODUCT(PRODUCT(1+M5:$M$18))),4)</f>
        <v>1.0108</v>
      </c>
      <c r="U5" s="280">
        <f>ROUND(IF(项目基本情况!$B$8="出让",SUMPRODUCT(PRODUCT(1+N5:$N$19)),SUMPRODUCT(PRODUCT(1+N5:$N$18))),4)</f>
        <v>1.0753</v>
      </c>
      <c r="V5" s="280">
        <f>ROUND(IF(项目基本情况!$B$8="出让",SUMPRODUCT(PRODUCT(1+O5:$O$19)),SUMPRODUCT(PRODUCT(1+O5:$O$18))),4)</f>
        <v>1.0841</v>
      </c>
      <c r="W5" s="280">
        <f>T5</f>
        <v>1.0108</v>
      </c>
      <c r="X5" s="261"/>
      <c r="Y5" s="289">
        <f>IF(D5=0,0,ROUND(AVERAGE(D5:D18)/100,4))</f>
        <v>0</v>
      </c>
      <c r="Z5" s="289">
        <f t="shared" ref="Z5" si="10">IF(E5=0,0,ROUND(AVERAGE(E5:E18)/100,4))</f>
        <v>0</v>
      </c>
      <c r="AA5" s="289">
        <f t="shared" ref="AA5" si="11">IF(F5=0,0,ROUND(AVERAGE(F5:F18)/100,4))</f>
        <v>0</v>
      </c>
      <c r="AB5" s="289">
        <f t="shared" ref="AB5" si="12">IF(G5=0,0,ROUND(AVERAGE(G5:G18)/100,4))</f>
        <v>0</v>
      </c>
      <c r="AC5" s="289">
        <f t="shared" ref="AC5" si="13">IF(H5=0,0,ROUND(AVERAGE(H5:H18)/100,4))</f>
        <v>0</v>
      </c>
      <c r="AD5" s="289">
        <f t="shared" ref="AD5" si="14">AA5</f>
        <v>0</v>
      </c>
    </row>
    <row r="6" s="221" customFormat="1" ht="13" spans="1:30">
      <c r="A6" s="240" t="s">
        <v>2640</v>
      </c>
      <c r="B6" s="241">
        <v>2024</v>
      </c>
      <c r="C6" s="242">
        <v>2</v>
      </c>
      <c r="D6" s="243">
        <v>-0.59</v>
      </c>
      <c r="E6" s="243">
        <v>-0.21</v>
      </c>
      <c r="F6" s="243">
        <v>-1.38</v>
      </c>
      <c r="G6" s="243">
        <v>-1.24</v>
      </c>
      <c r="H6" s="244">
        <v>0.34</v>
      </c>
      <c r="I6" s="264">
        <f t="shared" ref="I6:I19" si="15">F6</f>
        <v>-1.38</v>
      </c>
      <c r="J6" s="265"/>
      <c r="K6" s="266">
        <f t="shared" ref="K6:O19" si="16">D6/100</f>
        <v>-0.0059</v>
      </c>
      <c r="L6" s="267">
        <f t="shared" si="16"/>
        <v>-0.0021</v>
      </c>
      <c r="M6" s="267">
        <f t="shared" si="16"/>
        <v>-0.0138</v>
      </c>
      <c r="N6" s="267">
        <f t="shared" si="16"/>
        <v>-0.0124</v>
      </c>
      <c r="O6" s="267">
        <f t="shared" si="16"/>
        <v>0.0034</v>
      </c>
      <c r="P6" s="267">
        <f>M6</f>
        <v>-0.0138</v>
      </c>
      <c r="Q6" s="265"/>
      <c r="R6" s="265">
        <f>ROUND(IF(项目基本情况!$B$8="出让",SUMPRODUCT(PRODUCT(1+K6:$K$19)),SUMPRODUCT(PRODUCT(1+K6:$K$18))),4)</f>
        <v>1.0748</v>
      </c>
      <c r="S6" s="265">
        <f>ROUND(IF(项目基本情况!$B$8="出让",SUMPRODUCT(PRODUCT(1+L6:$L$19)),SUMPRODUCT(PRODUCT(1+L6:$L$18))),4)</f>
        <v>1.0498</v>
      </c>
      <c r="T6" s="265">
        <f>ROUND(IF(项目基本情况!$B$8="出让",SUMPRODUCT(PRODUCT(1+M6:$M$19)),SUMPRODUCT(PRODUCT(1+M6:$M$18))),4)</f>
        <v>1.0108</v>
      </c>
      <c r="U6" s="265">
        <f>ROUND(IF(项目基本情况!$B$8="出让",SUMPRODUCT(PRODUCT(1+N6:$N$19)),SUMPRODUCT(PRODUCT(1+N6:$N$18))),4)</f>
        <v>1.0753</v>
      </c>
      <c r="V6" s="265">
        <f>ROUND(IF(项目基本情况!$B$8="出让",SUMPRODUCT(PRODUCT(1+O6:$O$19)),SUMPRODUCT(PRODUCT(1+O6:$O$18))),4)</f>
        <v>1.0841</v>
      </c>
      <c r="W6" s="265">
        <f>T6</f>
        <v>1.0108</v>
      </c>
      <c r="X6" s="265"/>
      <c r="Y6" s="267">
        <f>IF(D6=0,0,ROUND(AVERAGE(D6:D19)/100,4))</f>
        <v>0.0059</v>
      </c>
      <c r="Z6" s="267">
        <f t="shared" ref="Z6:AC6" si="17">IF(E6=0,0,ROUND(AVERAGE(E6:E19)/100,4))</f>
        <v>0.0036</v>
      </c>
      <c r="AA6" s="267">
        <f t="shared" si="17"/>
        <v>0.0006</v>
      </c>
      <c r="AB6" s="267">
        <f t="shared" si="17"/>
        <v>0.006</v>
      </c>
      <c r="AC6" s="267">
        <f t="shared" si="17"/>
        <v>0.006</v>
      </c>
      <c r="AD6" s="267">
        <f t="shared" ref="AD6:AD19" si="18">AA6</f>
        <v>0.0006</v>
      </c>
    </row>
    <row r="7" s="220" customFormat="1" ht="13" spans="1:30">
      <c r="A7" s="245" t="s">
        <v>2641</v>
      </c>
      <c r="B7" s="237">
        <v>2024</v>
      </c>
      <c r="C7" s="238">
        <v>1</v>
      </c>
      <c r="D7" s="239">
        <v>0.08</v>
      </c>
      <c r="E7" s="239">
        <v>0.46</v>
      </c>
      <c r="F7" s="239">
        <v>-0.16</v>
      </c>
      <c r="G7" s="239">
        <v>0.26</v>
      </c>
      <c r="H7" s="246">
        <v>0.59</v>
      </c>
      <c r="I7" s="260">
        <v>0</v>
      </c>
      <c r="J7" s="261"/>
      <c r="K7" s="262">
        <f t="shared" ref="K7" si="19">D7/100</f>
        <v>0.0008</v>
      </c>
      <c r="L7" s="263">
        <f t="shared" ref="L7" si="20">E7/100</f>
        <v>0.0046</v>
      </c>
      <c r="M7" s="263">
        <f t="shared" ref="M7" si="21">F7/100</f>
        <v>-0.0016</v>
      </c>
      <c r="N7" s="263">
        <f t="shared" ref="N7" si="22">G7/100</f>
        <v>0.0026</v>
      </c>
      <c r="O7" s="263">
        <f t="shared" ref="O7" si="23">H7/100</f>
        <v>0.0059</v>
      </c>
      <c r="P7" s="263">
        <f t="shared" ref="P7" si="24">M7</f>
        <v>-0.0016</v>
      </c>
      <c r="Q7" s="261"/>
      <c r="R7" s="280">
        <f>ROUND(IF(项目基本情况!$B$8="出让",SUMPRODUCT(PRODUCT(1+K7:$K$19)),SUMPRODUCT(PRODUCT(1+K7:$K$18))),4)</f>
        <v>1.0812</v>
      </c>
      <c r="S7" s="280">
        <f>ROUND(IF(项目基本情况!$B$8="出让",SUMPRODUCT(PRODUCT(1+L7:$L$19)),SUMPRODUCT(PRODUCT(1+L7:$L$18))),4)</f>
        <v>1.052</v>
      </c>
      <c r="T7" s="280">
        <f>ROUND(IF(项目基本情况!$B$8="出让",SUMPRODUCT(PRODUCT(1+M7:$M$19)),SUMPRODUCT(PRODUCT(1+M7:$M$18))),4)</f>
        <v>1.025</v>
      </c>
      <c r="U7" s="280">
        <f>ROUND(IF(项目基本情况!$B$8="出让",SUMPRODUCT(PRODUCT(1+N7:$N$19)),SUMPRODUCT(PRODUCT(1+N7:$N$18))),4)</f>
        <v>1.0888</v>
      </c>
      <c r="V7" s="280">
        <f>ROUND(IF(项目基本情况!$B$8="出让",SUMPRODUCT(PRODUCT(1+O7:$O$19)),SUMPRODUCT(PRODUCT(1+O7:$O$18))),4)</f>
        <v>1.0804</v>
      </c>
      <c r="W7" s="280">
        <f t="shared" ref="W7" si="25">T7</f>
        <v>1.025</v>
      </c>
      <c r="X7" s="261"/>
      <c r="Y7" s="289"/>
      <c r="Z7" s="289"/>
      <c r="AA7" s="289"/>
      <c r="AB7" s="289"/>
      <c r="AC7" s="289"/>
      <c r="AD7" s="289"/>
    </row>
    <row r="8" s="220" customFormat="1" ht="13" spans="1:30">
      <c r="A8" s="245" t="s">
        <v>2642</v>
      </c>
      <c r="B8" s="237">
        <v>2023</v>
      </c>
      <c r="C8" s="238">
        <v>4</v>
      </c>
      <c r="D8" s="239">
        <v>0.19</v>
      </c>
      <c r="E8" s="239">
        <v>0.24</v>
      </c>
      <c r="F8" s="239">
        <v>-0.16</v>
      </c>
      <c r="G8" s="239">
        <v>0.17</v>
      </c>
      <c r="H8" s="246">
        <v>0.61</v>
      </c>
      <c r="I8" s="260">
        <f>F8</f>
        <v>-0.16</v>
      </c>
      <c r="J8" s="261"/>
      <c r="K8" s="262">
        <f t="shared" si="16"/>
        <v>0.0019</v>
      </c>
      <c r="L8" s="263">
        <f t="shared" si="16"/>
        <v>0.0024</v>
      </c>
      <c r="M8" s="263">
        <f t="shared" si="16"/>
        <v>-0.0016</v>
      </c>
      <c r="N8" s="263">
        <f t="shared" si="16"/>
        <v>0.0017</v>
      </c>
      <c r="O8" s="263">
        <f t="shared" si="16"/>
        <v>0.0061</v>
      </c>
      <c r="P8" s="263">
        <f t="shared" ref="P8" si="26">M8</f>
        <v>-0.0016</v>
      </c>
      <c r="Q8" s="261"/>
      <c r="R8" s="280">
        <f>ROUND(IF(项目基本情况!$B$8="出让",SUMPRODUCT(PRODUCT(1+K8:$K$19)),SUMPRODUCT(PRODUCT(1+K8:$K$18))),4)</f>
        <v>1.0804</v>
      </c>
      <c r="S8" s="280">
        <f>ROUND(IF(项目基本情况!$B$8="出让",SUMPRODUCT(PRODUCT(1+L8:$L$19)),SUMPRODUCT(PRODUCT(1+L8:$L$18))),4)</f>
        <v>1.0472</v>
      </c>
      <c r="T8" s="280">
        <f>ROUND(IF(项目基本情况!$B$8="出让",SUMPRODUCT(PRODUCT(1+M8:$M$19)),SUMPRODUCT(PRODUCT(1+M8:$M$18))),4)</f>
        <v>1.0266</v>
      </c>
      <c r="U8" s="280">
        <f>ROUND(IF(项目基本情况!$B$8="出让",SUMPRODUCT(PRODUCT(1+N8:$N$19)),SUMPRODUCT(PRODUCT(1+N8:$N$18))),4)</f>
        <v>1.0859</v>
      </c>
      <c r="V8" s="280">
        <f>ROUND(IF(项目基本情况!$B$8="出让",SUMPRODUCT(PRODUCT(1+O8:$O$19)),SUMPRODUCT(PRODUCT(1+O8:$O$18))),4)</f>
        <v>1.0741</v>
      </c>
      <c r="W8" s="280">
        <f t="shared" ref="W8" si="27">T8</f>
        <v>1.0266</v>
      </c>
      <c r="X8" s="261"/>
      <c r="Y8" s="289"/>
      <c r="Z8" s="289"/>
      <c r="AA8" s="289"/>
      <c r="AB8" s="289"/>
      <c r="AC8" s="289"/>
      <c r="AD8" s="289"/>
    </row>
    <row r="9" s="220" customFormat="1" ht="13" spans="1:30">
      <c r="A9" s="245" t="s">
        <v>2643</v>
      </c>
      <c r="B9" s="237">
        <v>2023</v>
      </c>
      <c r="C9" s="238">
        <v>3</v>
      </c>
      <c r="D9" s="239">
        <v>0.25</v>
      </c>
      <c r="E9" s="239">
        <v>0.5</v>
      </c>
      <c r="F9" s="239">
        <v>0.31</v>
      </c>
      <c r="G9" s="239">
        <v>0.21</v>
      </c>
      <c r="H9" s="246">
        <v>0.43</v>
      </c>
      <c r="I9" s="260">
        <f t="shared" si="15"/>
        <v>0.31</v>
      </c>
      <c r="J9" s="261"/>
      <c r="K9" s="262">
        <f t="shared" ref="K9:K11" si="28">D9/100</f>
        <v>0.0025</v>
      </c>
      <c r="L9" s="263">
        <f t="shared" ref="L9:L11" si="29">E9/100</f>
        <v>0.005</v>
      </c>
      <c r="M9" s="263">
        <f t="shared" ref="M9:M11" si="30">F9/100</f>
        <v>0.0031</v>
      </c>
      <c r="N9" s="263">
        <f t="shared" ref="N9:N11" si="31">G9/100</f>
        <v>0.0021</v>
      </c>
      <c r="O9" s="263">
        <f t="shared" ref="O9:O11" si="32">H9/100</f>
        <v>0.0043</v>
      </c>
      <c r="P9" s="263">
        <f t="shared" ref="P9:P11" si="33">M9</f>
        <v>0.0031</v>
      </c>
      <c r="Q9" s="261"/>
      <c r="R9" s="280">
        <f>ROUND(IF(项目基本情况!$B$8="出让",SUMPRODUCT(PRODUCT(1+K9:$K$19)),SUMPRODUCT(PRODUCT(1+K9:$K$18))),4)</f>
        <v>1.0783</v>
      </c>
      <c r="S9" s="280">
        <f>ROUND(IF(项目基本情况!$B$8="出让",SUMPRODUCT(PRODUCT(1+L9:$L$19)),SUMPRODUCT(PRODUCT(1+L9:$L$18))),4)</f>
        <v>1.0447</v>
      </c>
      <c r="T9" s="280">
        <f>ROUND(IF(项目基本情况!$B$8="出让",SUMPRODUCT(PRODUCT(1+M9:$M$19)),SUMPRODUCT(PRODUCT(1+M9:$M$18))),4)</f>
        <v>1.0282</v>
      </c>
      <c r="U9" s="280">
        <f>ROUND(IF(项目基本情况!$B$8="出让",SUMPRODUCT(PRODUCT(1+N9:$N$19)),SUMPRODUCT(PRODUCT(1+N9:$N$18))),4)</f>
        <v>1.0841</v>
      </c>
      <c r="V9" s="280">
        <f>ROUND(IF(项目基本情况!$B$8="出让",SUMPRODUCT(PRODUCT(1+O9:$O$19)),SUMPRODUCT(PRODUCT(1+O9:$O$18))),4)</f>
        <v>1.0675</v>
      </c>
      <c r="W9" s="280">
        <f t="shared" ref="W9:W10" si="34">T9</f>
        <v>1.0282</v>
      </c>
      <c r="X9" s="261"/>
      <c r="Y9" s="289"/>
      <c r="Z9" s="289"/>
      <c r="AA9" s="289"/>
      <c r="AB9" s="289"/>
      <c r="AC9" s="289"/>
      <c r="AD9" s="289"/>
    </row>
    <row r="10" s="220" customFormat="1" ht="13" spans="1:30">
      <c r="A10" s="245" t="s">
        <v>2644</v>
      </c>
      <c r="B10" s="237">
        <v>2023</v>
      </c>
      <c r="C10" s="238">
        <v>2</v>
      </c>
      <c r="D10" s="239">
        <v>0.91</v>
      </c>
      <c r="E10" s="239">
        <v>0.66</v>
      </c>
      <c r="F10" s="239">
        <v>0.47</v>
      </c>
      <c r="G10" s="239">
        <v>0.96</v>
      </c>
      <c r="H10" s="246">
        <v>0.71</v>
      </c>
      <c r="I10" s="260">
        <f t="shared" si="15"/>
        <v>0.47</v>
      </c>
      <c r="J10" s="261"/>
      <c r="K10" s="262">
        <f t="shared" si="28"/>
        <v>0.0091</v>
      </c>
      <c r="L10" s="263">
        <f t="shared" si="29"/>
        <v>0.0066</v>
      </c>
      <c r="M10" s="263">
        <f t="shared" si="30"/>
        <v>0.0047</v>
      </c>
      <c r="N10" s="263">
        <f t="shared" si="31"/>
        <v>0.0096</v>
      </c>
      <c r="O10" s="263">
        <f t="shared" si="32"/>
        <v>0.0071</v>
      </c>
      <c r="P10" s="263">
        <f t="shared" si="33"/>
        <v>0.0047</v>
      </c>
      <c r="Q10" s="261"/>
      <c r="R10" s="280">
        <f>ROUND(IF(项目基本情况!$B$8="出让",SUMPRODUCT(PRODUCT(1+K10:$K$19)),SUMPRODUCT(PRODUCT(1+K10:$K$18))),4)</f>
        <v>1.0756</v>
      </c>
      <c r="S10" s="280">
        <f>ROUND(IF(项目基本情况!$B$8="出让",SUMPRODUCT(PRODUCT(1+L10:$L$19)),SUMPRODUCT(PRODUCT(1+L10:$L$18))),4)</f>
        <v>1.0395</v>
      </c>
      <c r="T10" s="280">
        <f>ROUND(IF(项目基本情况!$B$8="出让",SUMPRODUCT(PRODUCT(1+M10:$M$19)),SUMPRODUCT(PRODUCT(1+M10:$M$18))),4)</f>
        <v>1.0251</v>
      </c>
      <c r="U10" s="280">
        <f>ROUND(IF(项目基本情况!$B$8="出让",SUMPRODUCT(PRODUCT(1+N10:$N$19)),SUMPRODUCT(PRODUCT(1+N10:$N$18))),4)</f>
        <v>1.0818</v>
      </c>
      <c r="V10" s="280">
        <f>ROUND(IF(项目基本情况!$B$8="出让",SUMPRODUCT(PRODUCT(1+O10:$O$19)),SUMPRODUCT(PRODUCT(1+O10:$O$18))),4)</f>
        <v>1.063</v>
      </c>
      <c r="W10" s="280">
        <f t="shared" si="34"/>
        <v>1.0251</v>
      </c>
      <c r="X10" s="261"/>
      <c r="Y10" s="289"/>
      <c r="Z10" s="289"/>
      <c r="AA10" s="289"/>
      <c r="AB10" s="289"/>
      <c r="AC10" s="289"/>
      <c r="AD10" s="289"/>
    </row>
    <row r="11" s="220" customFormat="1" ht="13" spans="1:30">
      <c r="A11" s="245" t="s">
        <v>2645</v>
      </c>
      <c r="B11" s="237">
        <v>2023</v>
      </c>
      <c r="C11" s="238">
        <v>1</v>
      </c>
      <c r="D11" s="239">
        <v>0.89</v>
      </c>
      <c r="E11" s="239">
        <v>0.74</v>
      </c>
      <c r="F11" s="239">
        <v>0.57</v>
      </c>
      <c r="G11" s="239">
        <v>0.92</v>
      </c>
      <c r="H11" s="246">
        <v>0.5</v>
      </c>
      <c r="I11" s="260">
        <f t="shared" si="15"/>
        <v>0.57</v>
      </c>
      <c r="J11" s="261"/>
      <c r="K11" s="262">
        <f t="shared" si="28"/>
        <v>0.0089</v>
      </c>
      <c r="L11" s="263">
        <f t="shared" si="29"/>
        <v>0.0074</v>
      </c>
      <c r="M11" s="263">
        <f t="shared" si="30"/>
        <v>0.0057</v>
      </c>
      <c r="N11" s="263">
        <f t="shared" si="31"/>
        <v>0.0092</v>
      </c>
      <c r="O11" s="263">
        <f t="shared" si="32"/>
        <v>0.005</v>
      </c>
      <c r="P11" s="263">
        <f t="shared" si="33"/>
        <v>0.0057</v>
      </c>
      <c r="Q11" s="261"/>
      <c r="R11" s="280">
        <f>ROUND(IF(项目基本情况!$B$8="出让",SUMPRODUCT(PRODUCT(1+K11:$K$19)),SUMPRODUCT(PRODUCT(1+K11:$K$18))),4)</f>
        <v>1.0659</v>
      </c>
      <c r="S11" s="280">
        <f>ROUND(IF(项目基本情况!$B$8="出让",SUMPRODUCT(PRODUCT(1+L11:$L$19)),SUMPRODUCT(PRODUCT(1+L11:$L$18))),4)</f>
        <v>1.0326</v>
      </c>
      <c r="T11" s="280">
        <f>ROUND(IF(项目基本情况!$B$8="出让",SUMPRODUCT(PRODUCT(1+M11:$M$19)),SUMPRODUCT(PRODUCT(1+M11:$M$18))),4)</f>
        <v>1.0203</v>
      </c>
      <c r="U11" s="280">
        <f>ROUND(IF(项目基本情况!$B$8="出让",SUMPRODUCT(PRODUCT(1+N11:$N$19)),SUMPRODUCT(PRODUCT(1+N11:$N$18))),4)</f>
        <v>1.0715</v>
      </c>
      <c r="V11" s="280">
        <f>ROUND(IF(项目基本情况!$B$8="出让",SUMPRODUCT(PRODUCT(1+O11:$O$19)),SUMPRODUCT(PRODUCT(1+O11:$O$18))),4)</f>
        <v>1.0555</v>
      </c>
      <c r="W11" s="280">
        <f t="shared" ref="W11:W18" si="35">T11</f>
        <v>1.0203</v>
      </c>
      <c r="X11" s="261"/>
      <c r="Y11" s="289"/>
      <c r="Z11" s="289"/>
      <c r="AA11" s="289"/>
      <c r="AB11" s="289"/>
      <c r="AC11" s="289"/>
      <c r="AD11" s="289"/>
    </row>
    <row r="12" s="220" customFormat="1" ht="13" spans="1:30">
      <c r="A12" s="245" t="s">
        <v>2646</v>
      </c>
      <c r="B12" s="237">
        <v>2022</v>
      </c>
      <c r="C12" s="238">
        <v>4</v>
      </c>
      <c r="D12" s="239">
        <v>0.62</v>
      </c>
      <c r="E12" s="239">
        <v>0.2</v>
      </c>
      <c r="F12" s="239">
        <v>0.11</v>
      </c>
      <c r="G12" s="239">
        <v>0.69</v>
      </c>
      <c r="H12" s="246">
        <v>0.53</v>
      </c>
      <c r="I12" s="260">
        <f t="shared" si="15"/>
        <v>0.11</v>
      </c>
      <c r="J12" s="261"/>
      <c r="K12" s="262">
        <f t="shared" si="16"/>
        <v>0.0062</v>
      </c>
      <c r="L12" s="263">
        <f t="shared" si="16"/>
        <v>0.002</v>
      </c>
      <c r="M12" s="263">
        <f t="shared" si="16"/>
        <v>0.0011</v>
      </c>
      <c r="N12" s="263">
        <f t="shared" si="16"/>
        <v>0.0069</v>
      </c>
      <c r="O12" s="263">
        <f t="shared" si="16"/>
        <v>0.0053</v>
      </c>
      <c r="P12" s="263">
        <f t="shared" ref="P12:P19" si="36">M12</f>
        <v>0.0011</v>
      </c>
      <c r="Q12" s="261"/>
      <c r="R12" s="280">
        <f>ROUND(IF(项目基本情况!$B$8="出让",SUMPRODUCT(PRODUCT(1+K12:$K$19)),SUMPRODUCT(PRODUCT(1+K12:$K$18))),4)</f>
        <v>1.0565</v>
      </c>
      <c r="S12" s="280">
        <f>ROUND(IF(项目基本情况!$B$8="出让",SUMPRODUCT(PRODUCT(1+L12:$L$19)),SUMPRODUCT(PRODUCT(1+L12:$L$18))),4)</f>
        <v>1.0251</v>
      </c>
      <c r="T12" s="280">
        <f>ROUND(IF(项目基本情况!$B$8="出让",SUMPRODUCT(PRODUCT(1+M12:$M$19)),SUMPRODUCT(PRODUCT(1+M12:$M$18))),4)</f>
        <v>1.0145</v>
      </c>
      <c r="U12" s="280">
        <f>ROUND(IF(项目基本情况!$B$8="出让",SUMPRODUCT(PRODUCT(1+N12:$N$19)),SUMPRODUCT(PRODUCT(1+N12:$N$18))),4)</f>
        <v>1.0618</v>
      </c>
      <c r="V12" s="280">
        <f>ROUND(IF(项目基本情况!$B$8="出让",SUMPRODUCT(PRODUCT(1+O12:$O$19)),SUMPRODUCT(PRODUCT(1+O12:$O$18))),4)</f>
        <v>1.0502</v>
      </c>
      <c r="W12" s="280">
        <f t="shared" si="35"/>
        <v>1.0145</v>
      </c>
      <c r="X12" s="261"/>
      <c r="Y12" s="289">
        <f>IF(D12=0,0,ROUND(AVERAGE(D12:D20)/100,4))</f>
        <v>0.0081</v>
      </c>
      <c r="Z12" s="289">
        <f t="shared" ref="Z12:AC12" si="37">IF(E12=0,0,ROUND(AVERAGE(E12:E19)/100,4))</f>
        <v>0.0033</v>
      </c>
      <c r="AA12" s="289">
        <f t="shared" si="37"/>
        <v>0.0015</v>
      </c>
      <c r="AB12" s="289">
        <f t="shared" si="37"/>
        <v>0.0089</v>
      </c>
      <c r="AC12" s="289">
        <f t="shared" si="37"/>
        <v>0.0066</v>
      </c>
      <c r="AD12" s="289">
        <f t="shared" si="18"/>
        <v>0.0015</v>
      </c>
    </row>
    <row r="13" s="220" customFormat="1" ht="13" spans="1:30">
      <c r="A13" s="245" t="s">
        <v>2647</v>
      </c>
      <c r="B13" s="237">
        <v>2022</v>
      </c>
      <c r="C13" s="238">
        <v>3</v>
      </c>
      <c r="D13" s="239">
        <v>0.66</v>
      </c>
      <c r="E13" s="239">
        <v>0.32</v>
      </c>
      <c r="F13" s="239">
        <v>0.23</v>
      </c>
      <c r="G13" s="239">
        <v>0.72</v>
      </c>
      <c r="H13" s="246">
        <v>0.63</v>
      </c>
      <c r="I13" s="260">
        <f t="shared" si="15"/>
        <v>0.23</v>
      </c>
      <c r="J13" s="261"/>
      <c r="K13" s="262">
        <f t="shared" si="16"/>
        <v>0.0066</v>
      </c>
      <c r="L13" s="263">
        <f t="shared" si="16"/>
        <v>0.0032</v>
      </c>
      <c r="M13" s="263">
        <f t="shared" si="16"/>
        <v>0.0023</v>
      </c>
      <c r="N13" s="263">
        <f t="shared" si="16"/>
        <v>0.0072</v>
      </c>
      <c r="O13" s="263">
        <f t="shared" si="16"/>
        <v>0.0063</v>
      </c>
      <c r="P13" s="263">
        <f t="shared" si="36"/>
        <v>0.0023</v>
      </c>
      <c r="Q13" s="261"/>
      <c r="R13" s="280">
        <f>ROUND(IF(项目基本情况!$B$8="出让",SUMPRODUCT(PRODUCT(1+K13:$K$19)),SUMPRODUCT(PRODUCT(1+K13:$K$18))),4)</f>
        <v>1.05</v>
      </c>
      <c r="S13" s="280">
        <f>ROUND(IF(项目基本情况!$B$8="出让",SUMPRODUCT(PRODUCT(1+L13:$L$19)),SUMPRODUCT(PRODUCT(1+L13:$L$18))),4)</f>
        <v>1.023</v>
      </c>
      <c r="T13" s="280">
        <f>ROUND(IF(项目基本情况!$B$8="出让",SUMPRODUCT(PRODUCT(1+M13:$M$19)),SUMPRODUCT(PRODUCT(1+M13:$M$18))),4)</f>
        <v>1.0134</v>
      </c>
      <c r="U13" s="280">
        <f>ROUND(IF(项目基本情况!$B$8="出让",SUMPRODUCT(PRODUCT(1+N13:$N$19)),SUMPRODUCT(PRODUCT(1+N13:$N$18))),4)</f>
        <v>1.0545</v>
      </c>
      <c r="V13" s="280">
        <f>ROUND(IF(项目基本情况!$B$8="出让",SUMPRODUCT(PRODUCT(1+O13:$O$19)),SUMPRODUCT(PRODUCT(1+O13:$O$18))),4)</f>
        <v>1.0447</v>
      </c>
      <c r="W13" s="280">
        <f t="shared" si="35"/>
        <v>1.0134</v>
      </c>
      <c r="X13" s="261"/>
      <c r="Y13" s="289">
        <f>IF(D13=0,0,ROUND(AVERAGE(D13:D19)/100,4))</f>
        <v>0.0084</v>
      </c>
      <c r="Z13" s="289">
        <f t="shared" ref="Z13:AC13" si="38">IF(E13=0,0,ROUND(AVERAGE(E13:E19)/100,4))</f>
        <v>0.0035</v>
      </c>
      <c r="AA13" s="289">
        <f t="shared" si="38"/>
        <v>0.0015</v>
      </c>
      <c r="AB13" s="289">
        <f t="shared" si="38"/>
        <v>0.0092</v>
      </c>
      <c r="AC13" s="289">
        <f t="shared" si="38"/>
        <v>0.0068</v>
      </c>
      <c r="AD13" s="289">
        <f t="shared" si="18"/>
        <v>0.0015</v>
      </c>
    </row>
    <row r="14" s="220" customFormat="1" ht="13" spans="1:30">
      <c r="A14" s="245" t="s">
        <v>2648</v>
      </c>
      <c r="B14" s="237">
        <v>2022</v>
      </c>
      <c r="C14" s="238">
        <v>2</v>
      </c>
      <c r="D14" s="239">
        <v>0.93</v>
      </c>
      <c r="E14" s="239">
        <v>0.15</v>
      </c>
      <c r="F14" s="239">
        <v>0.01</v>
      </c>
      <c r="G14" s="239">
        <v>1.05</v>
      </c>
      <c r="H14" s="246">
        <v>1.08</v>
      </c>
      <c r="I14" s="260">
        <f t="shared" si="15"/>
        <v>0.01</v>
      </c>
      <c r="J14" s="261"/>
      <c r="K14" s="262">
        <f t="shared" si="16"/>
        <v>0.0093</v>
      </c>
      <c r="L14" s="263">
        <f t="shared" si="16"/>
        <v>0.0015</v>
      </c>
      <c r="M14" s="263">
        <f t="shared" si="16"/>
        <v>0.0001</v>
      </c>
      <c r="N14" s="263">
        <f t="shared" si="16"/>
        <v>0.0105</v>
      </c>
      <c r="O14" s="263">
        <f t="shared" si="16"/>
        <v>0.0108</v>
      </c>
      <c r="P14" s="263">
        <f t="shared" si="36"/>
        <v>0.0001</v>
      </c>
      <c r="Q14" s="261"/>
      <c r="R14" s="280">
        <f>ROUND(IF(项目基本情况!$B$8="出让",SUMPRODUCT(PRODUCT(1+K14:$K$19)),SUMPRODUCT(PRODUCT(1+K14:$K$18))),4)</f>
        <v>1.0431</v>
      </c>
      <c r="S14" s="280">
        <f>ROUND(IF(项目基本情况!$B$8="出让",SUMPRODUCT(PRODUCT(1+L14:$L$19)),SUMPRODUCT(PRODUCT(1+L14:$L$18))),4)</f>
        <v>1.0197</v>
      </c>
      <c r="T14" s="280">
        <f>ROUND(IF(项目基本情况!$B$8="出让",SUMPRODUCT(PRODUCT(1+M14:$M$19)),SUMPRODUCT(PRODUCT(1+M14:$M$18))),4)</f>
        <v>1.011</v>
      </c>
      <c r="U14" s="280">
        <f>ROUND(IF(项目基本情况!$B$8="出让",SUMPRODUCT(PRODUCT(1+N14:$N$19)),SUMPRODUCT(PRODUCT(1+N14:$N$18))),4)</f>
        <v>1.0469</v>
      </c>
      <c r="V14" s="280">
        <f>ROUND(IF(项目基本情况!$B$8="出让",SUMPRODUCT(PRODUCT(1+O14:$O$19)),SUMPRODUCT(PRODUCT(1+O14:$O$18))),4)</f>
        <v>1.0382</v>
      </c>
      <c r="W14" s="280">
        <f t="shared" si="35"/>
        <v>1.011</v>
      </c>
      <c r="X14" s="261"/>
      <c r="Y14" s="289">
        <f>IF(D14=0,0,ROUND(AVERAGE(D14:D19)/100,4))</f>
        <v>0.0087</v>
      </c>
      <c r="Z14" s="289">
        <f t="shared" ref="Z14:AC14" si="39">IF(E14=0,0,ROUND(AVERAGE(E14:E19)/100,4))</f>
        <v>0.0035</v>
      </c>
      <c r="AA14" s="289">
        <f t="shared" si="39"/>
        <v>0.0014</v>
      </c>
      <c r="AB14" s="289">
        <f t="shared" si="39"/>
        <v>0.0095</v>
      </c>
      <c r="AC14" s="289">
        <f t="shared" si="39"/>
        <v>0.0069</v>
      </c>
      <c r="AD14" s="289">
        <f t="shared" si="18"/>
        <v>0.0014</v>
      </c>
    </row>
    <row r="15" s="220" customFormat="1" ht="13" spans="1:30">
      <c r="A15" s="245" t="s">
        <v>2649</v>
      </c>
      <c r="B15" s="237">
        <v>2022</v>
      </c>
      <c r="C15" s="238">
        <v>1</v>
      </c>
      <c r="D15" s="239">
        <v>0.89</v>
      </c>
      <c r="E15" s="239">
        <v>0.44</v>
      </c>
      <c r="F15" s="239">
        <v>0.37</v>
      </c>
      <c r="G15" s="239">
        <v>0.96</v>
      </c>
      <c r="H15" s="246">
        <v>0.64</v>
      </c>
      <c r="I15" s="260">
        <f t="shared" si="15"/>
        <v>0.37</v>
      </c>
      <c r="J15" s="261"/>
      <c r="K15" s="262">
        <f t="shared" si="16"/>
        <v>0.0089</v>
      </c>
      <c r="L15" s="263">
        <f t="shared" si="16"/>
        <v>0.0044</v>
      </c>
      <c r="M15" s="263">
        <f t="shared" si="16"/>
        <v>0.0037</v>
      </c>
      <c r="N15" s="263">
        <f t="shared" si="16"/>
        <v>0.0096</v>
      </c>
      <c r="O15" s="263">
        <f t="shared" si="16"/>
        <v>0.0064</v>
      </c>
      <c r="P15" s="263">
        <f t="shared" si="36"/>
        <v>0.0037</v>
      </c>
      <c r="Q15" s="261"/>
      <c r="R15" s="280">
        <f>ROUND(IF(项目基本情况!$B$8="出让",SUMPRODUCT(PRODUCT(1+K15:$K$19)),SUMPRODUCT(PRODUCT(1+K15:$K$18))),4)</f>
        <v>1.0335</v>
      </c>
      <c r="S15" s="280">
        <f>ROUND(IF(项目基本情况!$B$8="出让",SUMPRODUCT(PRODUCT(1+L15:$L$19)),SUMPRODUCT(PRODUCT(1+L15:$L$18))),4)</f>
        <v>1.0182</v>
      </c>
      <c r="T15" s="280">
        <f>ROUND(IF(项目基本情况!$B$8="出让",SUMPRODUCT(PRODUCT(1+M15:$M$19)),SUMPRODUCT(PRODUCT(1+M15:$M$18))),4)</f>
        <v>1.0109</v>
      </c>
      <c r="U15" s="280">
        <f>ROUND(IF(项目基本情况!$B$8="出让",SUMPRODUCT(PRODUCT(1+N15:$N$19)),SUMPRODUCT(PRODUCT(1+N15:$N$18))),4)</f>
        <v>1.0361</v>
      </c>
      <c r="V15" s="280">
        <f>ROUND(IF(项目基本情况!$B$8="出让",SUMPRODUCT(PRODUCT(1+O15:$O$19)),SUMPRODUCT(PRODUCT(1+O15:$O$18))),4)</f>
        <v>1.0271</v>
      </c>
      <c r="W15" s="280">
        <f t="shared" si="35"/>
        <v>1.0109</v>
      </c>
      <c r="X15" s="261"/>
      <c r="Y15" s="289">
        <f>IF(D15=0,0,ROUND(AVERAGE(D15:D19)/100,4))</f>
        <v>0.0086</v>
      </c>
      <c r="Z15" s="289">
        <f t="shared" ref="Z15:AC15" si="40">IF(E15=0,0,ROUND(AVERAGE(E15:E19)/100,4))</f>
        <v>0.0039</v>
      </c>
      <c r="AA15" s="289">
        <f t="shared" si="40"/>
        <v>0.0017</v>
      </c>
      <c r="AB15" s="289">
        <f t="shared" si="40"/>
        <v>0.0093</v>
      </c>
      <c r="AC15" s="289">
        <f t="shared" si="40"/>
        <v>0.0061</v>
      </c>
      <c r="AD15" s="289">
        <f t="shared" si="18"/>
        <v>0.0017</v>
      </c>
    </row>
    <row r="16" s="220" customFormat="1" ht="13" spans="1:30">
      <c r="A16" s="245" t="s">
        <v>2650</v>
      </c>
      <c r="B16" s="237">
        <v>2021</v>
      </c>
      <c r="C16" s="238">
        <v>4</v>
      </c>
      <c r="D16" s="239">
        <v>1.03</v>
      </c>
      <c r="E16" s="239">
        <v>0.24</v>
      </c>
      <c r="F16" s="239">
        <v>0.07</v>
      </c>
      <c r="G16" s="239">
        <v>1.17</v>
      </c>
      <c r="H16" s="246">
        <v>0.55</v>
      </c>
      <c r="I16" s="260">
        <f t="shared" si="15"/>
        <v>0.07</v>
      </c>
      <c r="J16" s="261"/>
      <c r="K16" s="262">
        <f t="shared" si="16"/>
        <v>0.0103</v>
      </c>
      <c r="L16" s="263">
        <f t="shared" si="16"/>
        <v>0.0024</v>
      </c>
      <c r="M16" s="263">
        <f t="shared" si="16"/>
        <v>0.0007</v>
      </c>
      <c r="N16" s="263">
        <f t="shared" si="16"/>
        <v>0.0117</v>
      </c>
      <c r="O16" s="263">
        <f t="shared" si="16"/>
        <v>0.0055</v>
      </c>
      <c r="P16" s="263">
        <f t="shared" si="36"/>
        <v>0.0007</v>
      </c>
      <c r="Q16" s="261"/>
      <c r="R16" s="280">
        <f>ROUND(IF(项目基本情况!$B$8="出让",SUMPRODUCT(PRODUCT(1+K16:$K$19)),SUMPRODUCT(PRODUCT(1+K16:$K$18))),4)</f>
        <v>1.0244</v>
      </c>
      <c r="S16" s="280">
        <f>ROUND(IF(项目基本情况!$B$8="出让",SUMPRODUCT(PRODUCT(1+L16:$L$19)),SUMPRODUCT(PRODUCT(1+L16:$L$18))),4)</f>
        <v>1.0138</v>
      </c>
      <c r="T16" s="280">
        <f>ROUND(IF(项目基本情况!$B$8="出让",SUMPRODUCT(PRODUCT(1+M16:$M$19)),SUMPRODUCT(PRODUCT(1+M16:$M$18))),4)</f>
        <v>1.0072</v>
      </c>
      <c r="U16" s="280">
        <f>ROUND(IF(项目基本情况!$B$8="出让",SUMPRODUCT(PRODUCT(1+N16:$N$19)),SUMPRODUCT(PRODUCT(1+N16:$N$18))),4)</f>
        <v>1.0262</v>
      </c>
      <c r="V16" s="280">
        <f>ROUND(IF(项目基本情况!$B$8="出让",SUMPRODUCT(PRODUCT(1+O16:$O$19)),SUMPRODUCT(PRODUCT(1+O16:$O$18))),4)</f>
        <v>1.0205</v>
      </c>
      <c r="W16" s="280">
        <f t="shared" si="35"/>
        <v>1.0072</v>
      </c>
      <c r="X16" s="261"/>
      <c r="Y16" s="289">
        <f>IF(D16=0,0,ROUND(AVERAGE(D16:D19)/100,4))</f>
        <v>0.0085</v>
      </c>
      <c r="Z16" s="289">
        <f t="shared" ref="Z16:AC16" si="41">IF(E16=0,0,ROUND(AVERAGE(E16:E19)/100,4))</f>
        <v>0.0038</v>
      </c>
      <c r="AA16" s="289">
        <f t="shared" si="41"/>
        <v>0.0012</v>
      </c>
      <c r="AB16" s="289">
        <f t="shared" si="41"/>
        <v>0.0093</v>
      </c>
      <c r="AC16" s="289">
        <f t="shared" si="41"/>
        <v>0.006</v>
      </c>
      <c r="AD16" s="289">
        <f t="shared" si="18"/>
        <v>0.0012</v>
      </c>
    </row>
    <row r="17" s="220" customFormat="1" ht="13" spans="1:30">
      <c r="A17" s="245" t="s">
        <v>2651</v>
      </c>
      <c r="B17" s="237">
        <v>2021</v>
      </c>
      <c r="C17" s="238">
        <v>3</v>
      </c>
      <c r="D17" s="239">
        <v>0.47</v>
      </c>
      <c r="E17" s="239">
        <v>0.41</v>
      </c>
      <c r="F17" s="239">
        <v>0.24</v>
      </c>
      <c r="G17" s="239">
        <v>0.48</v>
      </c>
      <c r="H17" s="246">
        <v>0.48</v>
      </c>
      <c r="I17" s="260">
        <f t="shared" si="15"/>
        <v>0.24</v>
      </c>
      <c r="J17" s="261"/>
      <c r="K17" s="262">
        <f t="shared" si="16"/>
        <v>0.0047</v>
      </c>
      <c r="L17" s="263">
        <f t="shared" si="16"/>
        <v>0.0041</v>
      </c>
      <c r="M17" s="263">
        <f t="shared" si="16"/>
        <v>0.0024</v>
      </c>
      <c r="N17" s="263">
        <f t="shared" si="16"/>
        <v>0.0048</v>
      </c>
      <c r="O17" s="263">
        <f t="shared" si="16"/>
        <v>0.0048</v>
      </c>
      <c r="P17" s="263">
        <f t="shared" si="36"/>
        <v>0.0024</v>
      </c>
      <c r="Q17" s="261"/>
      <c r="R17" s="280">
        <f>ROUND(IF(项目基本情况!$B$8="出让",SUMPRODUCT(PRODUCT(1+K17:$K$19)),SUMPRODUCT(PRODUCT(1+K17:$K$18))),4)</f>
        <v>1.0139</v>
      </c>
      <c r="S17" s="280">
        <f>ROUND(IF(项目基本情况!$B$8="出让",SUMPRODUCT(PRODUCT(1+L17:$L$19)),SUMPRODUCT(PRODUCT(1+L17:$L$18))),4)</f>
        <v>1.0113</v>
      </c>
      <c r="T17" s="280">
        <f>ROUND(IF(项目基本情况!$B$8="出让",SUMPRODUCT(PRODUCT(1+M17:$M$19)),SUMPRODUCT(PRODUCT(1+M17:$M$18))),4)</f>
        <v>1.0065</v>
      </c>
      <c r="U17" s="280">
        <f>ROUND(IF(项目基本情况!$B$8="出让",SUMPRODUCT(PRODUCT(1+N17:$N$19)),SUMPRODUCT(PRODUCT(1+N17:$N$18))),4)</f>
        <v>1.0143</v>
      </c>
      <c r="V17" s="280">
        <f>ROUND(IF(项目基本情况!$B$8="出让",SUMPRODUCT(PRODUCT(1+O17:$O$19)),SUMPRODUCT(PRODUCT(1+O17:$O$18))),4)</f>
        <v>1.0149</v>
      </c>
      <c r="W17" s="280">
        <f t="shared" si="35"/>
        <v>1.0065</v>
      </c>
      <c r="X17" s="261"/>
      <c r="Y17" s="289">
        <f>IF(D17=0,0,ROUND(AVERAGE(D17:D19)/100,4))</f>
        <v>0.0079</v>
      </c>
      <c r="Z17" s="289">
        <f>IF(E17=0,0,ROUND(AVERAGE(E17:E19)/100,4))</f>
        <v>0.0043</v>
      </c>
      <c r="AA17" s="289">
        <f>IF(F17=0,0,ROUND(AVERAGE(F17:F19)/100,4))</f>
        <v>0.0013</v>
      </c>
      <c r="AB17" s="289">
        <f>IF(G17=0,0,ROUND(AVERAGE(G17:G19)/100,4))</f>
        <v>0.0085</v>
      </c>
      <c r="AC17" s="289">
        <f>IF(H17=0,0,ROUND(AVERAGE(H17:H19)/100,4))</f>
        <v>0.0062</v>
      </c>
      <c r="AD17" s="289">
        <f t="shared" si="18"/>
        <v>0.0013</v>
      </c>
    </row>
    <row r="18" s="220" customFormat="1" ht="13" spans="1:30">
      <c r="A18" s="245" t="s">
        <v>2652</v>
      </c>
      <c r="B18" s="237">
        <v>2021</v>
      </c>
      <c r="C18" s="238">
        <v>2</v>
      </c>
      <c r="D18" s="239">
        <v>0.92</v>
      </c>
      <c r="E18" s="239">
        <v>0.72</v>
      </c>
      <c r="F18" s="239">
        <v>0.41</v>
      </c>
      <c r="G18" s="239">
        <v>0.95</v>
      </c>
      <c r="H18" s="246">
        <v>1.01</v>
      </c>
      <c r="I18" s="260">
        <f t="shared" si="15"/>
        <v>0.41</v>
      </c>
      <c r="J18" s="261"/>
      <c r="K18" s="262">
        <f t="shared" si="16"/>
        <v>0.0092</v>
      </c>
      <c r="L18" s="263">
        <f t="shared" si="16"/>
        <v>0.0072</v>
      </c>
      <c r="M18" s="263">
        <f t="shared" si="16"/>
        <v>0.0041</v>
      </c>
      <c r="N18" s="263">
        <f t="shared" si="16"/>
        <v>0.0095</v>
      </c>
      <c r="O18" s="263">
        <f t="shared" si="16"/>
        <v>0.0101</v>
      </c>
      <c r="P18" s="263">
        <f t="shared" si="36"/>
        <v>0.0041</v>
      </c>
      <c r="Q18" s="261"/>
      <c r="R18" s="280">
        <f>ROUND(IF(项目基本情况!$B$8="出让",SUMPRODUCT(PRODUCT(1+K18:$K$19)),SUMPRODUCT(PRODUCT(1+K18:$K$18))),4)</f>
        <v>1.0092</v>
      </c>
      <c r="S18" s="280">
        <f>ROUND(IF(项目基本情况!$B$8="出让",SUMPRODUCT(PRODUCT(1+L18:$L$19)),SUMPRODUCT(PRODUCT(1+L18:$L$18))),4)</f>
        <v>1.0072</v>
      </c>
      <c r="T18" s="280">
        <f>ROUND(IF(项目基本情况!$B$8="出让",SUMPRODUCT(PRODUCT(1+M18:$M$19)),SUMPRODUCT(PRODUCT(1+M18:$M$18))),4)</f>
        <v>1.0041</v>
      </c>
      <c r="U18" s="280">
        <f>ROUND(IF(项目基本情况!$B$8="出让",SUMPRODUCT(PRODUCT(1+N18:$N$19)),SUMPRODUCT(PRODUCT(1+N18:$N$18))),4)</f>
        <v>1.0095</v>
      </c>
      <c r="V18" s="280">
        <f>ROUND(IF(项目基本情况!$B$8="出让",SUMPRODUCT(PRODUCT(1+O18:$O$19)),SUMPRODUCT(PRODUCT(1+O18:$O$18))),4)</f>
        <v>1.0101</v>
      </c>
      <c r="W18" s="280">
        <f t="shared" si="35"/>
        <v>1.0041</v>
      </c>
      <c r="X18" s="261"/>
      <c r="Y18" s="289">
        <f>IF(D18=0,0,ROUND(AVERAGE(D18:D19)/100,4))</f>
        <v>0.0095</v>
      </c>
      <c r="Z18" s="289">
        <f>IF(E18=0,0,ROUND(AVERAGE(E18:E19)/100,4))</f>
        <v>0.0044</v>
      </c>
      <c r="AA18" s="289">
        <f>IF(F18=0,0,ROUND(AVERAGE(F18:F19)/100,4))</f>
        <v>0.0008</v>
      </c>
      <c r="AB18" s="289">
        <f>IF(G18=0,0,ROUND(AVERAGE(G18:G19)/100,4))</f>
        <v>0.0103</v>
      </c>
      <c r="AC18" s="289">
        <f>IF(H18=0,0,ROUND(AVERAGE(H18:H19)/100,4))</f>
        <v>0.0069</v>
      </c>
      <c r="AD18" s="289">
        <f t="shared" si="18"/>
        <v>0.0008</v>
      </c>
    </row>
    <row r="19" s="222" customFormat="1" ht="13.75" spans="1:30">
      <c r="A19" s="247" t="s">
        <v>2653</v>
      </c>
      <c r="B19" s="248">
        <v>2021</v>
      </c>
      <c r="C19" s="249">
        <v>1</v>
      </c>
      <c r="D19" s="250">
        <v>0.97</v>
      </c>
      <c r="E19" s="250">
        <v>0.16</v>
      </c>
      <c r="F19" s="250">
        <v>-0.25</v>
      </c>
      <c r="G19" s="250">
        <v>1.11</v>
      </c>
      <c r="H19" s="251">
        <v>0.36</v>
      </c>
      <c r="I19" s="268">
        <f t="shared" si="15"/>
        <v>-0.25</v>
      </c>
      <c r="J19" s="269"/>
      <c r="K19" s="270">
        <f t="shared" si="16"/>
        <v>0.0097</v>
      </c>
      <c r="L19" s="271">
        <f t="shared" si="16"/>
        <v>0.0016</v>
      </c>
      <c r="M19" s="271">
        <f>F19/100</f>
        <v>-0.0025</v>
      </c>
      <c r="N19" s="271">
        <f t="shared" si="16"/>
        <v>0.0111</v>
      </c>
      <c r="O19" s="271">
        <f t="shared" si="16"/>
        <v>0.0036</v>
      </c>
      <c r="P19" s="271">
        <f t="shared" si="36"/>
        <v>-0.0025</v>
      </c>
      <c r="Q19" s="269"/>
      <c r="R19" s="281">
        <v>1</v>
      </c>
      <c r="S19" s="281">
        <v>1</v>
      </c>
      <c r="T19" s="281">
        <v>1</v>
      </c>
      <c r="U19" s="281">
        <v>1</v>
      </c>
      <c r="V19" s="281">
        <v>1</v>
      </c>
      <c r="W19" s="281">
        <f t="shared" ref="W19" si="42">T19</f>
        <v>1</v>
      </c>
      <c r="X19" s="269"/>
      <c r="Y19" s="271">
        <f>IF(D19=0,0,ROUND(AVERAGE(D19:D19)/100,4))</f>
        <v>0.0097</v>
      </c>
      <c r="Z19" s="271">
        <f>IF(E19=0,0,ROUND(AVERAGE(E19:E19)/100,4))</f>
        <v>0.0016</v>
      </c>
      <c r="AA19" s="271">
        <f>IF(F19=0,0,ROUND(AVERAGE(F19:F19)/100,4))</f>
        <v>-0.0025</v>
      </c>
      <c r="AB19" s="271">
        <f>IF(G19=0,0,ROUND(AVERAGE(G19:G19)/100,4))</f>
        <v>0.0111</v>
      </c>
      <c r="AC19" s="271">
        <f>IF(H19=0,0,ROUND(AVERAGE(H19:H19)/100,4))</f>
        <v>0.0036</v>
      </c>
      <c r="AD19" s="271">
        <f t="shared" si="18"/>
        <v>-0.0025</v>
      </c>
    </row>
    <row r="20" s="223" customFormat="1" ht="14.75"/>
    <row r="21" s="223" customFormat="1" spans="1:1">
      <c r="A21" s="252" t="s">
        <v>2654</v>
      </c>
    </row>
    <row r="22" s="223" customFormat="1" spans="9:9">
      <c r="I22" s="272" t="s">
        <v>1661</v>
      </c>
    </row>
    <row r="23" s="223" customFormat="1"/>
    <row r="24" s="224" customFormat="1" ht="13" spans="2:25">
      <c r="B24" s="226" t="s">
        <v>2655</v>
      </c>
      <c r="C24" s="227"/>
      <c r="D24" s="227"/>
      <c r="E24" s="227"/>
      <c r="F24" s="227"/>
      <c r="G24" s="227"/>
      <c r="H24" s="227"/>
      <c r="I24" s="227"/>
      <c r="J24" s="253"/>
      <c r="K24" s="227" t="s">
        <v>2634</v>
      </c>
      <c r="L24" s="227"/>
      <c r="M24" s="227"/>
      <c r="N24" s="227"/>
      <c r="O24" s="227"/>
      <c r="P24" s="227"/>
      <c r="Q24" s="253"/>
      <c r="R24" s="273" t="s">
        <v>2635</v>
      </c>
      <c r="X24" s="253"/>
      <c r="Y24" s="273" t="s">
        <v>2636</v>
      </c>
    </row>
    <row r="25" s="217" customFormat="1" ht="14.75" spans="2:30">
      <c r="B25" s="228"/>
      <c r="C25" s="229"/>
      <c r="D25" s="230" t="s">
        <v>2637</v>
      </c>
      <c r="E25" s="231" t="s">
        <v>1916</v>
      </c>
      <c r="F25" s="231" t="s">
        <v>1181</v>
      </c>
      <c r="G25" s="231" t="s">
        <v>412</v>
      </c>
      <c r="H25" s="231"/>
      <c r="I25" s="231" t="s">
        <v>280</v>
      </c>
      <c r="J25" s="254"/>
      <c r="K25" s="230" t="s">
        <v>2637</v>
      </c>
      <c r="L25" s="231" t="s">
        <v>1916</v>
      </c>
      <c r="M25" s="231" t="s">
        <v>1181</v>
      </c>
      <c r="N25" s="231" t="s">
        <v>412</v>
      </c>
      <c r="O25" s="231"/>
      <c r="P25" s="231" t="s">
        <v>280</v>
      </c>
      <c r="Q25" s="254"/>
      <c r="R25" s="230" t="s">
        <v>2637</v>
      </c>
      <c r="S25" s="231" t="s">
        <v>1916</v>
      </c>
      <c r="T25" s="231" t="s">
        <v>1181</v>
      </c>
      <c r="U25" s="231" t="s">
        <v>412</v>
      </c>
      <c r="V25" s="231"/>
      <c r="W25" s="231" t="s">
        <v>280</v>
      </c>
      <c r="X25" s="254"/>
      <c r="Y25" s="230" t="s">
        <v>2637</v>
      </c>
      <c r="Z25" s="231" t="s">
        <v>1916</v>
      </c>
      <c r="AA25" s="231" t="s">
        <v>1181</v>
      </c>
      <c r="AB25" s="231" t="s">
        <v>412</v>
      </c>
      <c r="AC25" s="231"/>
      <c r="AD25" s="231" t="s">
        <v>280</v>
      </c>
    </row>
    <row r="26" s="218" customFormat="1" ht="13" spans="1:30">
      <c r="A26" s="232" t="s">
        <v>2638</v>
      </c>
      <c r="B26" s="233"/>
      <c r="C26" s="234"/>
      <c r="D26" s="234"/>
      <c r="E26" s="234">
        <f t="shared" ref="E26:G26" si="43">ROUND(AVERAGEIF(E27:E42,"&lt;&gt;0"),2)</f>
        <v>0.33</v>
      </c>
      <c r="F26" s="234">
        <f t="shared" si="43"/>
        <v>0.24</v>
      </c>
      <c r="G26" s="234">
        <f t="shared" si="43"/>
        <v>0.62</v>
      </c>
      <c r="H26" s="234"/>
      <c r="I26" s="234">
        <f>F26</f>
        <v>0.24</v>
      </c>
      <c r="J26" s="255"/>
      <c r="K26" s="256"/>
      <c r="L26" s="257">
        <f t="shared" ref="L26:N26" si="44">ROUND(AVERAGEIF(L27:L42,"&lt;&gt;0"),4)</f>
        <v>0.0033</v>
      </c>
      <c r="M26" s="257">
        <f t="shared" si="44"/>
        <v>0.0024</v>
      </c>
      <c r="N26" s="257">
        <f t="shared" si="44"/>
        <v>0.0062</v>
      </c>
      <c r="O26" s="257"/>
      <c r="P26" s="257">
        <f>M26</f>
        <v>0.0024</v>
      </c>
      <c r="Q26" s="255"/>
      <c r="R26" s="274"/>
      <c r="S26" s="275">
        <f>ROUND(SUMPRODUCT(PRODUCT(1+L27:L42)),4)</f>
        <v>1.0469</v>
      </c>
      <c r="T26" s="275">
        <f t="shared" ref="T26:U26" si="45">ROUND(SUMPRODUCT(PRODUCT(1+M27:M42)),4)</f>
        <v>1.0347</v>
      </c>
      <c r="U26" s="275">
        <f t="shared" si="45"/>
        <v>1.0896</v>
      </c>
      <c r="V26" s="275"/>
      <c r="W26" s="274">
        <f>T26</f>
        <v>1.0347</v>
      </c>
      <c r="X26" s="255"/>
      <c r="Y26" s="282"/>
      <c r="Z26" s="283">
        <f t="shared" ref="Z26:AB26" si="46">ROUND(AVERAGEIF(Z27:Z42,"&lt;&gt;0"),4)</f>
        <v>0.0042</v>
      </c>
      <c r="AA26" s="284">
        <f t="shared" si="46"/>
        <v>0.0034</v>
      </c>
      <c r="AB26" s="282">
        <f t="shared" si="46"/>
        <v>0.0086</v>
      </c>
      <c r="AC26" s="285"/>
      <c r="AD26" s="282">
        <f>AA26</f>
        <v>0.0034</v>
      </c>
    </row>
    <row r="27" s="219" customFormat="1" ht="13" spans="2:30">
      <c r="B27" s="235"/>
      <c r="C27" s="236"/>
      <c r="D27" s="236"/>
      <c r="E27" s="236"/>
      <c r="F27" s="236"/>
      <c r="G27" s="236"/>
      <c r="H27" s="236"/>
      <c r="I27" s="236"/>
      <c r="J27" s="253"/>
      <c r="K27" s="258"/>
      <c r="L27" s="259"/>
      <c r="M27" s="259"/>
      <c r="N27" s="259"/>
      <c r="O27" s="259"/>
      <c r="P27" s="259"/>
      <c r="Q27" s="253"/>
      <c r="R27" s="276"/>
      <c r="S27" s="277"/>
      <c r="T27" s="278"/>
      <c r="U27" s="276"/>
      <c r="V27" s="279"/>
      <c r="W27" s="276"/>
      <c r="X27" s="253"/>
      <c r="Y27" s="263"/>
      <c r="Z27" s="286"/>
      <c r="AA27" s="287"/>
      <c r="AB27" s="263"/>
      <c r="AC27" s="288"/>
      <c r="AD27" s="263"/>
    </row>
    <row r="28" s="220" customFormat="1" ht="13" spans="1:30">
      <c r="A28" s="98" t="s">
        <v>2639</v>
      </c>
      <c r="B28" s="237">
        <v>2024</v>
      </c>
      <c r="C28" s="238">
        <v>3</v>
      </c>
      <c r="D28" s="239"/>
      <c r="E28" s="239">
        <v>0</v>
      </c>
      <c r="F28" s="239">
        <v>0</v>
      </c>
      <c r="G28" s="239">
        <v>0</v>
      </c>
      <c r="H28" s="239"/>
      <c r="I28" s="260">
        <f t="shared" ref="I28" si="47">F28</f>
        <v>0</v>
      </c>
      <c r="J28" s="261"/>
      <c r="K28" s="262"/>
      <c r="L28" s="263">
        <f t="shared" ref="L28" si="48">E28/100</f>
        <v>0</v>
      </c>
      <c r="M28" s="263">
        <f t="shared" ref="M28" si="49">F28/100</f>
        <v>0</v>
      </c>
      <c r="N28" s="263">
        <f t="shared" ref="N28" si="50">G28/100</f>
        <v>0</v>
      </c>
      <c r="O28" s="263"/>
      <c r="P28" s="263">
        <f>M28</f>
        <v>0</v>
      </c>
      <c r="Q28" s="261"/>
      <c r="R28" s="280"/>
      <c r="S28" s="280">
        <f>ROUND(IF(项目基本情况!$B$8="出让",SUMPRODUCT(PRODUCT(1+L28:L$42)),SUMPRODUCT(PRODUCT(1+L28:L$41))),4)</f>
        <v>1.0433</v>
      </c>
      <c r="T28" s="280">
        <f>ROUND(IF(项目基本情况!$B$8="出让",SUMPRODUCT(PRODUCT(1+M28:M$42)),SUMPRODUCT(PRODUCT(1+M28:M$41))),4)</f>
        <v>1.0298</v>
      </c>
      <c r="U28" s="280">
        <f>ROUND(IF(项目基本情况!$B$8="出让",SUMPRODUCT(PRODUCT(1+N28:N$42)),SUMPRODUCT(PRODUCT(1+N28:N$41))),4)</f>
        <v>1.079</v>
      </c>
      <c r="V28" s="280"/>
      <c r="W28" s="280">
        <f>T28</f>
        <v>1.0298</v>
      </c>
      <c r="X28" s="261"/>
      <c r="Y28" s="289"/>
      <c r="Z28" s="290">
        <f t="shared" ref="Z28:AB29" si="51">IF(E28=0,0,ROUND(AVERAGE(E28:E41)/100,4))</f>
        <v>0</v>
      </c>
      <c r="AA28" s="290">
        <f t="shared" si="51"/>
        <v>0</v>
      </c>
      <c r="AB28" s="290">
        <f t="shared" si="51"/>
        <v>0</v>
      </c>
      <c r="AC28" s="291"/>
      <c r="AD28" s="289">
        <f>IF(I28=0,0,ROUND(AVERAGE(I28:I41)/100,4))</f>
        <v>0</v>
      </c>
    </row>
    <row r="29" s="221" customFormat="1" ht="13" spans="1:30">
      <c r="A29" s="240" t="s">
        <v>2640</v>
      </c>
      <c r="B29" s="241">
        <v>2024</v>
      </c>
      <c r="C29" s="242">
        <v>2</v>
      </c>
      <c r="D29" s="243"/>
      <c r="E29" s="243">
        <v>-0.31</v>
      </c>
      <c r="F29" s="243">
        <v>-0.39</v>
      </c>
      <c r="G29" s="243">
        <v>1.23</v>
      </c>
      <c r="H29" s="244"/>
      <c r="I29" s="264">
        <f t="shared" ref="I29:I42" si="52">F29</f>
        <v>-0.39</v>
      </c>
      <c r="J29" s="265"/>
      <c r="K29" s="266"/>
      <c r="L29" s="267">
        <f t="shared" ref="L29:N42" si="53">E29/100</f>
        <v>-0.0031</v>
      </c>
      <c r="M29" s="267">
        <f t="shared" si="53"/>
        <v>-0.0039</v>
      </c>
      <c r="N29" s="267">
        <f t="shared" si="53"/>
        <v>0.0123</v>
      </c>
      <c r="O29" s="267"/>
      <c r="P29" s="267">
        <f>M29</f>
        <v>-0.0039</v>
      </c>
      <c r="Q29" s="265"/>
      <c r="R29" s="265"/>
      <c r="S29" s="265">
        <f>ROUND(IF(项目基本情况!$B$8="出让",SUMPRODUCT(PRODUCT(1+L29:L$42)),SUMPRODUCT(PRODUCT(1+L29:L$41))),4)</f>
        <v>1.0433</v>
      </c>
      <c r="T29" s="265">
        <f>ROUND(IF(项目基本情况!$B$8="出让",SUMPRODUCT(PRODUCT(1+M29:M$42)),SUMPRODUCT(PRODUCT(1+M29:M$41))),4)</f>
        <v>1.0298</v>
      </c>
      <c r="U29" s="265">
        <f>ROUND(IF(项目基本情况!$B$8="出让",SUMPRODUCT(PRODUCT(1+N29:N$42)),SUMPRODUCT(PRODUCT(1+N29:N$41))),4)</f>
        <v>1.079</v>
      </c>
      <c r="V29" s="265"/>
      <c r="W29" s="265">
        <f>T29</f>
        <v>1.0298</v>
      </c>
      <c r="X29" s="265"/>
      <c r="Y29" s="267"/>
      <c r="Z29" s="292">
        <f t="shared" si="51"/>
        <v>0.0033</v>
      </c>
      <c r="AA29" s="293">
        <f t="shared" si="51"/>
        <v>0.0024</v>
      </c>
      <c r="AB29" s="267">
        <f t="shared" si="51"/>
        <v>0.0062</v>
      </c>
      <c r="AC29" s="294"/>
      <c r="AD29" s="267">
        <f>IF(I29=0,0,ROUND(AVERAGE(I29:I42)/100,4))</f>
        <v>0.0024</v>
      </c>
    </row>
    <row r="30" s="220" customFormat="1" ht="13" spans="1:30">
      <c r="A30" s="245" t="s">
        <v>2641</v>
      </c>
      <c r="B30" s="237">
        <v>2024</v>
      </c>
      <c r="C30" s="238">
        <v>1</v>
      </c>
      <c r="D30" s="239"/>
      <c r="E30" s="239">
        <v>0.25</v>
      </c>
      <c r="F30" s="239">
        <v>0.4</v>
      </c>
      <c r="G30" s="239">
        <v>-0.63</v>
      </c>
      <c r="H30" s="246"/>
      <c r="I30" s="260">
        <f t="shared" ref="I30:I31" si="54">F30</f>
        <v>0.4</v>
      </c>
      <c r="J30" s="261"/>
      <c r="K30" s="262"/>
      <c r="L30" s="263">
        <f t="shared" ref="L30" si="55">E30/100</f>
        <v>0.0025</v>
      </c>
      <c r="M30" s="263">
        <f t="shared" ref="M30" si="56">F30/100</f>
        <v>0.004</v>
      </c>
      <c r="N30" s="263">
        <f t="shared" ref="N30" si="57">G30/100</f>
        <v>-0.0063</v>
      </c>
      <c r="O30" s="263"/>
      <c r="P30" s="263">
        <f t="shared" ref="P30" si="58">M30</f>
        <v>0.004</v>
      </c>
      <c r="Q30" s="261"/>
      <c r="R30" s="280"/>
      <c r="S30" s="280">
        <f>ROUND(IF(项目基本情况!$B$8="出让",SUMPRODUCT(PRODUCT(1+L30:L$42)),SUMPRODUCT(PRODUCT(1+L30:L$41))),4)</f>
        <v>1.0465</v>
      </c>
      <c r="T30" s="280">
        <f>ROUND(IF(项目基本情况!$B$8="出让",SUMPRODUCT(PRODUCT(1+M30:M$42)),SUMPRODUCT(PRODUCT(1+M30:M$41))),4)</f>
        <v>1.0338</v>
      </c>
      <c r="U30" s="280">
        <f>ROUND(IF(项目基本情况!$B$8="出让",SUMPRODUCT(PRODUCT(1+N30:N$42)),SUMPRODUCT(PRODUCT(1+N30:N$41))),4)</f>
        <v>1.0659</v>
      </c>
      <c r="V30" s="280"/>
      <c r="W30" s="280">
        <f t="shared" ref="W30" si="59">T30</f>
        <v>1.0338</v>
      </c>
      <c r="X30" s="261"/>
      <c r="Y30" s="289"/>
      <c r="Z30" s="290"/>
      <c r="AA30" s="295"/>
      <c r="AB30" s="289"/>
      <c r="AC30" s="291"/>
      <c r="AD30" s="289"/>
    </row>
    <row r="31" s="220" customFormat="1" ht="13" spans="1:30">
      <c r="A31" s="245" t="s">
        <v>2642</v>
      </c>
      <c r="B31" s="237">
        <v>2023</v>
      </c>
      <c r="C31" s="238">
        <v>4</v>
      </c>
      <c r="D31" s="239"/>
      <c r="E31" s="239">
        <v>0.07</v>
      </c>
      <c r="F31" s="239">
        <v>0.09</v>
      </c>
      <c r="G31" s="239">
        <v>0.03</v>
      </c>
      <c r="H31" s="246"/>
      <c r="I31" s="260">
        <f t="shared" si="54"/>
        <v>0.09</v>
      </c>
      <c r="J31" s="261"/>
      <c r="K31" s="262"/>
      <c r="L31" s="263">
        <f t="shared" si="53"/>
        <v>0.0007</v>
      </c>
      <c r="M31" s="263">
        <f t="shared" si="53"/>
        <v>0.0009</v>
      </c>
      <c r="N31" s="263">
        <f t="shared" si="53"/>
        <v>0.0003</v>
      </c>
      <c r="O31" s="263"/>
      <c r="P31" s="263">
        <f t="shared" ref="P31" si="60">M31</f>
        <v>0.0009</v>
      </c>
      <c r="Q31" s="261"/>
      <c r="R31" s="280"/>
      <c r="S31" s="280">
        <f>ROUND(IF(项目基本情况!$B$8="出让",SUMPRODUCT(PRODUCT(1+L31:L$42)),SUMPRODUCT(PRODUCT(1+L31:L$41))),4)</f>
        <v>1.0439</v>
      </c>
      <c r="T31" s="280">
        <f>ROUND(IF(项目基本情况!$B$8="出让",SUMPRODUCT(PRODUCT(1+M31:M$42)),SUMPRODUCT(PRODUCT(1+M31:M$41))),4)</f>
        <v>1.0297</v>
      </c>
      <c r="U31" s="280">
        <f>ROUND(IF(项目基本情况!$B$8="出让",SUMPRODUCT(PRODUCT(1+N31:N$42)),SUMPRODUCT(PRODUCT(1+N31:N$41))),4)</f>
        <v>1.0727</v>
      </c>
      <c r="V31" s="280"/>
      <c r="W31" s="280">
        <f t="shared" ref="W31" si="61">T31</f>
        <v>1.0297</v>
      </c>
      <c r="X31" s="261"/>
      <c r="Y31" s="289"/>
      <c r="Z31" s="290"/>
      <c r="AA31" s="295"/>
      <c r="AB31" s="289"/>
      <c r="AC31" s="291"/>
      <c r="AD31" s="289"/>
    </row>
    <row r="32" s="220" customFormat="1" ht="13" spans="1:30">
      <c r="A32" s="245" t="s">
        <v>2643</v>
      </c>
      <c r="B32" s="237">
        <v>2023</v>
      </c>
      <c r="C32" s="238">
        <v>3</v>
      </c>
      <c r="D32" s="239"/>
      <c r="E32" s="239">
        <v>0.35</v>
      </c>
      <c r="F32" s="239">
        <v>0.17</v>
      </c>
      <c r="G32" s="239">
        <v>0.52</v>
      </c>
      <c r="H32" s="246"/>
      <c r="I32" s="260">
        <f t="shared" si="52"/>
        <v>0.17</v>
      </c>
      <c r="J32" s="261"/>
      <c r="K32" s="262"/>
      <c r="L32" s="263">
        <f t="shared" ref="L32:L34" si="62">E32/100</f>
        <v>0.0035</v>
      </c>
      <c r="M32" s="263">
        <f t="shared" ref="M32:M34" si="63">F32/100</f>
        <v>0.0017</v>
      </c>
      <c r="N32" s="263">
        <f t="shared" ref="N32:N34" si="64">G32/100</f>
        <v>0.0052</v>
      </c>
      <c r="O32" s="263"/>
      <c r="P32" s="263">
        <f t="shared" ref="P32:P34" si="65">M32</f>
        <v>0.0017</v>
      </c>
      <c r="Q32" s="261"/>
      <c r="R32" s="280"/>
      <c r="S32" s="280">
        <f>ROUND(IF(项目基本情况!$B$8="出让",SUMPRODUCT(PRODUCT(1+L32:L$42)),SUMPRODUCT(PRODUCT(1+L32:L$41))),4)</f>
        <v>1.0432</v>
      </c>
      <c r="T32" s="280">
        <f>ROUND(IF(项目基本情况!$B$8="出让",SUMPRODUCT(PRODUCT(1+M32:M$42)),SUMPRODUCT(PRODUCT(1+M32:M$41))),4)</f>
        <v>1.0287</v>
      </c>
      <c r="U32" s="280">
        <f>ROUND(IF(项目基本情况!$B$8="出让",SUMPRODUCT(PRODUCT(1+N32:N$42)),SUMPRODUCT(PRODUCT(1+N32:N$41))),4)</f>
        <v>1.0723</v>
      </c>
      <c r="V32" s="280"/>
      <c r="W32" s="280">
        <f t="shared" ref="W32:W34" si="66">T32</f>
        <v>1.0287</v>
      </c>
      <c r="X32" s="261"/>
      <c r="Y32" s="289"/>
      <c r="Z32" s="290"/>
      <c r="AA32" s="295"/>
      <c r="AB32" s="289"/>
      <c r="AC32" s="291"/>
      <c r="AD32" s="289"/>
    </row>
    <row r="33" s="220" customFormat="1" ht="13" spans="1:30">
      <c r="A33" s="245" t="s">
        <v>2644</v>
      </c>
      <c r="B33" s="237">
        <v>2023</v>
      </c>
      <c r="C33" s="238">
        <v>2</v>
      </c>
      <c r="D33" s="239"/>
      <c r="E33" s="239">
        <v>0.5</v>
      </c>
      <c r="F33" s="239">
        <v>0.45</v>
      </c>
      <c r="G33" s="239">
        <v>0.89</v>
      </c>
      <c r="H33" s="246"/>
      <c r="I33" s="260">
        <f t="shared" si="52"/>
        <v>0.45</v>
      </c>
      <c r="J33" s="261"/>
      <c r="K33" s="262"/>
      <c r="L33" s="263">
        <f t="shared" si="62"/>
        <v>0.005</v>
      </c>
      <c r="M33" s="263">
        <f t="shared" si="63"/>
        <v>0.0045</v>
      </c>
      <c r="N33" s="263">
        <f t="shared" si="64"/>
        <v>0.0089</v>
      </c>
      <c r="O33" s="263"/>
      <c r="P33" s="263">
        <f t="shared" si="65"/>
        <v>0.0045</v>
      </c>
      <c r="Q33" s="261"/>
      <c r="R33" s="280"/>
      <c r="S33" s="280">
        <f>ROUND(IF(项目基本情况!$B$8="出让",SUMPRODUCT(PRODUCT(1+L33:L$42)),SUMPRODUCT(PRODUCT(1+L33:L$41))),4)</f>
        <v>1.0396</v>
      </c>
      <c r="T33" s="280">
        <f>ROUND(IF(项目基本情况!$B$8="出让",SUMPRODUCT(PRODUCT(1+M33:M$42)),SUMPRODUCT(PRODUCT(1+M33:M$41))),4)</f>
        <v>1.027</v>
      </c>
      <c r="U33" s="280">
        <f>ROUND(IF(项目基本情况!$B$8="出让",SUMPRODUCT(PRODUCT(1+N33:N$42)),SUMPRODUCT(PRODUCT(1+N33:N$41))),4)</f>
        <v>1.0668</v>
      </c>
      <c r="V33" s="280"/>
      <c r="W33" s="280">
        <f t="shared" si="66"/>
        <v>1.027</v>
      </c>
      <c r="X33" s="261"/>
      <c r="Y33" s="289"/>
      <c r="Z33" s="290"/>
      <c r="AA33" s="295"/>
      <c r="AB33" s="289"/>
      <c r="AC33" s="291"/>
      <c r="AD33" s="289"/>
    </row>
    <row r="34" s="220" customFormat="1" ht="13" spans="1:30">
      <c r="A34" s="245" t="s">
        <v>2645</v>
      </c>
      <c r="B34" s="237">
        <v>2023</v>
      </c>
      <c r="C34" s="238">
        <v>1</v>
      </c>
      <c r="D34" s="239"/>
      <c r="E34" s="239">
        <v>0.55</v>
      </c>
      <c r="F34" s="239">
        <v>0.59</v>
      </c>
      <c r="G34" s="239">
        <v>0.64</v>
      </c>
      <c r="H34" s="246"/>
      <c r="I34" s="260">
        <f t="shared" si="52"/>
        <v>0.59</v>
      </c>
      <c r="J34" s="261"/>
      <c r="K34" s="262"/>
      <c r="L34" s="263">
        <f t="shared" si="62"/>
        <v>0.0055</v>
      </c>
      <c r="M34" s="263">
        <f t="shared" si="63"/>
        <v>0.0059</v>
      </c>
      <c r="N34" s="263">
        <f t="shared" si="64"/>
        <v>0.0064</v>
      </c>
      <c r="O34" s="263"/>
      <c r="P34" s="263">
        <f t="shared" si="65"/>
        <v>0.0059</v>
      </c>
      <c r="Q34" s="261"/>
      <c r="R34" s="280"/>
      <c r="S34" s="280">
        <f>ROUND(IF(项目基本情况!$B$8="出让",SUMPRODUCT(PRODUCT(1+L34:L$42)),SUMPRODUCT(PRODUCT(1+L34:L$41))),4)</f>
        <v>1.0344</v>
      </c>
      <c r="T34" s="280">
        <f>ROUND(IF(项目基本情况!$B$8="出让",SUMPRODUCT(PRODUCT(1+M34:M$42)),SUMPRODUCT(PRODUCT(1+M34:M$41))),4)</f>
        <v>1.0224</v>
      </c>
      <c r="U34" s="280">
        <f>ROUND(IF(项目基本情况!$B$8="出让",SUMPRODUCT(PRODUCT(1+N34:N$42)),SUMPRODUCT(PRODUCT(1+N34:N$41))),4)</f>
        <v>1.0574</v>
      </c>
      <c r="V34" s="280"/>
      <c r="W34" s="280">
        <f t="shared" si="66"/>
        <v>1.0224</v>
      </c>
      <c r="X34" s="261"/>
      <c r="Y34" s="289"/>
      <c r="Z34" s="290"/>
      <c r="AA34" s="295"/>
      <c r="AB34" s="289"/>
      <c r="AC34" s="291"/>
      <c r="AD34" s="289"/>
    </row>
    <row r="35" s="220" customFormat="1" ht="13" spans="1:30">
      <c r="A35" s="245" t="s">
        <v>2646</v>
      </c>
      <c r="B35" s="237">
        <v>2022</v>
      </c>
      <c r="C35" s="238">
        <v>4</v>
      </c>
      <c r="D35" s="239"/>
      <c r="E35" s="239">
        <v>0.45</v>
      </c>
      <c r="F35" s="239">
        <v>0.2</v>
      </c>
      <c r="G35" s="239">
        <v>0.38</v>
      </c>
      <c r="H35" s="246"/>
      <c r="I35" s="260">
        <f t="shared" si="52"/>
        <v>0.2</v>
      </c>
      <c r="J35" s="261"/>
      <c r="K35" s="262"/>
      <c r="L35" s="263">
        <f t="shared" si="53"/>
        <v>0.0045</v>
      </c>
      <c r="M35" s="263">
        <f t="shared" si="53"/>
        <v>0.002</v>
      </c>
      <c r="N35" s="263">
        <f t="shared" si="53"/>
        <v>0.0038</v>
      </c>
      <c r="O35" s="263"/>
      <c r="P35" s="263">
        <f t="shared" ref="P35:P42" si="67">M35</f>
        <v>0.002</v>
      </c>
      <c r="Q35" s="261"/>
      <c r="R35" s="280"/>
      <c r="S35" s="280">
        <f>ROUND(IF(项目基本情况!$B$8="出让",SUMPRODUCT(PRODUCT(1+L35:L$42)),SUMPRODUCT(PRODUCT(1+L35:L$41))),4)</f>
        <v>1.0287</v>
      </c>
      <c r="T35" s="280">
        <f>ROUND(IF(项目基本情况!$B$8="出让",SUMPRODUCT(PRODUCT(1+M35:M$42)),SUMPRODUCT(PRODUCT(1+M35:M$41))),4)</f>
        <v>1.0164</v>
      </c>
      <c r="U35" s="280">
        <f>ROUND(IF(项目基本情况!$B$8="出让",SUMPRODUCT(PRODUCT(1+N35:N$42)),SUMPRODUCT(PRODUCT(1+N35:N$41))),4)</f>
        <v>1.0506</v>
      </c>
      <c r="V35" s="280"/>
      <c r="W35" s="280">
        <f t="shared" ref="W35:W42" si="68">T35</f>
        <v>1.0164</v>
      </c>
      <c r="X35" s="261"/>
      <c r="Y35" s="289"/>
      <c r="Z35" s="290">
        <f t="shared" ref="Z35:AD42" si="69">IF(E35=0,0,ROUND(AVERAGE(E35:E43)/100,4))</f>
        <v>0.004</v>
      </c>
      <c r="AA35" s="295">
        <f t="shared" si="69"/>
        <v>0.0026</v>
      </c>
      <c r="AB35" s="289">
        <f t="shared" si="69"/>
        <v>0.0074</v>
      </c>
      <c r="AC35" s="291"/>
      <c r="AD35" s="289">
        <f t="shared" si="69"/>
        <v>0.0026</v>
      </c>
    </row>
    <row r="36" s="220" customFormat="1" ht="13" spans="1:30">
      <c r="A36" s="245" t="s">
        <v>2647</v>
      </c>
      <c r="B36" s="237">
        <v>2022</v>
      </c>
      <c r="C36" s="238">
        <v>3</v>
      </c>
      <c r="D36" s="239"/>
      <c r="E36" s="239">
        <v>0.3</v>
      </c>
      <c r="F36" s="239">
        <v>0.29</v>
      </c>
      <c r="G36" s="239">
        <v>0.83</v>
      </c>
      <c r="H36" s="246"/>
      <c r="I36" s="260">
        <f t="shared" si="52"/>
        <v>0.29</v>
      </c>
      <c r="J36" s="261"/>
      <c r="K36" s="262"/>
      <c r="L36" s="263">
        <f t="shared" si="53"/>
        <v>0.003</v>
      </c>
      <c r="M36" s="263">
        <f t="shared" si="53"/>
        <v>0.0029</v>
      </c>
      <c r="N36" s="263">
        <f t="shared" si="53"/>
        <v>0.0083</v>
      </c>
      <c r="O36" s="263"/>
      <c r="P36" s="263">
        <f t="shared" si="67"/>
        <v>0.0029</v>
      </c>
      <c r="Q36" s="261"/>
      <c r="R36" s="280"/>
      <c r="S36" s="280">
        <f>ROUND(IF(项目基本情况!$B$8="出让",SUMPRODUCT(PRODUCT(1+L36:L$42)),SUMPRODUCT(PRODUCT(1+L36:L$41))),4)</f>
        <v>1.0241</v>
      </c>
      <c r="T36" s="280">
        <f>ROUND(IF(项目基本情况!$B$8="出让",SUMPRODUCT(PRODUCT(1+M36:M$42)),SUMPRODUCT(PRODUCT(1+M36:M$41))),4)</f>
        <v>1.0144</v>
      </c>
      <c r="U36" s="280">
        <f>ROUND(IF(项目基本情况!$B$8="出让",SUMPRODUCT(PRODUCT(1+N36:N$42)),SUMPRODUCT(PRODUCT(1+N36:N$41))),4)</f>
        <v>1.0467</v>
      </c>
      <c r="V36" s="280"/>
      <c r="W36" s="280">
        <f t="shared" si="68"/>
        <v>1.0144</v>
      </c>
      <c r="X36" s="261"/>
      <c r="Y36" s="289"/>
      <c r="Z36" s="290">
        <f t="shared" si="69"/>
        <v>0.0039</v>
      </c>
      <c r="AA36" s="295">
        <f t="shared" si="69"/>
        <v>0.0027</v>
      </c>
      <c r="AB36" s="289">
        <f t="shared" si="69"/>
        <v>0.0079</v>
      </c>
      <c r="AC36" s="291"/>
      <c r="AD36" s="289">
        <f t="shared" si="69"/>
        <v>0.0027</v>
      </c>
    </row>
    <row r="37" s="220" customFormat="1" ht="13" spans="1:30">
      <c r="A37" s="245" t="s">
        <v>2648</v>
      </c>
      <c r="B37" s="237">
        <v>2022</v>
      </c>
      <c r="C37" s="238">
        <v>2</v>
      </c>
      <c r="D37" s="239"/>
      <c r="E37" s="239">
        <v>-0.11</v>
      </c>
      <c r="F37" s="239">
        <v>-0.13</v>
      </c>
      <c r="G37" s="239">
        <v>0.53</v>
      </c>
      <c r="H37" s="246"/>
      <c r="I37" s="260">
        <f t="shared" si="52"/>
        <v>-0.13</v>
      </c>
      <c r="J37" s="261"/>
      <c r="K37" s="262"/>
      <c r="L37" s="263">
        <f t="shared" si="53"/>
        <v>-0.0011</v>
      </c>
      <c r="M37" s="263">
        <f t="shared" si="53"/>
        <v>-0.0013</v>
      </c>
      <c r="N37" s="263">
        <f t="shared" si="53"/>
        <v>0.0053</v>
      </c>
      <c r="O37" s="263"/>
      <c r="P37" s="263">
        <f t="shared" si="67"/>
        <v>-0.0013</v>
      </c>
      <c r="Q37" s="261"/>
      <c r="R37" s="280"/>
      <c r="S37" s="280">
        <f>ROUND(IF(项目基本情况!$B$8="出让",SUMPRODUCT(PRODUCT(1+L37:L$42)),SUMPRODUCT(PRODUCT(1+L37:L$41))),4)</f>
        <v>1.0211</v>
      </c>
      <c r="T37" s="280">
        <f>ROUND(IF(项目基本情况!$B$8="出让",SUMPRODUCT(PRODUCT(1+M37:M$42)),SUMPRODUCT(PRODUCT(1+M37:M$41))),4)</f>
        <v>1.0114</v>
      </c>
      <c r="U37" s="280">
        <f>ROUND(IF(项目基本情况!$B$8="出让",SUMPRODUCT(PRODUCT(1+N37:N$42)),SUMPRODUCT(PRODUCT(1+N37:N$41))),4)</f>
        <v>1.0381</v>
      </c>
      <c r="V37" s="280"/>
      <c r="W37" s="280">
        <f t="shared" si="68"/>
        <v>1.0114</v>
      </c>
      <c r="X37" s="261"/>
      <c r="Y37" s="289"/>
      <c r="Z37" s="290">
        <f t="shared" si="69"/>
        <v>0.0041</v>
      </c>
      <c r="AA37" s="295">
        <f t="shared" si="69"/>
        <v>0.0027</v>
      </c>
      <c r="AB37" s="289">
        <f t="shared" si="69"/>
        <v>0.0079</v>
      </c>
      <c r="AC37" s="291"/>
      <c r="AD37" s="289">
        <f t="shared" si="69"/>
        <v>0.0027</v>
      </c>
    </row>
    <row r="38" s="220" customFormat="1" ht="13" spans="1:30">
      <c r="A38" s="245" t="s">
        <v>2649</v>
      </c>
      <c r="B38" s="237">
        <v>2022</v>
      </c>
      <c r="C38" s="238">
        <v>1</v>
      </c>
      <c r="D38" s="239"/>
      <c r="E38" s="239">
        <v>0.6</v>
      </c>
      <c r="F38" s="239">
        <v>0.45</v>
      </c>
      <c r="G38" s="239">
        <v>0.53</v>
      </c>
      <c r="H38" s="246"/>
      <c r="I38" s="260">
        <f t="shared" si="52"/>
        <v>0.45</v>
      </c>
      <c r="J38" s="261"/>
      <c r="K38" s="262"/>
      <c r="L38" s="263">
        <f t="shared" si="53"/>
        <v>0.006</v>
      </c>
      <c r="M38" s="263">
        <f t="shared" si="53"/>
        <v>0.0045</v>
      </c>
      <c r="N38" s="263">
        <f t="shared" si="53"/>
        <v>0.0053</v>
      </c>
      <c r="O38" s="263"/>
      <c r="P38" s="263">
        <f t="shared" si="67"/>
        <v>0.0045</v>
      </c>
      <c r="Q38" s="261"/>
      <c r="R38" s="280"/>
      <c r="S38" s="280">
        <f>ROUND(IF(项目基本情况!$B$8="出让",SUMPRODUCT(PRODUCT(1+L38:L$42)),SUMPRODUCT(PRODUCT(1+L38:L$41))),4)</f>
        <v>1.0222</v>
      </c>
      <c r="T38" s="280">
        <f>ROUND(IF(项目基本情况!$B$8="出让",SUMPRODUCT(PRODUCT(1+M38:M$42)),SUMPRODUCT(PRODUCT(1+M38:M$41))),4)</f>
        <v>1.0128</v>
      </c>
      <c r="U38" s="280">
        <f>ROUND(IF(项目基本情况!$B$8="出让",SUMPRODUCT(PRODUCT(1+N38:N$42)),SUMPRODUCT(PRODUCT(1+N38:N$41))),4)</f>
        <v>1.0326</v>
      </c>
      <c r="V38" s="280"/>
      <c r="W38" s="280">
        <f t="shared" si="68"/>
        <v>1.0128</v>
      </c>
      <c r="X38" s="261"/>
      <c r="Y38" s="289"/>
      <c r="Z38" s="290">
        <f t="shared" si="69"/>
        <v>0.0051</v>
      </c>
      <c r="AA38" s="295">
        <f t="shared" si="69"/>
        <v>0.0035</v>
      </c>
      <c r="AB38" s="289">
        <f t="shared" si="69"/>
        <v>0.0084</v>
      </c>
      <c r="AC38" s="291"/>
      <c r="AD38" s="289">
        <f t="shared" si="69"/>
        <v>0.0035</v>
      </c>
    </row>
    <row r="39" s="220" customFormat="1" ht="13" spans="1:30">
      <c r="A39" s="245" t="s">
        <v>2650</v>
      </c>
      <c r="B39" s="237">
        <v>2021</v>
      </c>
      <c r="C39" s="238">
        <v>4</v>
      </c>
      <c r="D39" s="239"/>
      <c r="E39" s="239">
        <v>0.58</v>
      </c>
      <c r="F39" s="239">
        <v>0.08</v>
      </c>
      <c r="G39" s="239">
        <v>0.68</v>
      </c>
      <c r="H39" s="246"/>
      <c r="I39" s="260">
        <f t="shared" si="52"/>
        <v>0.08</v>
      </c>
      <c r="J39" s="261"/>
      <c r="K39" s="262"/>
      <c r="L39" s="263">
        <f t="shared" si="53"/>
        <v>0.0058</v>
      </c>
      <c r="M39" s="263">
        <f t="shared" si="53"/>
        <v>0.0008</v>
      </c>
      <c r="N39" s="263">
        <f t="shared" si="53"/>
        <v>0.0068</v>
      </c>
      <c r="O39" s="263"/>
      <c r="P39" s="263">
        <f t="shared" si="67"/>
        <v>0.0008</v>
      </c>
      <c r="Q39" s="261"/>
      <c r="R39" s="280"/>
      <c r="S39" s="280">
        <f>ROUND(IF(项目基本情况!$B$8="出让",SUMPRODUCT(PRODUCT(1+L39:L$42)),SUMPRODUCT(PRODUCT(1+L39:L$41))),4)</f>
        <v>1.0161</v>
      </c>
      <c r="T39" s="280">
        <f>ROUND(IF(项目基本情况!$B$8="出让",SUMPRODUCT(PRODUCT(1+M39:M$42)),SUMPRODUCT(PRODUCT(1+M39:M$41))),4)</f>
        <v>1.0082</v>
      </c>
      <c r="U39" s="280">
        <f>ROUND(IF(项目基本情况!$B$8="出让",SUMPRODUCT(PRODUCT(1+N39:N$42)),SUMPRODUCT(PRODUCT(1+N39:N$41))),4)</f>
        <v>1.0271</v>
      </c>
      <c r="V39" s="280"/>
      <c r="W39" s="280">
        <f t="shared" si="68"/>
        <v>1.0082</v>
      </c>
      <c r="X39" s="261"/>
      <c r="Y39" s="289"/>
      <c r="Z39" s="290">
        <f t="shared" si="69"/>
        <v>0.0049</v>
      </c>
      <c r="AA39" s="295">
        <f t="shared" si="69"/>
        <v>0.0033</v>
      </c>
      <c r="AB39" s="289">
        <f t="shared" si="69"/>
        <v>0.0092</v>
      </c>
      <c r="AC39" s="291"/>
      <c r="AD39" s="289">
        <f t="shared" si="69"/>
        <v>0.0033</v>
      </c>
    </row>
    <row r="40" s="220" customFormat="1" ht="13" spans="1:30">
      <c r="A40" s="245" t="s">
        <v>2651</v>
      </c>
      <c r="B40" s="237">
        <v>2021</v>
      </c>
      <c r="C40" s="238">
        <v>3</v>
      </c>
      <c r="D40" s="239"/>
      <c r="E40" s="239">
        <v>0.47</v>
      </c>
      <c r="F40" s="239">
        <v>0.28</v>
      </c>
      <c r="G40" s="239">
        <v>0.91</v>
      </c>
      <c r="H40" s="246"/>
      <c r="I40" s="260">
        <f t="shared" si="52"/>
        <v>0.28</v>
      </c>
      <c r="J40" s="261"/>
      <c r="K40" s="262"/>
      <c r="L40" s="263">
        <f t="shared" si="53"/>
        <v>0.0047</v>
      </c>
      <c r="M40" s="263">
        <f t="shared" si="53"/>
        <v>0.0028</v>
      </c>
      <c r="N40" s="263">
        <f t="shared" si="53"/>
        <v>0.0091</v>
      </c>
      <c r="O40" s="263"/>
      <c r="P40" s="263">
        <f t="shared" si="67"/>
        <v>0.0028</v>
      </c>
      <c r="Q40" s="261"/>
      <c r="R40" s="280"/>
      <c r="S40" s="280">
        <f>ROUND(IF(项目基本情况!$B$8="出让",SUMPRODUCT(PRODUCT(1+L40:L$42)),SUMPRODUCT(PRODUCT(1+L40:L$41))),4)</f>
        <v>1.0102</v>
      </c>
      <c r="T40" s="280">
        <f>ROUND(IF(项目基本情况!$B$8="出让",SUMPRODUCT(PRODUCT(1+M40:M$42)),SUMPRODUCT(PRODUCT(1+M40:M$41))),4)</f>
        <v>1.0074</v>
      </c>
      <c r="U40" s="280">
        <f>ROUND(IF(项目基本情况!$B$8="出让",SUMPRODUCT(PRODUCT(1+N40:N$42)),SUMPRODUCT(PRODUCT(1+N40:N$41))),4)</f>
        <v>1.0202</v>
      </c>
      <c r="V40" s="280"/>
      <c r="W40" s="280">
        <f t="shared" si="68"/>
        <v>1.0074</v>
      </c>
      <c r="X40" s="261"/>
      <c r="Y40" s="289"/>
      <c r="Z40" s="290">
        <f t="shared" si="69"/>
        <v>0.0046</v>
      </c>
      <c r="AA40" s="295">
        <f t="shared" si="69"/>
        <v>0.0041</v>
      </c>
      <c r="AB40" s="289">
        <f t="shared" si="69"/>
        <v>0.01</v>
      </c>
      <c r="AC40" s="291"/>
      <c r="AD40" s="289">
        <f t="shared" si="69"/>
        <v>0.0041</v>
      </c>
    </row>
    <row r="41" s="220" customFormat="1" ht="13" spans="1:30">
      <c r="A41" s="245" t="s">
        <v>2652</v>
      </c>
      <c r="B41" s="237">
        <v>2021</v>
      </c>
      <c r="C41" s="238">
        <v>2</v>
      </c>
      <c r="D41" s="239"/>
      <c r="E41" s="239">
        <v>0.55</v>
      </c>
      <c r="F41" s="239">
        <v>0.46</v>
      </c>
      <c r="G41" s="239">
        <v>1.1</v>
      </c>
      <c r="H41" s="246"/>
      <c r="I41" s="260">
        <f t="shared" si="52"/>
        <v>0.46</v>
      </c>
      <c r="J41" s="261"/>
      <c r="K41" s="262"/>
      <c r="L41" s="263">
        <f t="shared" si="53"/>
        <v>0.0055</v>
      </c>
      <c r="M41" s="263">
        <f t="shared" si="53"/>
        <v>0.0046</v>
      </c>
      <c r="N41" s="263">
        <f t="shared" si="53"/>
        <v>0.011</v>
      </c>
      <c r="O41" s="263"/>
      <c r="P41" s="263">
        <f t="shared" si="67"/>
        <v>0.0046</v>
      </c>
      <c r="Q41" s="261"/>
      <c r="R41" s="280"/>
      <c r="S41" s="280">
        <f>ROUND(IF(项目基本情况!$B$8="出让",SUMPRODUCT(PRODUCT(1+L41:L$42)),SUMPRODUCT(PRODUCT(1+L41:L$41))),4)</f>
        <v>1.0055</v>
      </c>
      <c r="T41" s="280">
        <f>ROUND(IF(项目基本情况!$B$8="出让",SUMPRODUCT(PRODUCT(1+M41:M$42)),SUMPRODUCT(PRODUCT(1+M41:M$41))),4)</f>
        <v>1.0046</v>
      </c>
      <c r="U41" s="280">
        <f>ROUND(IF(项目基本情况!$B$8="出让",SUMPRODUCT(PRODUCT(1+N41:N$42)),SUMPRODUCT(PRODUCT(1+N41:N$41))),4)</f>
        <v>1.011</v>
      </c>
      <c r="V41" s="280"/>
      <c r="W41" s="280">
        <f t="shared" si="68"/>
        <v>1.0046</v>
      </c>
      <c r="X41" s="261"/>
      <c r="Y41" s="289"/>
      <c r="Z41" s="290">
        <f t="shared" si="69"/>
        <v>0.0045</v>
      </c>
      <c r="AA41" s="295">
        <f t="shared" si="69"/>
        <v>0.0047</v>
      </c>
      <c r="AB41" s="289">
        <f t="shared" si="69"/>
        <v>0.0104</v>
      </c>
      <c r="AC41" s="291"/>
      <c r="AD41" s="289">
        <f t="shared" si="69"/>
        <v>0.0047</v>
      </c>
    </row>
    <row r="42" s="222" customFormat="1" ht="13.75" spans="1:30">
      <c r="A42" s="247" t="s">
        <v>2653</v>
      </c>
      <c r="B42" s="248">
        <v>2021</v>
      </c>
      <c r="C42" s="249">
        <v>1</v>
      </c>
      <c r="D42" s="250"/>
      <c r="E42" s="250">
        <v>0.35</v>
      </c>
      <c r="F42" s="250">
        <v>0.48</v>
      </c>
      <c r="G42" s="250">
        <v>0.98</v>
      </c>
      <c r="H42" s="251"/>
      <c r="I42" s="268">
        <f t="shared" si="52"/>
        <v>0.48</v>
      </c>
      <c r="J42" s="269"/>
      <c r="K42" s="270"/>
      <c r="L42" s="271">
        <f t="shared" si="53"/>
        <v>0.0035</v>
      </c>
      <c r="M42" s="271">
        <f>F42/100</f>
        <v>0.0048</v>
      </c>
      <c r="N42" s="271">
        <f t="shared" si="53"/>
        <v>0.0098</v>
      </c>
      <c r="O42" s="271"/>
      <c r="P42" s="271">
        <f t="shared" si="67"/>
        <v>0.0048</v>
      </c>
      <c r="Q42" s="269"/>
      <c r="R42" s="281"/>
      <c r="S42" s="281">
        <v>1</v>
      </c>
      <c r="T42" s="281">
        <v>1</v>
      </c>
      <c r="U42" s="281">
        <v>1</v>
      </c>
      <c r="V42" s="281"/>
      <c r="W42" s="281">
        <f t="shared" si="68"/>
        <v>1</v>
      </c>
      <c r="X42" s="269"/>
      <c r="Y42" s="271"/>
      <c r="Z42" s="296">
        <f t="shared" si="69"/>
        <v>0.0035</v>
      </c>
      <c r="AA42" s="297">
        <f t="shared" si="69"/>
        <v>0.0048</v>
      </c>
      <c r="AB42" s="271">
        <f t="shared" si="69"/>
        <v>0.0098</v>
      </c>
      <c r="AC42" s="298"/>
      <c r="AD42" s="271">
        <f t="shared" si="69"/>
        <v>0.0048</v>
      </c>
    </row>
    <row r="43" ht="14.75"/>
    <row r="44" spans="1:1">
      <c r="A44" s="252" t="s">
        <v>2656</v>
      </c>
    </row>
  </sheetData>
  <sheetProtection password="CEE9" sheet="1" formatCells="0" formatColumns="0" formatRows="0" objects="1" scenarios="1"/>
  <mergeCells count="4">
    <mergeCell ref="R1:W1"/>
    <mergeCell ref="Y1:AD1"/>
    <mergeCell ref="R24:W24"/>
    <mergeCell ref="Y24:AD24"/>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Q80" sqref="Q80"/>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2657</v>
      </c>
      <c r="C1" s="85"/>
      <c r="D1" s="85"/>
      <c r="E1" s="85"/>
      <c r="F1" s="85"/>
      <c r="G1" s="74" t="s">
        <v>2658</v>
      </c>
      <c r="N1" s="74" t="s">
        <v>2634</v>
      </c>
      <c r="S1" s="74" t="s">
        <v>2659</v>
      </c>
      <c r="X1" s="158" t="s">
        <v>2635</v>
      </c>
      <c r="AD1" s="158" t="s">
        <v>2636</v>
      </c>
    </row>
    <row r="2" s="75" customFormat="1" ht="14.75" spans="2:34">
      <c r="B2" s="86" t="s">
        <v>2660</v>
      </c>
      <c r="C2" s="86" t="s">
        <v>2661</v>
      </c>
      <c r="D2" s="87" t="s">
        <v>1181</v>
      </c>
      <c r="E2" s="87" t="s">
        <v>412</v>
      </c>
      <c r="F2" s="86" t="s">
        <v>2662</v>
      </c>
      <c r="G2" s="88"/>
      <c r="I2" s="86" t="s">
        <v>2660</v>
      </c>
      <c r="J2" s="87" t="s">
        <v>1925</v>
      </c>
      <c r="K2" s="87" t="s">
        <v>412</v>
      </c>
      <c r="L2" s="86" t="s">
        <v>2662</v>
      </c>
      <c r="N2" s="86" t="s">
        <v>2660</v>
      </c>
      <c r="O2" s="87" t="s">
        <v>1925</v>
      </c>
      <c r="P2" s="87" t="s">
        <v>412</v>
      </c>
      <c r="Q2" s="86" t="s">
        <v>2662</v>
      </c>
      <c r="S2" s="86" t="s">
        <v>2660</v>
      </c>
      <c r="T2" s="87" t="s">
        <v>1925</v>
      </c>
      <c r="U2" s="87" t="s">
        <v>412</v>
      </c>
      <c r="V2" s="86" t="s">
        <v>2662</v>
      </c>
      <c r="X2" s="86" t="s">
        <v>2660</v>
      </c>
      <c r="Y2" s="86" t="s">
        <v>2661</v>
      </c>
      <c r="Z2" s="87" t="s">
        <v>1181</v>
      </c>
      <c r="AA2" s="87" t="s">
        <v>412</v>
      </c>
      <c r="AB2" s="86" t="s">
        <v>2662</v>
      </c>
      <c r="AD2" s="86" t="s">
        <v>2660</v>
      </c>
      <c r="AE2" s="86" t="s">
        <v>2661</v>
      </c>
      <c r="AF2" s="87" t="s">
        <v>1181</v>
      </c>
      <c r="AG2" s="87" t="s">
        <v>412</v>
      </c>
      <c r="AH2" s="86" t="s">
        <v>2662</v>
      </c>
    </row>
    <row r="3" s="76" customFormat="1" ht="14" spans="1:34">
      <c r="A3" s="89" t="s">
        <v>2638</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2646</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2647</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2663</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2648</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2649</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2650</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2651</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2652</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2653</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2664</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2665</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2666</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2667</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2668</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2669</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2670</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2671</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2672</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2673</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2674</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2675</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2676</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2677</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2678</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2679</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2680</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2681</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2682</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2683</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2684</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2685</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2686</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2687</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2688</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2689</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2690</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2691</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2692</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2693</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2694</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2695</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2696</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2697</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2698</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2699</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2700</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2701</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2702</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2703</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2704</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2705</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2706</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2707</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2708</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2709</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2710</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2711</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2712</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2713</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2714</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2715</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2716</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2717</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2718</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2719</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2720</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2721</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2722</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2723</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2724</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2725</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2726</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2727</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2728</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2729</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2730</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2731</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2732</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2733</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2734</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2735</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2736</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2737</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2738</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2739</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2740</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2741</v>
      </c>
      <c r="G91" s="192"/>
      <c r="N91" s="192"/>
      <c r="S91" s="192"/>
    </row>
    <row r="92" s="82" customFormat="1" ht="13" spans="1:19">
      <c r="A92" s="82" t="s">
        <v>2742</v>
      </c>
      <c r="G92" s="192"/>
      <c r="N92" s="192"/>
      <c r="S92" s="192"/>
    </row>
    <row r="93" s="82" customFormat="1" ht="13" spans="1:22">
      <c r="A93" s="82" t="s">
        <v>2743</v>
      </c>
      <c r="G93" s="192"/>
      <c r="I93" s="204"/>
      <c r="J93" s="204"/>
      <c r="K93" s="204"/>
      <c r="L93" s="204"/>
      <c r="N93" s="205"/>
      <c r="O93" s="204"/>
      <c r="P93" s="204"/>
      <c r="Q93" s="204"/>
      <c r="S93" s="205"/>
      <c r="T93" s="204"/>
      <c r="U93" s="204"/>
      <c r="V93" s="204"/>
    </row>
    <row r="94" s="82" customFormat="1" ht="13" spans="1:19">
      <c r="A94" s="82" t="s">
        <v>2744</v>
      </c>
      <c r="G94" s="192"/>
      <c r="N94" s="192"/>
      <c r="S94" s="192"/>
    </row>
    <row r="101" ht="13.25"/>
    <row r="102" ht="13" spans="7:22">
      <c r="G102" s="83"/>
      <c r="S102" s="209" t="s">
        <v>2745</v>
      </c>
      <c r="T102" s="210" t="s">
        <v>2746</v>
      </c>
      <c r="U102" s="210" t="s">
        <v>2747</v>
      </c>
      <c r="V102" s="210" t="s">
        <v>2748</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6"/>
  <sheetViews>
    <sheetView workbookViewId="0">
      <selection activeCell="Q80" sqref="Q80"/>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45538</v>
      </c>
      <c r="D1" s="7" t="s">
        <v>2749</v>
      </c>
      <c r="E1" s="9">
        <f>'数据-取费表'!B22</f>
        <v>2</v>
      </c>
      <c r="F1" s="7" t="s">
        <v>2750</v>
      </c>
      <c r="G1" s="10">
        <f ca="1">INDIRECT("d"&amp;$K$1)/100</f>
        <v>0.0335</v>
      </c>
      <c r="H1" s="7" t="s">
        <v>2751</v>
      </c>
      <c r="I1" s="10">
        <f ca="1">F4/100</f>
        <v>0.015</v>
      </c>
      <c r="J1" s="59">
        <f>IF(C1&gt;C13,0,MATCH(C1,C$13:C$113,-1))+IF(SUMIF(C13:C113,C1,D13:D113)=0,13,12)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2750</v>
      </c>
      <c r="E2" s="11"/>
      <c r="F2" s="11" t="s">
        <v>2752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2753</v>
      </c>
      <c r="C3" s="14">
        <v>0</v>
      </c>
      <c r="D3" s="15">
        <f ca="1">INDIRECT("d"&amp;$J$1)</f>
        <v>3.35</v>
      </c>
      <c r="E3" s="16">
        <v>0.5</v>
      </c>
      <c r="F3" s="17">
        <f ca="1">INDIRECT("p"&amp;$L$1)</f>
        <v>1.3</v>
      </c>
      <c r="G3" s="3"/>
      <c r="H3" s="3"/>
      <c r="I3" s="3"/>
      <c r="J3" s="3"/>
      <c r="L3" s="3"/>
      <c r="M3" s="3"/>
      <c r="N3" s="3"/>
      <c r="O3" s="3"/>
      <c r="P3" s="3"/>
      <c r="Q3" s="3"/>
      <c r="R3" s="3"/>
      <c r="S3" s="3"/>
      <c r="T3" s="3"/>
      <c r="U3" s="3"/>
      <c r="V3" s="3"/>
      <c r="W3" s="3"/>
      <c r="X3" s="3"/>
      <c r="Y3" s="3"/>
      <c r="Z3" s="3"/>
    </row>
    <row r="4" spans="2:26">
      <c r="B4" s="18" t="s">
        <v>2754</v>
      </c>
      <c r="C4" s="19">
        <v>0.5</v>
      </c>
      <c r="D4" s="20">
        <f ca="1">INDIRECT("e"&amp;$J$1)</f>
        <v>3.35</v>
      </c>
      <c r="E4" s="21">
        <v>1</v>
      </c>
      <c r="F4" s="22">
        <f ca="1">INDIRECT("q"&amp;$L$1)</f>
        <v>1.5</v>
      </c>
      <c r="G4" s="3"/>
      <c r="H4" s="3"/>
      <c r="I4" s="3"/>
      <c r="J4" s="3"/>
      <c r="L4" s="3"/>
      <c r="M4" s="3"/>
      <c r="N4" s="3"/>
      <c r="O4" s="3"/>
      <c r="P4" s="3"/>
      <c r="Q4" s="3"/>
      <c r="R4" s="3"/>
      <c r="S4" s="3"/>
      <c r="T4" s="3"/>
      <c r="U4" s="3"/>
      <c r="V4" s="3"/>
      <c r="W4" s="3"/>
      <c r="X4" s="3"/>
      <c r="Y4" s="3"/>
      <c r="Z4" s="3"/>
    </row>
    <row r="5" spans="2:26">
      <c r="B5" s="18" t="s">
        <v>2755</v>
      </c>
      <c r="C5" s="19">
        <v>1</v>
      </c>
      <c r="D5" s="20">
        <f ca="1">INDIRECT("f"&amp;$J$1)</f>
        <v>3.35</v>
      </c>
      <c r="E5" s="21">
        <v>2</v>
      </c>
      <c r="F5" s="22">
        <f ca="1">INDIRECT("r"&amp;$L$1)</f>
        <v>2.1</v>
      </c>
      <c r="G5" s="3"/>
      <c r="H5" s="3"/>
      <c r="I5" s="3"/>
      <c r="J5" s="3"/>
      <c r="L5" s="3"/>
      <c r="M5" s="3"/>
      <c r="N5" s="3"/>
      <c r="O5" s="3"/>
      <c r="P5" s="3"/>
      <c r="Q5" s="3"/>
      <c r="R5" s="3"/>
      <c r="S5" s="3"/>
      <c r="T5" s="3"/>
      <c r="U5" s="3"/>
      <c r="V5" s="3"/>
      <c r="W5" s="3"/>
      <c r="X5" s="3"/>
      <c r="Y5" s="3"/>
      <c r="Z5" s="3"/>
    </row>
    <row r="6" spans="2:26">
      <c r="B6" s="18" t="s">
        <v>2756</v>
      </c>
      <c r="C6" s="19">
        <v>3</v>
      </c>
      <c r="D6" s="20">
        <f ca="1">INDIRECT("g"&amp;$J$1)</f>
        <v>3.35</v>
      </c>
      <c r="E6" s="21">
        <v>3</v>
      </c>
      <c r="F6" s="22">
        <f ca="1">INDIRECT("s"&amp;$L$1)</f>
        <v>2.75</v>
      </c>
      <c r="G6" s="3"/>
      <c r="H6" s="3"/>
      <c r="I6" s="3"/>
      <c r="J6" s="3"/>
      <c r="L6" s="3"/>
      <c r="M6" s="3"/>
      <c r="N6" s="3"/>
      <c r="O6" s="3"/>
      <c r="P6" s="3"/>
      <c r="Q6" s="3"/>
      <c r="R6" s="3"/>
      <c r="S6" s="3"/>
      <c r="T6" s="3"/>
      <c r="U6" s="3"/>
      <c r="V6" s="3"/>
      <c r="W6" s="3"/>
      <c r="X6" s="3"/>
      <c r="Y6" s="3"/>
      <c r="Z6" s="3"/>
    </row>
    <row r="7" ht="14.75" spans="2:26">
      <c r="B7" s="23" t="s">
        <v>2757</v>
      </c>
      <c r="C7" s="24">
        <v>5</v>
      </c>
      <c r="D7" s="25">
        <f ca="1">INDIRECT("h"&amp;$J$1)</f>
        <v>3.85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2758</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2759</v>
      </c>
      <c r="C10" s="35"/>
      <c r="D10" s="35"/>
      <c r="E10" s="35"/>
      <c r="F10" s="35"/>
      <c r="G10" s="35"/>
      <c r="H10" s="35"/>
      <c r="I10" s="3"/>
      <c r="J10" s="3"/>
      <c r="K10" s="35"/>
      <c r="L10" s="36" t="s">
        <v>2760</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2761</v>
      </c>
      <c r="C11" s="39" t="s">
        <v>2762</v>
      </c>
      <c r="D11" s="40" t="s">
        <v>2763</v>
      </c>
      <c r="E11" s="41"/>
      <c r="F11" s="40" t="s">
        <v>2764</v>
      </c>
      <c r="G11" s="42"/>
      <c r="H11" s="41"/>
      <c r="I11" s="40" t="s">
        <v>2765</v>
      </c>
      <c r="J11" s="41"/>
      <c r="K11" s="37"/>
      <c r="L11" s="38" t="s">
        <v>2761</v>
      </c>
      <c r="M11" s="39" t="s">
        <v>2762</v>
      </c>
      <c r="N11" s="38" t="s">
        <v>2766</v>
      </c>
      <c r="O11" s="40" t="s">
        <v>2767</v>
      </c>
      <c r="P11" s="42"/>
      <c r="Q11" s="42"/>
      <c r="R11" s="42"/>
      <c r="S11" s="42"/>
      <c r="T11" s="41"/>
      <c r="U11" s="40" t="s">
        <v>2768</v>
      </c>
      <c r="V11" s="42"/>
      <c r="W11" s="41"/>
      <c r="X11" s="38" t="s">
        <v>2769</v>
      </c>
      <c r="Y11" s="38" t="s">
        <v>2770</v>
      </c>
      <c r="Z11" s="38" t="s">
        <v>2771</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2772</v>
      </c>
      <c r="E12" s="46" t="s">
        <v>2754</v>
      </c>
      <c r="F12" s="46" t="s">
        <v>2755</v>
      </c>
      <c r="G12" s="46" t="s">
        <v>2756</v>
      </c>
      <c r="H12" s="46" t="s">
        <v>2757</v>
      </c>
      <c r="I12" s="60" t="s">
        <v>2773</v>
      </c>
      <c r="J12" s="60" t="s">
        <v>2773</v>
      </c>
      <c r="K12" s="43"/>
      <c r="L12" s="44"/>
      <c r="M12" s="45"/>
      <c r="N12" s="44"/>
      <c r="O12" s="60" t="s">
        <v>2774</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2775</v>
      </c>
      <c r="C13" s="49">
        <v>45495</v>
      </c>
      <c r="D13" s="50">
        <v>3.35</v>
      </c>
      <c r="E13" s="50">
        <f>D13</f>
        <v>3.35</v>
      </c>
      <c r="F13" s="50">
        <f>D13</f>
        <v>3.35</v>
      </c>
      <c r="G13" s="50">
        <f>D13</f>
        <v>3.35</v>
      </c>
      <c r="H13" s="50">
        <v>3.85</v>
      </c>
      <c r="I13" s="50"/>
      <c r="J13" s="50"/>
      <c r="K13" s="47"/>
      <c r="L13" s="48" t="s">
        <v>2775</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45342</v>
      </c>
      <c r="D14" s="52">
        <v>3.45</v>
      </c>
      <c r="E14" s="52">
        <f>D14</f>
        <v>3.45</v>
      </c>
      <c r="F14" s="52">
        <f>D14</f>
        <v>3.45</v>
      </c>
      <c r="G14" s="52">
        <f>D14</f>
        <v>3.45</v>
      </c>
      <c r="H14" s="52">
        <v>3.95</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45159</v>
      </c>
      <c r="D15" s="52">
        <v>3.45</v>
      </c>
      <c r="E15" s="52">
        <f>D15</f>
        <v>3.45</v>
      </c>
      <c r="F15" s="52">
        <f>D15</f>
        <v>3.45</v>
      </c>
      <c r="G15" s="52">
        <f>D15</f>
        <v>3.45</v>
      </c>
      <c r="H15" s="52">
        <v>4.2</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45097</v>
      </c>
      <c r="D16" s="52">
        <v>3.55</v>
      </c>
      <c r="E16" s="52">
        <f>D16</f>
        <v>3.55</v>
      </c>
      <c r="F16" s="52">
        <f>D16</f>
        <v>3.55</v>
      </c>
      <c r="G16" s="52">
        <f>D16</f>
        <v>3.55</v>
      </c>
      <c r="H16" s="52">
        <v>4.2</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44795</v>
      </c>
      <c r="D17" s="52">
        <v>3.65</v>
      </c>
      <c r="E17" s="52">
        <v>3.65</v>
      </c>
      <c r="F17" s="52">
        <v>3.65</v>
      </c>
      <c r="G17" s="52">
        <v>3.65</v>
      </c>
      <c r="H17" s="52">
        <v>4.3</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44701</v>
      </c>
      <c r="D18" s="52">
        <v>3.7</v>
      </c>
      <c r="E18" s="52">
        <f>D18</f>
        <v>3.7</v>
      </c>
      <c r="F18" s="52">
        <f>D18</f>
        <v>3.7</v>
      </c>
      <c r="G18" s="52">
        <f>D18</f>
        <v>3.7</v>
      </c>
      <c r="H18" s="52">
        <v>4.45</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44581</v>
      </c>
      <c r="D19" s="52">
        <v>3.7</v>
      </c>
      <c r="E19" s="52">
        <f>D19</f>
        <v>3.7</v>
      </c>
      <c r="F19" s="52">
        <f>D19</f>
        <v>3.7</v>
      </c>
      <c r="G19" s="52">
        <f>D19</f>
        <v>3.7</v>
      </c>
      <c r="H19" s="52">
        <v>4.6</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44550</v>
      </c>
      <c r="D20" s="52">
        <v>3.8</v>
      </c>
      <c r="E20" s="52">
        <f>D20</f>
        <v>3.8</v>
      </c>
      <c r="F20" s="52">
        <f>D20</f>
        <v>3.8</v>
      </c>
      <c r="G20" s="52">
        <f>D20</f>
        <v>3.8</v>
      </c>
      <c r="H20" s="52">
        <v>4.65</v>
      </c>
      <c r="I20" s="52"/>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43941</v>
      </c>
      <c r="D21" s="52">
        <v>3.85</v>
      </c>
      <c r="E21" s="52">
        <v>3.85</v>
      </c>
      <c r="F21" s="52">
        <v>3.85</v>
      </c>
      <c r="G21" s="52">
        <v>3.85</v>
      </c>
      <c r="H21" s="52">
        <v>4.65</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43881</v>
      </c>
      <c r="D22" s="52">
        <v>4.05</v>
      </c>
      <c r="E22" s="52">
        <v>4.05</v>
      </c>
      <c r="F22" s="52">
        <v>4.05</v>
      </c>
      <c r="G22" s="52">
        <v>4.05</v>
      </c>
      <c r="H22" s="52">
        <v>4.75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43789</v>
      </c>
      <c r="D23" s="52">
        <v>4.15</v>
      </c>
      <c r="E23" s="52">
        <v>4.15</v>
      </c>
      <c r="F23" s="52">
        <v>4.15</v>
      </c>
      <c r="G23" s="52">
        <v>4.15</v>
      </c>
      <c r="H23" s="52">
        <v>4.8</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43728</v>
      </c>
      <c r="D24" s="52">
        <v>4.2</v>
      </c>
      <c r="E24" s="52">
        <v>4.2</v>
      </c>
      <c r="F24" s="52">
        <v>4.2</v>
      </c>
      <c r="G24" s="52">
        <v>4.2</v>
      </c>
      <c r="H24" s="52">
        <v>4.85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ht="15" spans="2:26">
      <c r="B25" s="48" t="s">
        <v>2776</v>
      </c>
      <c r="C25" s="54">
        <v>43697</v>
      </c>
      <c r="D25" s="55">
        <v>4.25</v>
      </c>
      <c r="E25" s="55">
        <v>4.25</v>
      </c>
      <c r="F25" s="55">
        <v>4.25</v>
      </c>
      <c r="G25" s="55">
        <v>4.25</v>
      </c>
      <c r="H25" s="55">
        <v>4.85</v>
      </c>
      <c r="I25" s="55"/>
      <c r="J25" s="55"/>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ht="15" spans="2:26">
      <c r="B26" s="56"/>
      <c r="C26" s="57">
        <v>42301</v>
      </c>
      <c r="D26" s="58">
        <v>4.35</v>
      </c>
      <c r="E26" s="58">
        <v>4.35</v>
      </c>
      <c r="F26" s="58">
        <v>4.75</v>
      </c>
      <c r="G26" s="58">
        <v>4.75</v>
      </c>
      <c r="H26" s="58">
        <v>4.9</v>
      </c>
      <c r="I26" s="58"/>
      <c r="J26" s="58"/>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42242</v>
      </c>
      <c r="D27" s="52">
        <v>4.6</v>
      </c>
      <c r="E27" s="52">
        <v>4.6</v>
      </c>
      <c r="F27" s="52">
        <v>5</v>
      </c>
      <c r="G27" s="52">
        <v>5</v>
      </c>
      <c r="H27" s="52">
        <v>5.15</v>
      </c>
      <c r="I27" s="52">
        <v>2.75</v>
      </c>
      <c r="J27" s="52">
        <v>3.25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42183</v>
      </c>
      <c r="D28" s="52">
        <v>4.85</v>
      </c>
      <c r="E28" s="52">
        <v>4.85</v>
      </c>
      <c r="F28" s="52">
        <v>5.25</v>
      </c>
      <c r="G28" s="52">
        <v>5.25</v>
      </c>
      <c r="H28" s="52">
        <v>5.4</v>
      </c>
      <c r="I28" s="52">
        <v>3</v>
      </c>
      <c r="J28" s="52">
        <v>3.5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42135</v>
      </c>
      <c r="D29" s="52">
        <v>5.1</v>
      </c>
      <c r="E29" s="52">
        <v>5.1</v>
      </c>
      <c r="F29" s="52">
        <v>5.5</v>
      </c>
      <c r="G29" s="52">
        <v>5.5</v>
      </c>
      <c r="H29" s="52">
        <v>5.65</v>
      </c>
      <c r="I29" s="52">
        <v>3.25</v>
      </c>
      <c r="J29" s="52">
        <v>3.75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42064</v>
      </c>
      <c r="D30" s="52">
        <v>5.35</v>
      </c>
      <c r="E30" s="52">
        <v>5.35</v>
      </c>
      <c r="F30" s="52">
        <v>5.75</v>
      </c>
      <c r="G30" s="52">
        <v>5.75</v>
      </c>
      <c r="H30" s="52">
        <v>5.9</v>
      </c>
      <c r="I30" s="52"/>
      <c r="J30" s="52"/>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41965</v>
      </c>
      <c r="D31" s="52">
        <v>5.6</v>
      </c>
      <c r="E31" s="52">
        <v>5.6</v>
      </c>
      <c r="F31" s="52">
        <v>6</v>
      </c>
      <c r="G31" s="52">
        <v>6</v>
      </c>
      <c r="H31" s="52">
        <v>6.15</v>
      </c>
      <c r="I31" s="52"/>
      <c r="J31" s="52"/>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41096</v>
      </c>
      <c r="D32" s="52">
        <v>5.6</v>
      </c>
      <c r="E32" s="52">
        <v>6</v>
      </c>
      <c r="F32" s="52">
        <v>6.15</v>
      </c>
      <c r="G32" s="52">
        <v>6.4</v>
      </c>
      <c r="H32" s="52">
        <v>6.55</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41068</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40731</v>
      </c>
      <c r="D34" s="52">
        <v>6.1</v>
      </c>
      <c r="E34" s="52">
        <v>6.56</v>
      </c>
      <c r="F34" s="52">
        <v>6.65</v>
      </c>
      <c r="G34" s="52">
        <v>6.9</v>
      </c>
      <c r="H34" s="52">
        <v>7.05</v>
      </c>
      <c r="I34" s="52">
        <v>4.45</v>
      </c>
      <c r="J34" s="52">
        <v>4.9</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40639</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40583</v>
      </c>
      <c r="D36" s="52">
        <v>5.6</v>
      </c>
      <c r="E36" s="52">
        <v>6.06</v>
      </c>
      <c r="F36" s="52">
        <v>6.1</v>
      </c>
      <c r="G36" s="52">
        <v>6.45</v>
      </c>
      <c r="H36" s="52">
        <v>6.6</v>
      </c>
      <c r="I36" s="52">
        <v>4</v>
      </c>
      <c r="J36" s="52">
        <v>4.5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40538</v>
      </c>
      <c r="D37" s="52">
        <v>5.35</v>
      </c>
      <c r="E37" s="52">
        <v>5.81</v>
      </c>
      <c r="F37" s="52">
        <v>5.85</v>
      </c>
      <c r="G37" s="52">
        <v>6.22</v>
      </c>
      <c r="H37" s="52">
        <v>6.4</v>
      </c>
      <c r="I37" s="52">
        <v>3.75</v>
      </c>
      <c r="J37" s="52">
        <v>4.3</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40471</v>
      </c>
      <c r="D38" s="52">
        <v>5.1</v>
      </c>
      <c r="E38" s="52">
        <v>5.56</v>
      </c>
      <c r="F38" s="52">
        <v>5.6</v>
      </c>
      <c r="G38" s="52">
        <v>5.96</v>
      </c>
      <c r="H38" s="52">
        <v>6.14</v>
      </c>
      <c r="I38" s="52">
        <v>3.5</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39805</v>
      </c>
      <c r="D39" s="52">
        <v>4.86</v>
      </c>
      <c r="E39" s="52">
        <v>5.31</v>
      </c>
      <c r="F39" s="52">
        <v>5.4</v>
      </c>
      <c r="G39" s="52">
        <v>5.76</v>
      </c>
      <c r="H39" s="52">
        <v>5.94</v>
      </c>
      <c r="I39" s="52">
        <v>3.33</v>
      </c>
      <c r="J39" s="52">
        <v>3.87</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39779</v>
      </c>
      <c r="D40" s="52">
        <v>5.04</v>
      </c>
      <c r="E40" s="52">
        <v>5.58</v>
      </c>
      <c r="F40" s="52">
        <v>5.67</v>
      </c>
      <c r="G40" s="52">
        <v>5.94</v>
      </c>
      <c r="H40" s="52">
        <v>6.12</v>
      </c>
      <c r="I40" s="52">
        <v>3.51</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39751</v>
      </c>
      <c r="D41" s="52">
        <v>6.03</v>
      </c>
      <c r="E41" s="52">
        <v>6.66</v>
      </c>
      <c r="F41" s="52">
        <v>6.75</v>
      </c>
      <c r="G41" s="52">
        <v>7.02</v>
      </c>
      <c r="H41" s="52">
        <v>7.2</v>
      </c>
      <c r="I41" s="52">
        <v>4.05</v>
      </c>
      <c r="J41" s="52">
        <v>4.59</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4">
        <v>39748</v>
      </c>
      <c r="D42" s="52">
        <v>6.12</v>
      </c>
      <c r="E42" s="52">
        <v>6.93</v>
      </c>
      <c r="F42" s="52">
        <v>7.02</v>
      </c>
      <c r="G42" s="52">
        <v>7.29</v>
      </c>
      <c r="H42" s="52">
        <v>7.47</v>
      </c>
      <c r="I42" s="52">
        <v>4.05</v>
      </c>
      <c r="J42" s="52">
        <v>4.59</v>
      </c>
      <c r="L42" s="52"/>
      <c r="M42" s="51">
        <v>35977</v>
      </c>
      <c r="N42" s="52">
        <v>1.44</v>
      </c>
      <c r="O42" s="52">
        <v>2.79</v>
      </c>
      <c r="P42" s="52">
        <v>3.96</v>
      </c>
      <c r="Q42" s="52">
        <v>4.77</v>
      </c>
      <c r="R42" s="52">
        <v>4.86</v>
      </c>
      <c r="S42" s="52">
        <v>4.95</v>
      </c>
      <c r="T42" s="52">
        <v>5.22</v>
      </c>
      <c r="U42" s="52">
        <v>3.96</v>
      </c>
      <c r="V42" s="52">
        <v>4.77</v>
      </c>
      <c r="W42" s="52">
        <v>4.95</v>
      </c>
      <c r="X42" s="52" t="s">
        <v>2777</v>
      </c>
      <c r="Y42" s="52" t="s">
        <v>2777</v>
      </c>
      <c r="Z42" s="52" t="s">
        <v>2777</v>
      </c>
    </row>
    <row r="43" spans="2:26">
      <c r="B43" s="52"/>
      <c r="C43" s="51">
        <v>39730</v>
      </c>
      <c r="D43" s="52">
        <v>6.12</v>
      </c>
      <c r="E43" s="52">
        <v>6.93</v>
      </c>
      <c r="F43" s="52">
        <v>7.02</v>
      </c>
      <c r="G43" s="52">
        <v>7.29</v>
      </c>
      <c r="H43" s="52">
        <v>7.47</v>
      </c>
      <c r="I43" s="52">
        <v>4.32</v>
      </c>
      <c r="J43" s="52">
        <v>4.86</v>
      </c>
      <c r="L43" s="52"/>
      <c r="M43" s="51">
        <v>35879</v>
      </c>
      <c r="N43" s="52">
        <v>1.71</v>
      </c>
      <c r="O43" s="52">
        <v>2.88</v>
      </c>
      <c r="P43" s="52">
        <v>4.14</v>
      </c>
      <c r="Q43" s="52">
        <v>5.22</v>
      </c>
      <c r="R43" s="52">
        <v>5.58</v>
      </c>
      <c r="S43" s="52">
        <v>6.21</v>
      </c>
      <c r="T43" s="52">
        <v>6.66</v>
      </c>
      <c r="U43" s="52">
        <v>4.14</v>
      </c>
      <c r="V43" s="52">
        <v>5.22</v>
      </c>
      <c r="W43" s="52">
        <v>6.21</v>
      </c>
      <c r="X43" s="52" t="s">
        <v>2777</v>
      </c>
      <c r="Y43" s="52" t="s">
        <v>2777</v>
      </c>
      <c r="Z43" s="52" t="s">
        <v>2777</v>
      </c>
    </row>
    <row r="44" spans="2:26">
      <c r="B44" s="52"/>
      <c r="C44" s="51">
        <v>39707</v>
      </c>
      <c r="D44" s="52">
        <v>6.21</v>
      </c>
      <c r="E44" s="52">
        <v>7.2</v>
      </c>
      <c r="F44" s="52">
        <v>7.29</v>
      </c>
      <c r="G44" s="52">
        <v>7.56</v>
      </c>
      <c r="H44" s="52">
        <v>7.74</v>
      </c>
      <c r="I44" s="52">
        <v>4.59</v>
      </c>
      <c r="J44" s="52">
        <v>5.13</v>
      </c>
      <c r="L44" s="52"/>
      <c r="M44" s="51">
        <v>35726</v>
      </c>
      <c r="N44" s="52">
        <v>1.71</v>
      </c>
      <c r="O44" s="52">
        <v>2.88</v>
      </c>
      <c r="P44" s="52">
        <v>4.14</v>
      </c>
      <c r="Q44" s="52">
        <v>5.67</v>
      </c>
      <c r="R44" s="52">
        <v>5.94</v>
      </c>
      <c r="S44" s="52">
        <v>6.21</v>
      </c>
      <c r="T44" s="52">
        <v>6.66</v>
      </c>
      <c r="U44" s="52">
        <v>4.14</v>
      </c>
      <c r="V44" s="52">
        <v>5.67</v>
      </c>
      <c r="W44" s="52">
        <v>6.21</v>
      </c>
      <c r="X44" s="52" t="s">
        <v>2777</v>
      </c>
      <c r="Y44" s="52" t="s">
        <v>2777</v>
      </c>
      <c r="Z44" s="52" t="s">
        <v>2777</v>
      </c>
    </row>
    <row r="45" spans="2:26">
      <c r="B45" s="52"/>
      <c r="C45" s="51">
        <v>39437</v>
      </c>
      <c r="D45" s="52">
        <v>6.57</v>
      </c>
      <c r="E45" s="52">
        <v>7.47</v>
      </c>
      <c r="F45" s="52">
        <v>7.56</v>
      </c>
      <c r="G45" s="52">
        <v>7.74</v>
      </c>
      <c r="H45" s="52">
        <v>7.83</v>
      </c>
      <c r="I45" s="52">
        <v>4.77</v>
      </c>
      <c r="J45" s="52">
        <v>5.22</v>
      </c>
      <c r="L45" s="52"/>
      <c r="M45" s="51">
        <v>35300</v>
      </c>
      <c r="N45" s="52">
        <v>1.98</v>
      </c>
      <c r="O45" s="52">
        <v>3.33</v>
      </c>
      <c r="P45" s="52">
        <v>5.4</v>
      </c>
      <c r="Q45" s="52">
        <v>7.47</v>
      </c>
      <c r="R45" s="52">
        <v>7.92</v>
      </c>
      <c r="S45" s="52">
        <v>8.28</v>
      </c>
      <c r="T45" s="52">
        <v>9</v>
      </c>
      <c r="U45" s="52">
        <v>5.4</v>
      </c>
      <c r="V45" s="52">
        <v>7.47</v>
      </c>
      <c r="W45" s="52">
        <v>8.28</v>
      </c>
      <c r="X45" s="52" t="s">
        <v>2777</v>
      </c>
      <c r="Y45" s="52" t="s">
        <v>2777</v>
      </c>
      <c r="Z45" s="52" t="s">
        <v>2777</v>
      </c>
    </row>
    <row r="46" spans="2:26">
      <c r="B46" s="52"/>
      <c r="C46" s="51">
        <v>39340</v>
      </c>
      <c r="D46" s="52">
        <v>6.48</v>
      </c>
      <c r="E46" s="52">
        <v>7.29</v>
      </c>
      <c r="F46" s="52">
        <v>7.47</v>
      </c>
      <c r="G46" s="52">
        <v>7.65</v>
      </c>
      <c r="H46" s="52">
        <v>7.83</v>
      </c>
      <c r="I46" s="52">
        <v>4.77</v>
      </c>
      <c r="J46" s="52">
        <v>5.22</v>
      </c>
      <c r="L46" s="52"/>
      <c r="M46" s="51">
        <v>35186</v>
      </c>
      <c r="N46" s="52">
        <v>2.97</v>
      </c>
      <c r="O46" s="52">
        <v>4.86</v>
      </c>
      <c r="P46" s="52">
        <v>7.2</v>
      </c>
      <c r="Q46" s="52">
        <v>9.18</v>
      </c>
      <c r="R46" s="52">
        <v>9.9</v>
      </c>
      <c r="S46" s="52">
        <v>10.8</v>
      </c>
      <c r="T46" s="52">
        <v>12.06</v>
      </c>
      <c r="U46" s="52">
        <v>7.2</v>
      </c>
      <c r="V46" s="52">
        <v>9.18</v>
      </c>
      <c r="W46" s="52">
        <v>10.8</v>
      </c>
      <c r="X46" s="52" t="s">
        <v>2777</v>
      </c>
      <c r="Y46" s="52" t="s">
        <v>2777</v>
      </c>
      <c r="Z46" s="52" t="s">
        <v>2777</v>
      </c>
    </row>
    <row r="47" spans="2:26">
      <c r="B47" s="52"/>
      <c r="C47" s="51">
        <v>39316</v>
      </c>
      <c r="D47" s="52">
        <v>6.21</v>
      </c>
      <c r="E47" s="52">
        <v>7.02</v>
      </c>
      <c r="F47" s="52">
        <v>7.2</v>
      </c>
      <c r="G47" s="52">
        <v>7.38</v>
      </c>
      <c r="H47" s="52">
        <v>7.56</v>
      </c>
      <c r="I47" s="52">
        <v>4.59</v>
      </c>
      <c r="J47" s="52">
        <v>5.04</v>
      </c>
      <c r="L47" s="52"/>
      <c r="M47" s="51">
        <v>34161</v>
      </c>
      <c r="N47" s="52">
        <v>3.15</v>
      </c>
      <c r="O47" s="52">
        <v>6.66</v>
      </c>
      <c r="P47" s="52">
        <v>9</v>
      </c>
      <c r="Q47" s="52">
        <v>10.98</v>
      </c>
      <c r="R47" s="52">
        <v>11.7</v>
      </c>
      <c r="S47" s="52">
        <v>12.24</v>
      </c>
      <c r="T47" s="52">
        <v>13.86</v>
      </c>
      <c r="U47" s="52">
        <v>9</v>
      </c>
      <c r="V47" s="52">
        <v>10.98</v>
      </c>
      <c r="W47" s="52">
        <v>12.24</v>
      </c>
      <c r="X47" s="52" t="s">
        <v>2777</v>
      </c>
      <c r="Y47" s="52" t="s">
        <v>2777</v>
      </c>
      <c r="Z47" s="52" t="s">
        <v>2777</v>
      </c>
    </row>
    <row r="48" spans="2:26">
      <c r="B48" s="52"/>
      <c r="C48" s="51">
        <v>39284</v>
      </c>
      <c r="D48" s="52">
        <v>6.03</v>
      </c>
      <c r="E48" s="52">
        <v>6.84</v>
      </c>
      <c r="F48" s="52">
        <v>7.02</v>
      </c>
      <c r="G48" s="52">
        <v>7.2</v>
      </c>
      <c r="H48" s="52">
        <v>7.38</v>
      </c>
      <c r="I48" s="52">
        <v>4.5</v>
      </c>
      <c r="J48" s="52">
        <v>4.95</v>
      </c>
      <c r="L48" s="52"/>
      <c r="M48" s="51">
        <v>34104</v>
      </c>
      <c r="N48" s="52">
        <v>2.16</v>
      </c>
      <c r="O48" s="52">
        <v>4.86</v>
      </c>
      <c r="P48" s="52">
        <v>7.2</v>
      </c>
      <c r="Q48" s="52">
        <v>9.18</v>
      </c>
      <c r="R48" s="52">
        <v>9.9</v>
      </c>
      <c r="S48" s="52">
        <v>10.8</v>
      </c>
      <c r="T48" s="52">
        <v>12.06</v>
      </c>
      <c r="U48" s="52">
        <v>7.2</v>
      </c>
      <c r="V48" s="52">
        <v>9.18</v>
      </c>
      <c r="W48" s="52">
        <v>10.8</v>
      </c>
      <c r="X48" s="52" t="s">
        <v>2777</v>
      </c>
      <c r="Y48" s="52" t="s">
        <v>2777</v>
      </c>
      <c r="Z48" s="52" t="s">
        <v>2777</v>
      </c>
    </row>
    <row r="49" spans="2:26">
      <c r="B49" s="52"/>
      <c r="C49" s="51">
        <v>39221</v>
      </c>
      <c r="D49" s="52">
        <v>5.85</v>
      </c>
      <c r="E49" s="52">
        <v>6.57</v>
      </c>
      <c r="F49" s="52">
        <v>6.75</v>
      </c>
      <c r="G49" s="52">
        <v>6.93</v>
      </c>
      <c r="H49" s="52">
        <v>7.2</v>
      </c>
      <c r="I49" s="52">
        <v>4.41</v>
      </c>
      <c r="J49" s="52">
        <v>4.86</v>
      </c>
      <c r="L49" s="52"/>
      <c r="M49" s="51">
        <v>33349</v>
      </c>
      <c r="N49" s="52">
        <v>1.8</v>
      </c>
      <c r="O49" s="52">
        <v>3.24</v>
      </c>
      <c r="P49" s="52">
        <v>5.4</v>
      </c>
      <c r="Q49" s="52">
        <v>7.56</v>
      </c>
      <c r="R49" s="52">
        <v>7.92</v>
      </c>
      <c r="S49" s="52">
        <v>8.28</v>
      </c>
      <c r="T49" s="52">
        <v>9</v>
      </c>
      <c r="U49" s="52">
        <v>6.12</v>
      </c>
      <c r="V49" s="52">
        <v>6.84</v>
      </c>
      <c r="W49" s="52">
        <v>7.56</v>
      </c>
      <c r="X49" s="52" t="s">
        <v>2777</v>
      </c>
      <c r="Y49" s="52" t="s">
        <v>2777</v>
      </c>
      <c r="Z49" s="52" t="s">
        <v>2777</v>
      </c>
    </row>
    <row r="50" spans="2:26">
      <c r="B50" s="52"/>
      <c r="C50" s="51">
        <v>39159</v>
      </c>
      <c r="D50" s="52">
        <v>5.67</v>
      </c>
      <c r="E50" s="52">
        <v>6.39</v>
      </c>
      <c r="F50" s="52">
        <v>6.57</v>
      </c>
      <c r="G50" s="52">
        <v>6.75</v>
      </c>
      <c r="H50" s="52">
        <v>7.11</v>
      </c>
      <c r="I50" s="52">
        <v>4.32</v>
      </c>
      <c r="J50" s="52">
        <v>4.77</v>
      </c>
      <c r="L50" s="52"/>
      <c r="M50" s="51">
        <v>33106</v>
      </c>
      <c r="N50" s="52">
        <v>2.16</v>
      </c>
      <c r="O50" s="52">
        <v>4.32</v>
      </c>
      <c r="P50" s="52">
        <v>6.48</v>
      </c>
      <c r="Q50" s="52">
        <v>8.64</v>
      </c>
      <c r="R50" s="52">
        <v>9.36</v>
      </c>
      <c r="S50" s="52">
        <v>10.08</v>
      </c>
      <c r="T50" s="52">
        <v>11.52</v>
      </c>
      <c r="U50" s="52">
        <v>7.2</v>
      </c>
      <c r="V50" s="52">
        <v>8.64</v>
      </c>
      <c r="W50" s="52">
        <v>10.08</v>
      </c>
      <c r="X50" s="52" t="s">
        <v>2777</v>
      </c>
      <c r="Y50" s="52" t="s">
        <v>2777</v>
      </c>
      <c r="Z50" s="52" t="s">
        <v>2777</v>
      </c>
    </row>
    <row r="51" spans="2:26">
      <c r="B51" s="52"/>
      <c r="C51" s="51">
        <v>38948</v>
      </c>
      <c r="D51" s="52">
        <v>5.58</v>
      </c>
      <c r="E51" s="52">
        <v>6.12</v>
      </c>
      <c r="F51" s="52">
        <v>6.3</v>
      </c>
      <c r="G51" s="52">
        <v>6.48</v>
      </c>
      <c r="H51" s="52">
        <v>6.84</v>
      </c>
      <c r="I51" s="52">
        <v>4.14</v>
      </c>
      <c r="J51" s="52">
        <v>4.59</v>
      </c>
      <c r="L51" s="52"/>
      <c r="M51" s="51">
        <v>32978</v>
      </c>
      <c r="N51" s="52">
        <v>2.88</v>
      </c>
      <c r="O51" s="52">
        <v>6.3</v>
      </c>
      <c r="P51" s="52">
        <v>7.74</v>
      </c>
      <c r="Q51" s="52">
        <v>10.08</v>
      </c>
      <c r="R51" s="52">
        <v>10.98</v>
      </c>
      <c r="S51" s="52">
        <v>11.88</v>
      </c>
      <c r="T51" s="52">
        <v>13.68</v>
      </c>
      <c r="U51" s="52" t="s">
        <v>2777</v>
      </c>
      <c r="V51" s="52" t="s">
        <v>2777</v>
      </c>
      <c r="W51" s="52" t="s">
        <v>2777</v>
      </c>
      <c r="X51" s="52" t="s">
        <v>2777</v>
      </c>
      <c r="Y51" s="52" t="s">
        <v>2777</v>
      </c>
      <c r="Z51" s="52" t="s">
        <v>2777</v>
      </c>
    </row>
    <row r="52" spans="2:26">
      <c r="B52" s="52"/>
      <c r="C52" s="51">
        <v>38835</v>
      </c>
      <c r="D52" s="52">
        <v>5.4</v>
      </c>
      <c r="E52" s="52">
        <v>5.85</v>
      </c>
      <c r="F52" s="52">
        <v>6.03</v>
      </c>
      <c r="G52" s="52">
        <v>6.12</v>
      </c>
      <c r="H52" s="52">
        <v>6.39</v>
      </c>
      <c r="I52" s="52">
        <v>4.14</v>
      </c>
      <c r="J52" s="52">
        <v>4.59</v>
      </c>
      <c r="L52" s="52"/>
      <c r="M52" s="51"/>
      <c r="N52" s="52"/>
      <c r="O52" s="52"/>
      <c r="P52" s="52"/>
      <c r="Q52" s="52"/>
      <c r="R52" s="52"/>
      <c r="S52" s="52"/>
      <c r="T52" s="52"/>
      <c r="U52" s="52"/>
      <c r="V52" s="52"/>
      <c r="W52" s="52"/>
      <c r="X52" s="52"/>
      <c r="Y52" s="52"/>
      <c r="Z52" s="52"/>
    </row>
    <row r="53" spans="2:26">
      <c r="B53" s="52"/>
      <c r="C53" s="51">
        <v>38428</v>
      </c>
      <c r="D53" s="52">
        <v>5.22</v>
      </c>
      <c r="E53" s="52">
        <v>5.58</v>
      </c>
      <c r="F53" s="52">
        <v>5.76</v>
      </c>
      <c r="G53" s="52">
        <v>5.85</v>
      </c>
      <c r="H53" s="52">
        <v>6.12</v>
      </c>
      <c r="I53" s="52">
        <v>3.96</v>
      </c>
      <c r="J53" s="52">
        <v>4.41</v>
      </c>
      <c r="L53" s="52"/>
      <c r="M53" s="51"/>
      <c r="N53" s="52"/>
      <c r="O53" s="52"/>
      <c r="P53" s="52"/>
      <c r="Q53" s="52"/>
      <c r="R53" s="52"/>
      <c r="S53" s="52"/>
      <c r="T53" s="52"/>
      <c r="U53" s="52"/>
      <c r="V53" s="52"/>
      <c r="W53" s="52"/>
      <c r="X53" s="52"/>
      <c r="Y53" s="52"/>
      <c r="Z53" s="52"/>
    </row>
    <row r="54" spans="2:26">
      <c r="B54" s="52"/>
      <c r="C54" s="51">
        <v>38289</v>
      </c>
      <c r="D54" s="52">
        <v>5.22</v>
      </c>
      <c r="E54" s="52">
        <v>5.58</v>
      </c>
      <c r="F54" s="52">
        <v>5.76</v>
      </c>
      <c r="G54" s="52">
        <v>5.85</v>
      </c>
      <c r="H54" s="52">
        <v>6.12</v>
      </c>
      <c r="I54" s="52">
        <v>3.78</v>
      </c>
      <c r="J54" s="52">
        <v>4.23</v>
      </c>
      <c r="L54" s="52"/>
      <c r="M54" s="51"/>
      <c r="N54" s="52"/>
      <c r="O54" s="52"/>
      <c r="P54" s="52"/>
      <c r="Q54" s="52"/>
      <c r="R54" s="52"/>
      <c r="S54" s="52"/>
      <c r="T54" s="52"/>
      <c r="U54" s="52"/>
      <c r="V54" s="52"/>
      <c r="W54" s="52"/>
      <c r="X54" s="52"/>
      <c r="Y54" s="52"/>
      <c r="Z54" s="52"/>
    </row>
    <row r="55" spans="2:26">
      <c r="B55" s="52"/>
      <c r="C55" s="51">
        <v>37308</v>
      </c>
      <c r="D55" s="52">
        <v>5.04</v>
      </c>
      <c r="E55" s="52">
        <v>5.31</v>
      </c>
      <c r="F55" s="52">
        <v>5.49</v>
      </c>
      <c r="G55" s="52">
        <v>5.58</v>
      </c>
      <c r="H55" s="52">
        <v>5.76</v>
      </c>
      <c r="I55" s="52">
        <v>3.6</v>
      </c>
      <c r="J55" s="52">
        <v>4.05</v>
      </c>
      <c r="L55" s="52"/>
      <c r="M55" s="51"/>
      <c r="N55" s="52"/>
      <c r="O55" s="52"/>
      <c r="P55" s="52"/>
      <c r="Q55" s="52"/>
      <c r="R55" s="52"/>
      <c r="S55" s="52"/>
      <c r="T55" s="52"/>
      <c r="U55" s="52"/>
      <c r="V55" s="52"/>
      <c r="W55" s="52"/>
      <c r="X55" s="52"/>
      <c r="Y55" s="52"/>
      <c r="Z55" s="52"/>
    </row>
    <row r="56" spans="2:26">
      <c r="B56" s="52"/>
      <c r="C56" s="51">
        <v>36321</v>
      </c>
      <c r="D56" s="52">
        <v>5.58</v>
      </c>
      <c r="E56" s="52">
        <v>5.85</v>
      </c>
      <c r="F56" s="52">
        <v>5.94</v>
      </c>
      <c r="G56" s="52">
        <v>6.03</v>
      </c>
      <c r="H56" s="52">
        <v>6.21</v>
      </c>
      <c r="I56" s="52">
        <v>4.14</v>
      </c>
      <c r="J56" s="52">
        <v>4.59</v>
      </c>
      <c r="L56" s="52"/>
      <c r="M56" s="51"/>
      <c r="N56" s="52"/>
      <c r="O56" s="52"/>
      <c r="P56" s="52"/>
      <c r="Q56" s="52"/>
      <c r="R56" s="52"/>
      <c r="S56" s="52"/>
      <c r="T56" s="52"/>
      <c r="U56" s="52"/>
      <c r="V56" s="52"/>
      <c r="W56" s="52"/>
      <c r="X56" s="52"/>
      <c r="Y56" s="52"/>
      <c r="Z56" s="52"/>
    </row>
    <row r="57" spans="2:26">
      <c r="B57" s="52"/>
      <c r="C57" s="51">
        <v>36136</v>
      </c>
      <c r="D57" s="52">
        <v>6.12</v>
      </c>
      <c r="E57" s="52">
        <v>6.39</v>
      </c>
      <c r="F57" s="52">
        <v>6.66</v>
      </c>
      <c r="G57" s="52">
        <v>7.2</v>
      </c>
      <c r="H57" s="52">
        <v>7.56</v>
      </c>
      <c r="I57" s="52">
        <v>0</v>
      </c>
      <c r="J57" s="52">
        <v>0</v>
      </c>
      <c r="L57" s="52"/>
      <c r="M57" s="51"/>
      <c r="N57" s="52"/>
      <c r="O57" s="52"/>
      <c r="P57" s="52"/>
      <c r="Q57" s="52"/>
      <c r="R57" s="52"/>
      <c r="S57" s="52"/>
      <c r="T57" s="52"/>
      <c r="U57" s="52"/>
      <c r="V57" s="52"/>
      <c r="W57" s="52"/>
      <c r="X57" s="52"/>
      <c r="Y57" s="52"/>
      <c r="Z57" s="52"/>
    </row>
    <row r="58" spans="2:10">
      <c r="B58" s="52"/>
      <c r="C58" s="51">
        <v>35977</v>
      </c>
      <c r="D58" s="52">
        <v>6.57</v>
      </c>
      <c r="E58" s="52">
        <v>6.93</v>
      </c>
      <c r="F58" s="52">
        <v>7.11</v>
      </c>
      <c r="G58" s="52">
        <v>7.65</v>
      </c>
      <c r="H58" s="52">
        <v>8.01</v>
      </c>
      <c r="I58" s="52">
        <v>0</v>
      </c>
      <c r="J58" s="52">
        <v>0</v>
      </c>
    </row>
    <row r="59" spans="2:10">
      <c r="B59" s="52"/>
      <c r="C59" s="51">
        <v>35879</v>
      </c>
      <c r="D59" s="52">
        <v>7.02</v>
      </c>
      <c r="E59" s="52">
        <v>7.92</v>
      </c>
      <c r="F59" s="52">
        <v>9</v>
      </c>
      <c r="G59" s="52">
        <v>9.72</v>
      </c>
      <c r="H59" s="52">
        <v>10.35</v>
      </c>
      <c r="I59" s="52">
        <v>0</v>
      </c>
      <c r="J59" s="52">
        <v>0</v>
      </c>
    </row>
    <row r="60" spans="2:10">
      <c r="B60" s="52"/>
      <c r="C60" s="51">
        <v>35726</v>
      </c>
      <c r="D60" s="52">
        <v>7.65</v>
      </c>
      <c r="E60" s="52">
        <v>8.64</v>
      </c>
      <c r="F60" s="52">
        <v>9.36</v>
      </c>
      <c r="G60" s="52">
        <v>9.9</v>
      </c>
      <c r="H60" s="52">
        <v>10.53</v>
      </c>
      <c r="I60" s="52">
        <v>0</v>
      </c>
      <c r="J60" s="52">
        <v>0</v>
      </c>
    </row>
    <row r="61" spans="2:10">
      <c r="B61" s="52"/>
      <c r="C61" s="51">
        <v>35300</v>
      </c>
      <c r="D61" s="52">
        <v>9.18</v>
      </c>
      <c r="E61" s="52">
        <v>10.08</v>
      </c>
      <c r="F61" s="52">
        <v>10.98</v>
      </c>
      <c r="G61" s="52">
        <v>11.7</v>
      </c>
      <c r="H61" s="52">
        <v>12.42</v>
      </c>
      <c r="I61" s="52">
        <v>0</v>
      </c>
      <c r="J61" s="52">
        <v>0</v>
      </c>
    </row>
    <row r="62" spans="2:10">
      <c r="B62" s="52"/>
      <c r="C62" s="51">
        <v>35186</v>
      </c>
      <c r="D62" s="52">
        <v>9.72</v>
      </c>
      <c r="E62" s="52">
        <v>10.98</v>
      </c>
      <c r="F62" s="52">
        <v>13.14</v>
      </c>
      <c r="G62" s="52">
        <v>14.94</v>
      </c>
      <c r="H62" s="52">
        <v>15.12</v>
      </c>
      <c r="I62" s="52">
        <v>0</v>
      </c>
      <c r="J62" s="52">
        <v>0</v>
      </c>
    </row>
    <row r="63" spans="2:10">
      <c r="B63" s="52"/>
      <c r="C63" s="51">
        <v>34881</v>
      </c>
      <c r="D63" s="52">
        <v>10.08</v>
      </c>
      <c r="E63" s="52">
        <v>12.06</v>
      </c>
      <c r="F63" s="52">
        <v>13.5</v>
      </c>
      <c r="G63" s="52">
        <v>15.12</v>
      </c>
      <c r="H63" s="52">
        <v>15.3</v>
      </c>
      <c r="I63" s="52">
        <v>0</v>
      </c>
      <c r="J63" s="52">
        <v>0</v>
      </c>
    </row>
    <row r="64" spans="2:10">
      <c r="B64" s="52"/>
      <c r="C64" s="51">
        <v>34700</v>
      </c>
      <c r="D64" s="52">
        <v>9</v>
      </c>
      <c r="E64" s="52">
        <v>10.98</v>
      </c>
      <c r="F64" s="52">
        <v>12.96</v>
      </c>
      <c r="G64" s="52">
        <v>14.58</v>
      </c>
      <c r="H64" s="52">
        <v>14.76</v>
      </c>
      <c r="I64" s="52">
        <v>0</v>
      </c>
      <c r="J64" s="52">
        <v>0</v>
      </c>
    </row>
    <row r="65" spans="2:10">
      <c r="B65" s="52"/>
      <c r="C65" s="51">
        <v>34161</v>
      </c>
      <c r="D65" s="52">
        <v>9</v>
      </c>
      <c r="E65" s="52">
        <v>10.98</v>
      </c>
      <c r="F65" s="52">
        <v>12.24</v>
      </c>
      <c r="G65" s="52">
        <v>13.86</v>
      </c>
      <c r="H65" s="52">
        <v>14.04</v>
      </c>
      <c r="I65" s="52">
        <v>0</v>
      </c>
      <c r="J65" s="52">
        <v>0</v>
      </c>
    </row>
    <row r="66" spans="2:10">
      <c r="B66" s="52"/>
      <c r="C66" s="51">
        <v>34104</v>
      </c>
      <c r="D66" s="52">
        <v>8.82</v>
      </c>
      <c r="E66" s="52">
        <v>9.36</v>
      </c>
      <c r="F66" s="52">
        <v>10.8</v>
      </c>
      <c r="G66" s="52">
        <v>12.06</v>
      </c>
      <c r="H66" s="52">
        <v>12.24</v>
      </c>
      <c r="I66" s="52">
        <v>0</v>
      </c>
      <c r="J66" s="52">
        <v>0</v>
      </c>
    </row>
    <row r="67" spans="2:10">
      <c r="B67" s="52"/>
      <c r="C67" s="51">
        <v>33349</v>
      </c>
      <c r="D67" s="52">
        <v>8.1</v>
      </c>
      <c r="E67" s="52">
        <v>8.64</v>
      </c>
      <c r="F67" s="52">
        <v>9</v>
      </c>
      <c r="G67" s="52">
        <v>9.54</v>
      </c>
      <c r="H67" s="52">
        <v>9.72</v>
      </c>
      <c r="I67" s="52">
        <v>0</v>
      </c>
      <c r="J67" s="52">
        <v>0</v>
      </c>
    </row>
    <row r="68" spans="2:10">
      <c r="B68" s="52"/>
      <c r="C68" s="51">
        <v>33318</v>
      </c>
      <c r="D68" s="52">
        <v>9</v>
      </c>
      <c r="E68" s="52">
        <v>10.08</v>
      </c>
      <c r="F68" s="52">
        <v>10.8</v>
      </c>
      <c r="G68" s="52">
        <v>11.52</v>
      </c>
      <c r="H68" s="52">
        <v>11.88</v>
      </c>
      <c r="I68" s="52" t="s">
        <v>2777</v>
      </c>
      <c r="J68" s="52" t="s">
        <v>2777</v>
      </c>
    </row>
    <row r="69" spans="2:10">
      <c r="B69" s="52"/>
      <c r="C69" s="51">
        <v>33106</v>
      </c>
      <c r="D69" s="52">
        <v>8.64</v>
      </c>
      <c r="E69" s="52">
        <v>9.36</v>
      </c>
      <c r="F69" s="52">
        <v>10.08</v>
      </c>
      <c r="G69" s="52">
        <v>10.8</v>
      </c>
      <c r="H69" s="52">
        <v>11.16</v>
      </c>
      <c r="I69" s="52">
        <v>0</v>
      </c>
      <c r="J69" s="52">
        <v>0</v>
      </c>
    </row>
    <row r="70" spans="2:10">
      <c r="B70" s="52"/>
      <c r="C70" s="51">
        <v>32540</v>
      </c>
      <c r="D70" s="52">
        <v>11.34</v>
      </c>
      <c r="E70" s="52">
        <v>11.34</v>
      </c>
      <c r="F70" s="52">
        <v>12.78</v>
      </c>
      <c r="G70" s="52">
        <v>14.4</v>
      </c>
      <c r="H70" s="52">
        <v>19.26</v>
      </c>
      <c r="I70" s="52">
        <v>0</v>
      </c>
      <c r="J70" s="52">
        <v>0</v>
      </c>
    </row>
    <row r="71" spans="2:10">
      <c r="B71" s="52"/>
      <c r="C71" s="51"/>
      <c r="D71" s="52"/>
      <c r="E71" s="52"/>
      <c r="F71" s="52"/>
      <c r="G71" s="52"/>
      <c r="H71" s="52"/>
      <c r="I71" s="52"/>
      <c r="J71" s="52"/>
    </row>
    <row r="72" spans="2:10">
      <c r="B72" s="72"/>
      <c r="C72" s="73"/>
      <c r="D72" s="72"/>
      <c r="E72" s="72"/>
      <c r="F72" s="72"/>
      <c r="G72" s="72"/>
      <c r="H72" s="72"/>
      <c r="I72" s="72"/>
      <c r="J72" s="72"/>
    </row>
    <row r="73" spans="2:10">
      <c r="B73" s="72"/>
      <c r="C73" s="73"/>
      <c r="D73" s="72"/>
      <c r="E73" s="72"/>
      <c r="F73" s="72"/>
      <c r="G73" s="72"/>
      <c r="H73" s="72"/>
      <c r="I73" s="72"/>
      <c r="J73" s="72"/>
    </row>
    <row r="74" spans="2:10">
      <c r="B74" s="72"/>
      <c r="C74" s="73"/>
      <c r="D74" s="72"/>
      <c r="E74" s="72"/>
      <c r="F74" s="72"/>
      <c r="G74" s="72"/>
      <c r="H74" s="72"/>
      <c r="I74" s="72"/>
      <c r="J74" s="72"/>
    </row>
    <row r="75" spans="2:10">
      <c r="B75" s="3"/>
      <c r="C75" s="3"/>
      <c r="D75" s="3"/>
      <c r="E75" s="3"/>
      <c r="F75" s="3"/>
      <c r="G75" s="3"/>
      <c r="H75" s="3"/>
      <c r="I75" s="3"/>
      <c r="J75" s="3"/>
    </row>
    <row r="76" spans="2:10">
      <c r="B76" s="3"/>
      <c r="C76" s="3"/>
      <c r="D76" s="3"/>
      <c r="E76" s="3"/>
      <c r="F76" s="3"/>
      <c r="G76" s="3"/>
      <c r="H76" s="3"/>
      <c r="I76" s="3"/>
      <c r="J76"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1352" customWidth="1"/>
    <col min="2" max="9" width="12.1272727272727" style="1352" customWidth="1"/>
    <col min="10" max="16384" width="9" style="1352"/>
  </cols>
  <sheetData>
    <row r="1" ht="18.75" spans="1:9">
      <c r="A1" s="3635" t="str">
        <f>IF(项目基本情况!B9="房地产市场价值","估价结果一览表","结果表-2")</f>
        <v>结果表-2</v>
      </c>
      <c r="B1" s="3635"/>
      <c r="C1" s="3635"/>
      <c r="D1" s="3635"/>
      <c r="E1" s="3635"/>
      <c r="F1" s="3635"/>
      <c r="G1" s="3635"/>
      <c r="H1" s="3635"/>
      <c r="I1" s="3635"/>
    </row>
    <row r="2" ht="30" customHeight="1" spans="1:9">
      <c r="A2" s="3636" t="s">
        <v>107</v>
      </c>
      <c r="B2" s="3636" t="s">
        <v>108</v>
      </c>
      <c r="C2" s="3636" t="s">
        <v>109</v>
      </c>
      <c r="D2" s="3636" t="str">
        <f>结果表!D116</f>
        <v>出让国有建设用地使用权价值</v>
      </c>
      <c r="E2" s="3636"/>
      <c r="F2" s="3636" t="str">
        <f>结果表!F116</f>
        <v>在建建筑物价值</v>
      </c>
      <c r="G2" s="3636"/>
      <c r="H2" s="3636" t="str">
        <f>IF(项目基本情况!B9="房地产市场价值","房地产市场价值","房地产价值")</f>
        <v>房地产价值</v>
      </c>
      <c r="I2" s="3636"/>
    </row>
    <row r="3" ht="15.5" spans="1:9">
      <c r="A3" s="3637"/>
      <c r="B3" s="3637"/>
      <c r="C3" s="3637"/>
      <c r="D3" s="3637" t="s">
        <v>110</v>
      </c>
      <c r="E3" s="3637" t="s">
        <v>111</v>
      </c>
      <c r="F3" s="3637" t="s">
        <v>110</v>
      </c>
      <c r="G3" s="3637" t="s">
        <v>111</v>
      </c>
      <c r="H3" s="3637" t="s">
        <v>110</v>
      </c>
      <c r="I3" s="3637" t="s">
        <v>111</v>
      </c>
    </row>
    <row r="4" ht="15.5" spans="1:9">
      <c r="A4" s="3638" t="str">
        <f>项目基本情况!S2</f>
        <v>房地产</v>
      </c>
      <c r="B4" s="3637">
        <f>项目基本情况!C17</f>
        <v>3013</v>
      </c>
      <c r="C4" s="3637">
        <f>项目基本情况!C18</f>
        <v>0</v>
      </c>
      <c r="D4" s="3637">
        <f ca="1">结果表!D118</f>
        <v>5153</v>
      </c>
      <c r="E4" s="3637">
        <f ca="1">结果表!E118</f>
        <v>17103</v>
      </c>
      <c r="F4" s="3637">
        <f ca="1">结果表!F118</f>
        <v>1867</v>
      </c>
      <c r="G4" s="3637">
        <f ca="1">结果表!G118</f>
        <v>6196</v>
      </c>
      <c r="H4" s="3637">
        <f ca="1">结果表!H118</f>
        <v>7020</v>
      </c>
      <c r="I4" s="3637">
        <f ca="1">结果表!I118</f>
        <v>23299</v>
      </c>
    </row>
    <row r="5" ht="30" customHeight="1" spans="1:9">
      <c r="A5" s="3637" t="s">
        <v>112</v>
      </c>
      <c r="B5" s="3637"/>
      <c r="C5" s="3637"/>
      <c r="D5" s="3637" t="str">
        <f ca="1">结果表!D119</f>
        <v>伍仟壹佰伍拾叁万元整</v>
      </c>
      <c r="E5" s="3637"/>
      <c r="F5" s="3637" t="str">
        <f ca="1">结果表!F119</f>
        <v>壹仟捌佰陆拾柒万元整</v>
      </c>
      <c r="G5" s="3637"/>
      <c r="H5" s="3637" t="str">
        <f ca="1">结果表!H119</f>
        <v>柒仟零贰拾万元整</v>
      </c>
      <c r="I5" s="3637"/>
    </row>
    <row r="6" ht="15.5" spans="1:9">
      <c r="A6" s="3639" t="str">
        <f>结果表!A120</f>
        <v>估价师知悉的法定优先受偿款</v>
      </c>
      <c r="B6" s="3639"/>
      <c r="C6" s="3639"/>
      <c r="D6" s="3639">
        <f>结果表!D120</f>
        <v>0</v>
      </c>
      <c r="E6" s="3639"/>
      <c r="F6" s="3639"/>
      <c r="G6" s="3639"/>
      <c r="H6" s="3639"/>
      <c r="I6" s="3639"/>
    </row>
    <row r="7" ht="15.5" spans="1:9">
      <c r="A7" s="3637" t="s">
        <v>112</v>
      </c>
      <c r="B7" s="3637"/>
      <c r="C7" s="3637"/>
      <c r="D7" s="3640" t="str">
        <f>结果表!D121</f>
        <v>零元整</v>
      </c>
      <c r="E7" s="3641"/>
      <c r="F7" s="3641"/>
      <c r="G7" s="3641"/>
      <c r="H7" s="3641"/>
      <c r="I7" s="3645"/>
    </row>
    <row r="8" ht="15.5" spans="1:9">
      <c r="A8" s="3639" t="str">
        <f>结果表!A122</f>
        <v>房地产抵押价值</v>
      </c>
      <c r="B8" s="3639"/>
      <c r="C8" s="3639"/>
      <c r="D8" s="3639">
        <f ca="1">结果表!D122</f>
        <v>7020</v>
      </c>
      <c r="E8" s="3639"/>
      <c r="F8" s="3639"/>
      <c r="G8" s="3639"/>
      <c r="H8" s="3639"/>
      <c r="I8" s="3639"/>
    </row>
    <row r="9" ht="15.5" spans="1:9">
      <c r="A9" s="3637" t="s">
        <v>112</v>
      </c>
      <c r="B9" s="3637"/>
      <c r="C9" s="3637"/>
      <c r="D9" s="3637" t="str">
        <f ca="1">结果表!D123</f>
        <v>柒仟零贰拾万元整</v>
      </c>
      <c r="E9" s="3637"/>
      <c r="F9" s="3637"/>
      <c r="G9" s="3637"/>
      <c r="H9" s="3637"/>
      <c r="I9" s="3637"/>
    </row>
    <row r="10" ht="15.5" spans="1:9">
      <c r="A10" s="3639" t="str">
        <f>结果表!A124</f>
        <v/>
      </c>
      <c r="B10" s="3639"/>
      <c r="C10" s="3639"/>
      <c r="D10" s="3639" t="str">
        <f ca="1">结果表!D124</f>
        <v>——</v>
      </c>
      <c r="E10" s="3639"/>
      <c r="F10" s="3639"/>
      <c r="G10" s="3639"/>
      <c r="H10" s="3639"/>
      <c r="I10" s="3639"/>
    </row>
    <row r="11" ht="15.5" spans="1:9">
      <c r="A11" s="3637" t="s">
        <v>112</v>
      </c>
      <c r="B11" s="3637"/>
      <c r="C11" s="3637"/>
      <c r="D11" s="3637" t="e">
        <f ca="1">结果表!D125</f>
        <v>#VALUE!</v>
      </c>
      <c r="E11" s="3637"/>
      <c r="F11" s="3637"/>
      <c r="G11" s="3637"/>
      <c r="H11" s="3637"/>
      <c r="I11" s="3637"/>
    </row>
    <row r="12" ht="15.5" spans="1:9">
      <c r="A12" s="3639" t="str">
        <f>结果表!A126</f>
        <v/>
      </c>
      <c r="B12" s="3639"/>
      <c r="C12" s="3639"/>
      <c r="D12" s="3639" t="str">
        <f ca="1">结果表!D126</f>
        <v>——</v>
      </c>
      <c r="E12" s="3639"/>
      <c r="F12" s="3639"/>
      <c r="G12" s="3639"/>
      <c r="H12" s="3639"/>
      <c r="I12" s="3639"/>
    </row>
    <row r="13" ht="16.25" spans="1:9">
      <c r="A13" s="3642" t="s">
        <v>112</v>
      </c>
      <c r="B13" s="3642"/>
      <c r="C13" s="3642"/>
      <c r="D13" s="3642" t="e">
        <f ca="1">结果表!D127</f>
        <v>#VALUE!</v>
      </c>
      <c r="E13" s="3642"/>
      <c r="F13" s="3642"/>
      <c r="G13" s="3642"/>
      <c r="H13" s="3642"/>
      <c r="I13" s="3642"/>
    </row>
    <row r="14" ht="14.75" spans="1:9">
      <c r="A14" s="3643" t="s">
        <v>113</v>
      </c>
      <c r="B14" s="3643"/>
      <c r="C14" s="3643"/>
      <c r="D14" s="3643"/>
      <c r="E14" s="3643"/>
      <c r="F14" s="3643"/>
      <c r="G14" s="3643"/>
      <c r="H14" s="3643"/>
      <c r="I14" s="3643"/>
    </row>
    <row r="16" ht="17.5" spans="1:9">
      <c r="A16" s="3644" t="s">
        <v>106</v>
      </c>
      <c r="B16" s="2063"/>
      <c r="C16" s="2063"/>
      <c r="D16" s="2063"/>
      <c r="E16" s="2063"/>
      <c r="F16" s="2063"/>
      <c r="G16" s="2063"/>
      <c r="H16" s="2063"/>
      <c r="I16" s="2063"/>
    </row>
    <row r="17" spans="1:9">
      <c r="A17" s="2063"/>
      <c r="B17" s="2063"/>
      <c r="C17" s="2063"/>
      <c r="D17" s="2063"/>
      <c r="E17" s="2063"/>
      <c r="F17" s="2063"/>
      <c r="G17" s="2063"/>
      <c r="H17" s="2063"/>
      <c r="I17" s="2063"/>
    </row>
    <row r="18" spans="1:9">
      <c r="A18" s="2063"/>
      <c r="B18" s="2063"/>
      <c r="C18" s="2063"/>
      <c r="D18" s="2063"/>
      <c r="E18" s="2063"/>
      <c r="F18" s="2063"/>
      <c r="G18" s="2063"/>
      <c r="H18" s="2063"/>
      <c r="I18" s="2063"/>
    </row>
    <row r="19" spans="1:9">
      <c r="A19" s="2063"/>
      <c r="B19" s="2063"/>
      <c r="C19" s="2063"/>
      <c r="D19" s="2063"/>
      <c r="E19" s="2063"/>
      <c r="F19" s="2063"/>
      <c r="G19" s="2063"/>
      <c r="H19" s="2063"/>
      <c r="I19" s="2063"/>
    </row>
    <row r="20" spans="1:9">
      <c r="A20" s="2063"/>
      <c r="B20" s="2063"/>
      <c r="C20" s="2063"/>
      <c r="D20" s="2063"/>
      <c r="E20" s="2063"/>
      <c r="F20" s="2063"/>
      <c r="G20" s="2063"/>
      <c r="H20" s="2063"/>
      <c r="I20" s="2063"/>
    </row>
    <row r="21" spans="1:9">
      <c r="A21" s="2063"/>
      <c r="B21" s="2063"/>
      <c r="C21" s="2063"/>
      <c r="D21" s="2063"/>
      <c r="E21" s="2063"/>
      <c r="F21" s="2063"/>
      <c r="G21" s="2063"/>
      <c r="H21" s="2063"/>
      <c r="I21" s="2063"/>
    </row>
    <row r="22" spans="1:9">
      <c r="A22" s="2063"/>
      <c r="B22" s="2063"/>
      <c r="C22" s="2063"/>
      <c r="D22" s="2063"/>
      <c r="E22" s="2063"/>
      <c r="F22" s="2063"/>
      <c r="G22" s="2063"/>
      <c r="H22" s="2063"/>
      <c r="I22" s="206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1352" customWidth="1"/>
    <col min="2" max="3" width="22.3727272727273" style="1352" customWidth="1"/>
    <col min="4" max="4" width="23" style="1352" customWidth="1"/>
    <col min="5" max="16384" width="9" style="1352"/>
  </cols>
  <sheetData>
    <row r="1" ht="17.5" spans="1:4">
      <c r="A1" s="3615" t="s">
        <v>114</v>
      </c>
      <c r="B1" s="3615"/>
      <c r="C1" s="3615"/>
      <c r="D1" s="3615"/>
    </row>
    <row r="2" ht="18" spans="1:4">
      <c r="A2" s="3616" t="s">
        <v>115</v>
      </c>
      <c r="B2" s="3616"/>
      <c r="C2" s="3616"/>
      <c r="D2" s="3616"/>
    </row>
    <row r="3" ht="17.5" spans="1:4">
      <c r="A3" s="3617" t="s">
        <v>116</v>
      </c>
      <c r="B3" s="3617" t="s">
        <v>117</v>
      </c>
      <c r="C3" s="3617" t="s">
        <v>118</v>
      </c>
      <c r="D3" s="3617" t="s">
        <v>119</v>
      </c>
    </row>
    <row r="4" ht="56.25" customHeight="1" spans="1:4">
      <c r="A4" s="3618">
        <f>项目基本情况!B4</f>
        <v>0</v>
      </c>
      <c r="B4" s="3619">
        <f ca="1">项目基本情况!C4</f>
        <v>0</v>
      </c>
      <c r="C4" s="3620"/>
      <c r="D4" s="3621" t="s">
        <v>120</v>
      </c>
    </row>
    <row r="5" ht="56.25" customHeight="1" spans="1:4">
      <c r="A5" s="3618">
        <f>项目基本情况!D4</f>
        <v>0</v>
      </c>
      <c r="B5" s="3619">
        <f ca="1">项目基本情况!E4</f>
        <v>0</v>
      </c>
      <c r="C5" s="3622"/>
      <c r="D5" s="3621" t="s">
        <v>120</v>
      </c>
    </row>
    <row r="6" ht="18" spans="1:4">
      <c r="A6" s="3616" t="s">
        <v>121</v>
      </c>
      <c r="B6" s="3616"/>
      <c r="C6" s="3616"/>
      <c r="D6" s="3616"/>
    </row>
    <row r="7" ht="17.5" spans="1:4">
      <c r="A7" s="3617" t="s">
        <v>116</v>
      </c>
      <c r="B7" s="3619" t="s">
        <v>122</v>
      </c>
      <c r="C7" s="3617" t="s">
        <v>118</v>
      </c>
      <c r="D7" s="3617" t="s">
        <v>119</v>
      </c>
    </row>
    <row r="8" ht="56.25" customHeight="1" spans="1:4">
      <c r="A8" s="3623" t="s">
        <v>123</v>
      </c>
      <c r="B8" s="3623" t="s">
        <v>124</v>
      </c>
      <c r="C8" s="3620"/>
      <c r="D8" s="3621" t="s">
        <v>120</v>
      </c>
    </row>
    <row r="9" spans="1:4">
      <c r="A9" s="3624"/>
      <c r="B9" s="3624"/>
      <c r="C9" s="3624"/>
      <c r="D9" s="3624"/>
    </row>
    <row r="10" ht="17.5" spans="1:4">
      <c r="A10" s="3615" t="s">
        <v>125</v>
      </c>
      <c r="B10" s="3624"/>
      <c r="C10" s="3624"/>
      <c r="D10" s="3624"/>
    </row>
    <row r="11" ht="30" customHeight="1" spans="1:4">
      <c r="A11" s="3625" t="s">
        <v>126</v>
      </c>
      <c r="B11" s="3626"/>
      <c r="C11" s="3626"/>
      <c r="D11" s="3626"/>
    </row>
    <row r="12" ht="15.5" spans="1:4">
      <c r="A12" s="362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7"/>
      <c r="C12" s="3627"/>
      <c r="D12" s="3627"/>
    </row>
    <row r="13" ht="30" customHeight="1" spans="1:4">
      <c r="A13" s="362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7"/>
      <c r="C13" s="3627"/>
      <c r="D13" s="3627"/>
    </row>
    <row r="14" ht="15.75" customHeight="1" spans="1:4">
      <c r="A14" s="3626" t="str">
        <f>IF(项目基本情况!B8="抵押","4.本次评估估价师所知悉的法定优先受偿款情况说明如下：","——")</f>
        <v>4.本次评估估价师所知悉的法定优先受偿款情况说明如下：</v>
      </c>
      <c r="B14" s="3627"/>
      <c r="C14" s="3627"/>
      <c r="D14" s="3627"/>
    </row>
    <row r="15" ht="42" customHeight="1" spans="1:4">
      <c r="A15" s="362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6"/>
      <c r="C15" s="3626"/>
      <c r="D15" s="3626"/>
    </row>
    <row r="16" ht="30" customHeight="1" spans="1:4">
      <c r="A16" s="3628" t="s">
        <v>127</v>
      </c>
      <c r="B16" s="3628"/>
      <c r="C16" s="3628"/>
      <c r="D16" s="3628"/>
    </row>
    <row r="17" ht="144" customHeight="1" spans="1:4">
      <c r="A17" s="3628" t="s">
        <v>128</v>
      </c>
      <c r="B17" s="3628"/>
      <c r="C17" s="3628"/>
      <c r="D17" s="3628"/>
    </row>
    <row r="18" ht="15.75" customHeight="1" spans="1:4">
      <c r="A18" s="3626" t="str">
        <f>IF(项目基本情况!B8="抵押",结果表!K120,"——")</f>
        <v>故，本次评估不存在估价师知悉的法定优先受偿款</v>
      </c>
      <c r="B18" s="3626"/>
      <c r="C18" s="3626"/>
      <c r="D18" s="3626"/>
    </row>
    <row r="19" ht="46.5" customHeight="1" spans="1:4">
      <c r="A19" s="362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6"/>
      <c r="C19" s="3626"/>
      <c r="D19" s="3626"/>
    </row>
    <row r="20" ht="57.75" customHeight="1" spans="1:4">
      <c r="A20" s="362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6"/>
      <c r="C20" s="3626"/>
      <c r="D20" s="3626"/>
    </row>
    <row r="21" ht="57.75" customHeight="1" spans="1:4">
      <c r="A21" s="362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9"/>
      <c r="C21" s="3629"/>
      <c r="D21" s="3629"/>
    </row>
    <row r="22" ht="18.75" customHeight="1" spans="1:4">
      <c r="A22" s="3630" t="s">
        <v>129</v>
      </c>
      <c r="B22" s="3630"/>
      <c r="C22" s="3630"/>
      <c r="D22" s="3630"/>
    </row>
    <row r="23" spans="1:4">
      <c r="A23" s="3631"/>
      <c r="B23" s="2063"/>
      <c r="C23" s="2063"/>
      <c r="D23" s="2063"/>
    </row>
    <row r="24" spans="1:4">
      <c r="A24" s="3631"/>
      <c r="B24" s="2063"/>
      <c r="C24" s="2063"/>
      <c r="D24" s="2063"/>
    </row>
    <row r="25" ht="17.5" spans="1:1">
      <c r="A25" s="3632" t="s">
        <v>130</v>
      </c>
    </row>
    <row r="26" ht="17.5" spans="1:1">
      <c r="A26" s="3633"/>
    </row>
    <row r="27" ht="17.5" spans="1:1">
      <c r="A27" s="3633" t="s">
        <v>131</v>
      </c>
    </row>
    <row r="30" ht="17.5" spans="4:4">
      <c r="D30" s="3632" t="s">
        <v>132</v>
      </c>
    </row>
    <row r="31" ht="13.5" customHeight="1" spans="3:4">
      <c r="C31" s="3634">
        <v>42551</v>
      </c>
      <c r="D31" s="363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11" customWidth="1"/>
    <col min="3" max="10" width="12.5" style="3611" customWidth="1"/>
    <col min="11" max="16384" width="9" style="3611"/>
  </cols>
  <sheetData>
    <row r="1" ht="17.5" spans="1:10">
      <c r="A1" s="3612" t="s">
        <v>133</v>
      </c>
      <c r="B1" s="3613"/>
      <c r="C1" s="3613"/>
      <c r="D1" s="3613"/>
      <c r="E1" s="3613"/>
      <c r="F1" s="3613"/>
      <c r="G1" s="3613"/>
      <c r="H1" s="3613"/>
      <c r="I1" s="3613"/>
      <c r="J1" s="3613"/>
    </row>
    <row r="2" ht="17.5" spans="1:10">
      <c r="A2" s="3614"/>
      <c r="B2" s="3613"/>
      <c r="C2" s="3613"/>
      <c r="D2" s="3613"/>
      <c r="E2" s="3613"/>
      <c r="F2" s="3613"/>
      <c r="G2" s="3613"/>
      <c r="H2" s="3613"/>
      <c r="I2" s="3613"/>
      <c r="J2" s="3613"/>
    </row>
    <row r="3" spans="1:10">
      <c r="A3" s="3613"/>
      <c r="B3" s="3613"/>
      <c r="C3" s="3613"/>
      <c r="D3" s="3613"/>
      <c r="E3" s="3613"/>
      <c r="F3" s="3613"/>
      <c r="G3" s="3613"/>
      <c r="H3" s="3613"/>
      <c r="I3" s="3613"/>
      <c r="J3" s="3613"/>
    </row>
    <row r="4" spans="1:10">
      <c r="A4" s="3613"/>
      <c r="B4" s="3613"/>
      <c r="C4" s="3613"/>
      <c r="D4" s="3613"/>
      <c r="E4" s="3613"/>
      <c r="F4" s="3613"/>
      <c r="G4" s="3613"/>
      <c r="H4" s="3613"/>
      <c r="I4" s="3613"/>
      <c r="J4" s="3613"/>
    </row>
    <row r="5" spans="1:10">
      <c r="A5" s="3613"/>
      <c r="B5" s="3613"/>
      <c r="C5" s="3613"/>
      <c r="D5" s="3613"/>
      <c r="E5" s="3613"/>
      <c r="F5" s="3613"/>
      <c r="G5" s="3613"/>
      <c r="H5" s="3613"/>
      <c r="I5" s="3613"/>
      <c r="J5" s="3613"/>
    </row>
    <row r="6" spans="1:10">
      <c r="A6" s="3613"/>
      <c r="B6" s="3613"/>
      <c r="C6" s="3613"/>
      <c r="D6" s="3613"/>
      <c r="E6" s="3613"/>
      <c r="F6" s="3613"/>
      <c r="G6" s="3613"/>
      <c r="H6" s="3613"/>
      <c r="I6" s="3613"/>
      <c r="J6" s="3613"/>
    </row>
    <row r="7" spans="1:10">
      <c r="A7" s="3613"/>
      <c r="B7" s="3613"/>
      <c r="C7" s="3613"/>
      <c r="D7" s="3613"/>
      <c r="E7" s="3613"/>
      <c r="F7" s="3613"/>
      <c r="G7" s="3613"/>
      <c r="H7" s="3613"/>
      <c r="I7" s="3613"/>
      <c r="J7" s="3613"/>
    </row>
    <row r="8" spans="1:10">
      <c r="A8" s="3613"/>
      <c r="B8" s="3613"/>
      <c r="C8" s="3613"/>
      <c r="D8" s="3613"/>
      <c r="E8" s="3613"/>
      <c r="F8" s="3613"/>
      <c r="G8" s="3613"/>
      <c r="H8" s="3613"/>
      <c r="I8" s="3613"/>
      <c r="J8" s="3613"/>
    </row>
    <row r="9" spans="1:10">
      <c r="A9" s="3613"/>
      <c r="B9" s="3613"/>
      <c r="C9" s="3613"/>
      <c r="D9" s="3613"/>
      <c r="E9" s="3613"/>
      <c r="F9" s="3613"/>
      <c r="G9" s="3613"/>
      <c r="H9" s="3613"/>
      <c r="I9" s="3613"/>
      <c r="J9" s="3613"/>
    </row>
    <row r="10" spans="1:10">
      <c r="A10" s="3613"/>
      <c r="B10" s="3613"/>
      <c r="C10" s="3613"/>
      <c r="D10" s="3613"/>
      <c r="E10" s="3613"/>
      <c r="F10" s="3613"/>
      <c r="G10" s="3613"/>
      <c r="H10" s="3613"/>
      <c r="I10" s="3613"/>
      <c r="J10" s="3613"/>
    </row>
    <row r="11" spans="1:10">
      <c r="A11" s="3613"/>
      <c r="B11" s="3613"/>
      <c r="C11" s="3613"/>
      <c r="D11" s="3613"/>
      <c r="E11" s="3613"/>
      <c r="F11" s="3613"/>
      <c r="G11" s="3613"/>
      <c r="H11" s="3613"/>
      <c r="I11" s="3613"/>
      <c r="J11" s="3613"/>
    </row>
    <row r="12" spans="1:10">
      <c r="A12" s="3613"/>
      <c r="B12" s="3613"/>
      <c r="C12" s="3613"/>
      <c r="D12" s="3613"/>
      <c r="E12" s="3613"/>
      <c r="F12" s="3613"/>
      <c r="G12" s="3613"/>
      <c r="H12" s="3613"/>
      <c r="I12" s="3613"/>
      <c r="J12" s="3613"/>
    </row>
    <row r="13" spans="1:10">
      <c r="A13" s="3613"/>
      <c r="B13" s="3613"/>
      <c r="C13" s="3613"/>
      <c r="D13" s="3613"/>
      <c r="E13" s="3613"/>
      <c r="F13" s="3613"/>
      <c r="G13" s="3613"/>
      <c r="H13" s="3613"/>
      <c r="I13" s="3613"/>
      <c r="J13" s="3613"/>
    </row>
    <row r="14" spans="1:10">
      <c r="A14" s="3613"/>
      <c r="B14" s="3613"/>
      <c r="C14" s="3613"/>
      <c r="D14" s="3613"/>
      <c r="E14" s="3613"/>
      <c r="F14" s="3613"/>
      <c r="G14" s="3613"/>
      <c r="H14" s="3613"/>
      <c r="I14" s="3613"/>
      <c r="J14" s="3613"/>
    </row>
    <row r="15" spans="1:10">
      <c r="A15" s="3613"/>
      <c r="B15" s="3613"/>
      <c r="C15" s="3613"/>
      <c r="D15" s="3613"/>
      <c r="E15" s="3613"/>
      <c r="F15" s="3613"/>
      <c r="G15" s="3613"/>
      <c r="H15" s="3613"/>
      <c r="I15" s="3613"/>
      <c r="J15" s="3613"/>
    </row>
    <row r="16" spans="1:10">
      <c r="A16" s="3613"/>
      <c r="B16" s="3613"/>
      <c r="C16" s="3613"/>
      <c r="D16" s="3613"/>
      <c r="E16" s="3613"/>
      <c r="F16" s="3613"/>
      <c r="G16" s="3613"/>
      <c r="H16" s="3613"/>
      <c r="I16" s="3613"/>
      <c r="J16" s="3613"/>
    </row>
    <row r="17" spans="1:10">
      <c r="A17" s="3613"/>
      <c r="B17" s="3613"/>
      <c r="C17" s="3613"/>
      <c r="D17" s="3613"/>
      <c r="E17" s="3613"/>
      <c r="F17" s="3613"/>
      <c r="G17" s="3613"/>
      <c r="H17" s="3613"/>
      <c r="I17" s="3613"/>
      <c r="J17" s="3613"/>
    </row>
    <row r="18" spans="1:10">
      <c r="A18" s="3613"/>
      <c r="B18" s="3613"/>
      <c r="C18" s="3613"/>
      <c r="D18" s="3613"/>
      <c r="E18" s="3613"/>
      <c r="F18" s="3613"/>
      <c r="G18" s="3613"/>
      <c r="H18" s="3613"/>
      <c r="I18" s="3613"/>
      <c r="J18" s="3613"/>
    </row>
    <row r="19" spans="1:10">
      <c r="A19" s="3613"/>
      <c r="B19" s="3613"/>
      <c r="C19" s="3613"/>
      <c r="D19" s="3613"/>
      <c r="E19" s="3613"/>
      <c r="F19" s="3613"/>
      <c r="G19" s="3613"/>
      <c r="H19" s="3613"/>
      <c r="I19" s="3613"/>
      <c r="J19" s="3613"/>
    </row>
    <row r="20" spans="1:10">
      <c r="A20" s="3613"/>
      <c r="B20" s="3613"/>
      <c r="C20" s="3613"/>
      <c r="D20" s="3613"/>
      <c r="E20" s="3613"/>
      <c r="F20" s="3613"/>
      <c r="G20" s="3613"/>
      <c r="H20" s="3613"/>
      <c r="I20" s="3613"/>
      <c r="J20" s="3613"/>
    </row>
    <row r="21" spans="1:10">
      <c r="A21" s="3613"/>
      <c r="B21" s="3613"/>
      <c r="C21" s="3613"/>
      <c r="D21" s="3613"/>
      <c r="E21" s="3613"/>
      <c r="F21" s="3613"/>
      <c r="G21" s="3613"/>
      <c r="H21" s="3613"/>
      <c r="I21" s="3613"/>
      <c r="J21" s="3613"/>
    </row>
    <row r="22" spans="1:10">
      <c r="A22" s="3613"/>
      <c r="B22" s="3613"/>
      <c r="C22" s="3613"/>
      <c r="D22" s="3613"/>
      <c r="E22" s="3613"/>
      <c r="F22" s="3613"/>
      <c r="G22" s="3613"/>
      <c r="H22" s="3613"/>
      <c r="I22" s="3613"/>
      <c r="J22" s="3613"/>
    </row>
    <row r="23" spans="1:10">
      <c r="A23" s="3613"/>
      <c r="B23" s="3613"/>
      <c r="C23" s="3613"/>
      <c r="D23" s="3613"/>
      <c r="E23" s="3613"/>
      <c r="F23" s="3613"/>
      <c r="G23" s="3613"/>
      <c r="H23" s="3613"/>
      <c r="I23" s="3613"/>
      <c r="J23" s="3613"/>
    </row>
    <row r="24" spans="1:10">
      <c r="A24" s="3613"/>
      <c r="B24" s="3613"/>
      <c r="C24" s="3613"/>
      <c r="D24" s="3613"/>
      <c r="E24" s="3613"/>
      <c r="F24" s="3613"/>
      <c r="G24" s="3613"/>
      <c r="H24" s="3613"/>
      <c r="I24" s="3613"/>
      <c r="J24" s="3613"/>
    </row>
    <row r="25" spans="1:10">
      <c r="A25" s="3613"/>
      <c r="B25" s="3613"/>
      <c r="C25" s="3613"/>
      <c r="D25" s="3613"/>
      <c r="E25" s="3613"/>
      <c r="F25" s="3613"/>
      <c r="G25" s="3613"/>
      <c r="H25" s="3613"/>
      <c r="I25" s="3613"/>
      <c r="J25" s="3613"/>
    </row>
    <row r="26" spans="1:10">
      <c r="A26" s="3613"/>
      <c r="B26" s="3613"/>
      <c r="C26" s="3613"/>
      <c r="D26" s="3613"/>
      <c r="E26" s="3613"/>
      <c r="F26" s="3613"/>
      <c r="G26" s="3613"/>
      <c r="H26" s="3613"/>
      <c r="I26" s="3613"/>
      <c r="J26" s="3613"/>
    </row>
    <row r="27" spans="1:10">
      <c r="A27" s="3613"/>
      <c r="B27" s="3613"/>
      <c r="C27" s="3613"/>
      <c r="D27" s="3613"/>
      <c r="E27" s="3613"/>
      <c r="F27" s="3613"/>
      <c r="G27" s="3613"/>
      <c r="H27" s="3613"/>
      <c r="I27" s="3613"/>
      <c r="J27" s="3613"/>
    </row>
    <row r="28" spans="1:10">
      <c r="A28" s="3613"/>
      <c r="B28" s="3613"/>
      <c r="C28" s="3613"/>
      <c r="D28" s="3613"/>
      <c r="E28" s="3613"/>
      <c r="F28" s="3613"/>
      <c r="G28" s="3613"/>
      <c r="H28" s="3613"/>
      <c r="I28" s="3613"/>
      <c r="J28" s="3613"/>
    </row>
    <row r="29" spans="1:10">
      <c r="A29" s="3613"/>
      <c r="B29" s="3613"/>
      <c r="C29" s="3613"/>
      <c r="D29" s="3613"/>
      <c r="E29" s="3613"/>
      <c r="F29" s="3613"/>
      <c r="G29" s="3613"/>
      <c r="H29" s="3613"/>
      <c r="I29" s="3613"/>
      <c r="J29" s="3613"/>
    </row>
    <row r="30" spans="1:10">
      <c r="A30" s="3613"/>
      <c r="B30" s="3613"/>
      <c r="C30" s="3613"/>
      <c r="D30" s="3613"/>
      <c r="E30" s="3613"/>
      <c r="F30" s="3613"/>
      <c r="G30" s="3613"/>
      <c r="H30" s="3613"/>
      <c r="I30" s="3613"/>
      <c r="J30" s="3613"/>
    </row>
    <row r="31" spans="1:10">
      <c r="A31" s="3613"/>
      <c r="B31" s="3613"/>
      <c r="C31" s="3613"/>
      <c r="D31" s="3613"/>
      <c r="E31" s="3613"/>
      <c r="F31" s="3613"/>
      <c r="G31" s="3613"/>
      <c r="H31" s="3613"/>
      <c r="I31" s="3613"/>
      <c r="J31" s="361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587" customWidth="1"/>
    <col min="2" max="16384" width="14.5" style="3536"/>
  </cols>
  <sheetData>
    <row r="1" s="3586" customFormat="1" ht="17.5" spans="1:1">
      <c r="A1" s="3588" t="s">
        <v>134</v>
      </c>
    </row>
    <row r="3" spans="1:7">
      <c r="A3" s="3589" t="s">
        <v>135</v>
      </c>
      <c r="B3" s="3536" t="s">
        <v>136</v>
      </c>
      <c r="G3" s="3590"/>
    </row>
    <row r="4" spans="7:7">
      <c r="G4" s="3590"/>
    </row>
    <row r="5" spans="1:7">
      <c r="A5" s="3591" t="s">
        <v>137</v>
      </c>
      <c r="B5" s="3536" t="s">
        <v>138</v>
      </c>
      <c r="G5" s="3590"/>
    </row>
    <row r="6" spans="7:7">
      <c r="G6" s="3590"/>
    </row>
    <row r="7" spans="1:7">
      <c r="A7" s="3592" t="s">
        <v>139</v>
      </c>
      <c r="B7" s="3536" t="s">
        <v>140</v>
      </c>
      <c r="G7" s="3590"/>
    </row>
    <row r="8" spans="7:7">
      <c r="G8" s="3590"/>
    </row>
    <row r="9" spans="1:2">
      <c r="A9" s="3593" t="s">
        <v>141</v>
      </c>
      <c r="B9" s="3536" t="s">
        <v>142</v>
      </c>
    </row>
    <row r="11" spans="1:2">
      <c r="A11" s="3594" t="s">
        <v>143</v>
      </c>
      <c r="B11" s="3595" t="s">
        <v>144</v>
      </c>
    </row>
    <row r="13" spans="1:1">
      <c r="A13" s="3596" t="s">
        <v>145</v>
      </c>
    </row>
    <row r="15" ht="14" spans="1:3">
      <c r="A15" s="3597" t="s">
        <v>146</v>
      </c>
      <c r="B15" s="3598" t="s">
        <v>147</v>
      </c>
      <c r="C15" s="3599"/>
    </row>
    <row r="16" ht="14" spans="1:3">
      <c r="A16" s="3600"/>
      <c r="B16" s="3598" t="s">
        <v>148</v>
      </c>
      <c r="C16" s="3599"/>
    </row>
    <row r="17" ht="14" spans="1:3">
      <c r="A17" s="3600"/>
      <c r="B17" s="3601" t="s">
        <v>149</v>
      </c>
      <c r="C17" s="3601" t="s">
        <v>146</v>
      </c>
    </row>
    <row r="18" ht="14" spans="1:3">
      <c r="A18" s="3600"/>
      <c r="B18" s="3601"/>
      <c r="C18" s="3601" t="s">
        <v>150</v>
      </c>
    </row>
    <row r="19" ht="14" spans="1:3">
      <c r="A19" s="3600"/>
      <c r="B19" s="3601"/>
      <c r="C19" s="3601" t="s">
        <v>151</v>
      </c>
    </row>
    <row r="20" ht="14" spans="1:3">
      <c r="A20" s="3602"/>
      <c r="B20" s="3603" t="s">
        <v>152</v>
      </c>
      <c r="C20" s="3599"/>
    </row>
    <row r="21" ht="14" spans="1:3">
      <c r="A21" s="3604" t="s">
        <v>153</v>
      </c>
      <c r="B21" s="3605"/>
      <c r="C21" s="3606"/>
    </row>
    <row r="22" ht="14" spans="1:3">
      <c r="A22" s="3607" t="s">
        <v>154</v>
      </c>
      <c r="B22" s="3603" t="s">
        <v>155</v>
      </c>
      <c r="C22" s="3599"/>
    </row>
    <row r="23" ht="14" spans="1:3">
      <c r="A23" s="3607"/>
      <c r="B23" s="3603" t="s">
        <v>156</v>
      </c>
      <c r="C23" s="3599"/>
    </row>
    <row r="24" ht="14" spans="1:3">
      <c r="A24" s="3607"/>
      <c r="B24" s="3603" t="s">
        <v>157</v>
      </c>
      <c r="C24" s="3599"/>
    </row>
    <row r="25" ht="14" spans="1:3">
      <c r="A25" s="3607"/>
      <c r="B25" s="3601" t="s">
        <v>158</v>
      </c>
      <c r="C25" s="3601" t="s">
        <v>159</v>
      </c>
    </row>
    <row r="26" ht="14" spans="1:3">
      <c r="A26" s="3607"/>
      <c r="B26" s="3601"/>
      <c r="C26" s="3601" t="s">
        <v>160</v>
      </c>
    </row>
    <row r="27" ht="14" spans="1:3">
      <c r="A27" s="3607"/>
      <c r="B27" s="3601"/>
      <c r="C27" s="3601" t="s">
        <v>161</v>
      </c>
    </row>
    <row r="28" ht="14" spans="1:3">
      <c r="A28" s="3607"/>
      <c r="B28" s="3601"/>
      <c r="C28" s="3601" t="s">
        <v>162</v>
      </c>
    </row>
    <row r="29" ht="14" spans="1:3">
      <c r="A29" s="3607"/>
      <c r="B29" s="3601"/>
      <c r="C29" s="3601" t="s">
        <v>163</v>
      </c>
    </row>
    <row r="30" ht="14" spans="1:3">
      <c r="A30" s="3607"/>
      <c r="B30" s="3601"/>
      <c r="C30" s="3601" t="s">
        <v>164</v>
      </c>
    </row>
    <row r="31" ht="14" spans="1:3">
      <c r="A31" s="3607"/>
      <c r="B31" s="3601"/>
      <c r="C31" s="3601" t="s">
        <v>165</v>
      </c>
    </row>
    <row r="32" ht="14" spans="1:3">
      <c r="A32" s="3607"/>
      <c r="B32" s="3601"/>
      <c r="C32" s="3601" t="s">
        <v>166</v>
      </c>
    </row>
    <row r="33" ht="14" spans="1:3">
      <c r="A33" s="3607"/>
      <c r="B33" s="3601"/>
      <c r="C33" s="3601" t="s">
        <v>167</v>
      </c>
    </row>
    <row r="34" spans="1:1">
      <c r="A34" s="3608" t="s">
        <v>168</v>
      </c>
    </row>
    <row r="37" spans="1:1">
      <c r="A37" s="3608" t="s">
        <v>169</v>
      </c>
    </row>
    <row r="38" ht="14" spans="1:1">
      <c r="A38" s="3609" t="s">
        <v>170</v>
      </c>
    </row>
    <row r="39" ht="14" spans="1:1">
      <c r="A39" s="3609" t="s">
        <v>171</v>
      </c>
    </row>
    <row r="40" ht="14" spans="1:1">
      <c r="A40" s="3609" t="s">
        <v>172</v>
      </c>
    </row>
    <row r="41" ht="14" spans="1:1">
      <c r="A41" s="3610" t="s">
        <v>173</v>
      </c>
    </row>
    <row r="42" ht="14" spans="1:1">
      <c r="A42" s="360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72727272727" defaultRowHeight="24" customHeight="1" outlineLevelCol="7"/>
  <cols>
    <col min="1" max="1" width="24.6272727272727" style="3555" customWidth="1"/>
    <col min="2" max="2" width="38.6272727272727" style="3555" customWidth="1"/>
    <col min="3" max="3" width="26" style="3555" customWidth="1"/>
    <col min="4" max="4" width="35" style="3555" hidden="1" customWidth="1"/>
    <col min="5" max="5" width="30.1272727272727" style="3555" customWidth="1"/>
    <col min="6" max="6" width="35.5" style="3555" customWidth="1"/>
    <col min="7" max="7" width="31" style="3555" customWidth="1"/>
    <col min="8" max="8" width="37.5" style="3555" hidden="1" customWidth="1"/>
    <col min="9" max="16384" width="22.6272727272727" style="3555"/>
  </cols>
  <sheetData>
    <row r="1" customHeight="1" spans="1:8">
      <c r="A1" s="3556"/>
      <c r="B1" s="3556"/>
      <c r="C1" s="3556"/>
      <c r="D1" s="3556"/>
      <c r="E1" s="3556"/>
      <c r="F1" s="3556"/>
      <c r="G1" s="3556"/>
      <c r="H1" s="3556"/>
    </row>
    <row r="2" customHeight="1" spans="1:8">
      <c r="A2" s="3557" t="s">
        <v>175</v>
      </c>
      <c r="B2" s="3558">
        <f ca="1">TODAY()</f>
        <v>45540</v>
      </c>
      <c r="C2" s="3559" t="s">
        <v>176</v>
      </c>
      <c r="D2" s="3559"/>
      <c r="E2" s="3559"/>
      <c r="F2" s="3556"/>
      <c r="G2" s="3556"/>
      <c r="H2" s="3556"/>
    </row>
    <row r="3" customHeight="1" spans="1:8">
      <c r="A3" s="3560" t="s">
        <v>177</v>
      </c>
      <c r="B3" s="3561" t="s">
        <v>178</v>
      </c>
      <c r="C3" s="3561" t="s">
        <v>179</v>
      </c>
      <c r="D3" s="3562" t="s">
        <v>180</v>
      </c>
      <c r="E3" s="3563" t="s">
        <v>181</v>
      </c>
      <c r="F3" s="3564" t="s">
        <v>182</v>
      </c>
      <c r="G3" s="3561" t="s">
        <v>179</v>
      </c>
      <c r="H3" s="3562" t="s">
        <v>183</v>
      </c>
    </row>
    <row r="4" customHeight="1" spans="1:8">
      <c r="A4" s="3564" t="s">
        <v>184</v>
      </c>
      <c r="B4" s="3564">
        <f ca="1">IF(C4&lt;B2,"已过期",1119970066)</f>
        <v>1119970066</v>
      </c>
      <c r="C4" s="3565">
        <v>45937</v>
      </c>
      <c r="D4" s="3566" t="str">
        <f ca="1">A4&amp;"（注册号："&amp;B4&amp;"）"</f>
        <v>梁津（注册号：1119970066）</v>
      </c>
      <c r="E4" s="3567" t="s">
        <v>184</v>
      </c>
      <c r="F4" s="3564">
        <f ca="1">IF(G4&lt;B2,"已过期",96010014)</f>
        <v>96010014</v>
      </c>
      <c r="G4" s="3568">
        <v>47118</v>
      </c>
      <c r="H4" s="3569" t="str">
        <f ca="1">E4&amp;"（注册号："&amp;F4&amp;"）"</f>
        <v>梁津（注册号：96010014）</v>
      </c>
    </row>
    <row r="5" customHeight="1" spans="1:8">
      <c r="A5" s="3564" t="s">
        <v>185</v>
      </c>
      <c r="B5" s="3564">
        <f ca="1">IF(C5&lt;B2,"已过期",1119970111)</f>
        <v>1119970111</v>
      </c>
      <c r="C5" s="3565">
        <v>45937</v>
      </c>
      <c r="D5" s="3566" t="str">
        <f ca="1" t="shared" ref="D5:D16" si="0">A5&amp;"（注册号："&amp;B5&amp;"）"</f>
        <v>叶凌（注册号：1119970111）</v>
      </c>
      <c r="E5" s="3567" t="s">
        <v>185</v>
      </c>
      <c r="F5" s="3564">
        <f ca="1">IF(G5&lt;B2,"已过期",94010078)</f>
        <v>94010078</v>
      </c>
      <c r="G5" s="3568">
        <v>46387</v>
      </c>
      <c r="H5" s="3569" t="str">
        <f ca="1" t="shared" ref="H5:H16" si="1">E5&amp;"（注册号："&amp;F5&amp;"）"</f>
        <v>叶凌（注册号：94010078）</v>
      </c>
    </row>
    <row r="6" customHeight="1" spans="1:8">
      <c r="A6" s="3564" t="s">
        <v>186</v>
      </c>
      <c r="B6" s="3564" t="str">
        <f ca="1">IF(C6&lt;B2,"已过期",1120050019)</f>
        <v>已过期</v>
      </c>
      <c r="C6" s="3565">
        <v>45410</v>
      </c>
      <c r="D6" s="3566" t="str">
        <f ca="1" t="shared" si="0"/>
        <v>王鹏（注册号：已过期）</v>
      </c>
      <c r="E6" s="3567" t="s">
        <v>186</v>
      </c>
      <c r="F6" s="3564">
        <f ca="1">IF(G6&lt;B2,"已过期",2002110030)</f>
        <v>2002110030</v>
      </c>
      <c r="G6" s="3568">
        <v>46387</v>
      </c>
      <c r="H6" s="3569" t="str">
        <f ca="1" t="shared" si="1"/>
        <v>王鹏（注册号：2002110030）</v>
      </c>
    </row>
    <row r="7" customHeight="1" spans="1:8">
      <c r="A7" s="3564" t="s">
        <v>187</v>
      </c>
      <c r="B7" s="3564">
        <f ca="1">IF(C7&lt;B2,"已过期",1120000080)</f>
        <v>1120000080</v>
      </c>
      <c r="C7" s="3565">
        <v>45937</v>
      </c>
      <c r="D7" s="3566" t="str">
        <f ca="1" t="shared" si="0"/>
        <v>欧红伟（注册号：1120000080）</v>
      </c>
      <c r="E7" s="3567" t="s">
        <v>187</v>
      </c>
      <c r="F7" s="3564">
        <f ca="1">IF(G7&lt;B2,"已过期",2000110082)</f>
        <v>2000110082</v>
      </c>
      <c r="G7" s="3568">
        <v>46387</v>
      </c>
      <c r="H7" s="3569" t="str">
        <f ca="1" t="shared" si="1"/>
        <v>欧红伟（注册号：2000110082）</v>
      </c>
    </row>
    <row r="8" customHeight="1" spans="1:8">
      <c r="A8" s="3564" t="s">
        <v>188</v>
      </c>
      <c r="B8" s="3564">
        <f ca="1">IF(C8&lt;B2,"已过期",1419970001)</f>
        <v>1419970001</v>
      </c>
      <c r="C8" s="3565">
        <v>45937</v>
      </c>
      <c r="D8" s="3566" t="str">
        <f ca="1" t="shared" si="0"/>
        <v>吴薇（注册号：1419970001）</v>
      </c>
      <c r="E8" s="3567" t="s">
        <v>188</v>
      </c>
      <c r="F8" s="3564">
        <f ca="1">IF(G8&lt;B2,"已过期",2002110125)</f>
        <v>2002110125</v>
      </c>
      <c r="G8" s="3568">
        <v>47118</v>
      </c>
      <c r="H8" s="3569" t="str">
        <f ca="1" t="shared" si="1"/>
        <v>吴薇（注册号：2002110125）</v>
      </c>
    </row>
    <row r="9" customHeight="1" spans="1:8">
      <c r="A9" s="3564" t="s">
        <v>189</v>
      </c>
      <c r="B9" s="3564">
        <f ca="1">IF(C9&lt;B2,"已过期",1120060040)</f>
        <v>1120060040</v>
      </c>
      <c r="C9" s="3570">
        <v>45592</v>
      </c>
      <c r="D9" s="3566" t="str">
        <f ca="1" t="shared" si="0"/>
        <v>陈颖（注册号：1120060040）</v>
      </c>
      <c r="E9" s="3567" t="s">
        <v>189</v>
      </c>
      <c r="F9" s="3564">
        <f ca="1">IF(G9&lt;B2,"已过期",2004110096)</f>
        <v>2004110096</v>
      </c>
      <c r="G9" s="3568">
        <v>47118</v>
      </c>
      <c r="H9" s="3569" t="str">
        <f ca="1" t="shared" si="1"/>
        <v>陈颖（注册号：2004110096）</v>
      </c>
    </row>
    <row r="10" customHeight="1" spans="1:8">
      <c r="A10" s="3564" t="s">
        <v>190</v>
      </c>
      <c r="B10" s="3564">
        <f ca="1">IF(C10&lt;B2,"已过期",1120100036)</f>
        <v>1120100036</v>
      </c>
      <c r="C10" s="3570">
        <v>45752</v>
      </c>
      <c r="D10" s="3566" t="str">
        <f ca="1" t="shared" si="0"/>
        <v>崔锴（注册号：1120100036）</v>
      </c>
      <c r="E10" s="3567" t="s">
        <v>190</v>
      </c>
      <c r="F10" s="3564">
        <f ca="1">IF(G10&lt;B2,"已过期",2010110070)</f>
        <v>2010110070</v>
      </c>
      <c r="G10" s="3568">
        <v>47907</v>
      </c>
      <c r="H10" s="3569" t="str">
        <f ca="1" t="shared" si="1"/>
        <v>崔锴（注册号：2010110070）</v>
      </c>
    </row>
    <row r="11" customHeight="1" spans="1:8">
      <c r="A11" s="3564" t="s">
        <v>191</v>
      </c>
      <c r="B11" s="3564">
        <f ca="1">IF(C11&lt;B2,"已过期",1120070131)</f>
        <v>1120070131</v>
      </c>
      <c r="C11" s="3565">
        <v>45937</v>
      </c>
      <c r="D11" s="3566" t="str">
        <f ca="1" t="shared" si="0"/>
        <v>郑燚（注册号：1120070131）</v>
      </c>
      <c r="E11" s="3567" t="s">
        <v>191</v>
      </c>
      <c r="F11" s="3564">
        <f ca="1">IF(G11&lt;B2,"已过期",2014110011)</f>
        <v>2014110011</v>
      </c>
      <c r="G11" s="3568">
        <v>49302</v>
      </c>
      <c r="H11" s="3569" t="str">
        <f ca="1" t="shared" si="1"/>
        <v>郑燚（注册号：2014110011）</v>
      </c>
    </row>
    <row r="12" customHeight="1" spans="1:8">
      <c r="A12" s="3564" t="s">
        <v>192</v>
      </c>
      <c r="B12" s="3564">
        <f ca="1">IF(C12&lt;B2,"已过期",1120040230)</f>
        <v>1120040230</v>
      </c>
      <c r="C12" s="3570">
        <v>45937</v>
      </c>
      <c r="D12" s="3566" t="str">
        <f ca="1" t="shared" si="0"/>
        <v>苏海（注册号：1120040230）</v>
      </c>
      <c r="E12" s="3567" t="s">
        <v>192</v>
      </c>
      <c r="F12" s="3564">
        <f ca="1">IF(G12&lt;B2,"已过期",98030020)</f>
        <v>98030020</v>
      </c>
      <c r="G12" s="3568">
        <v>47118</v>
      </c>
      <c r="H12" s="3569" t="str">
        <f ca="1" t="shared" si="1"/>
        <v>苏海（注册号：98030020）</v>
      </c>
    </row>
    <row r="13" customHeight="1" spans="1:8">
      <c r="A13" s="3564" t="s">
        <v>193</v>
      </c>
      <c r="B13" s="3564" t="str">
        <f ca="1">IF(C13&lt;B2,"已过期",1120020033)</f>
        <v>已过期</v>
      </c>
      <c r="C13" s="3565">
        <v>45375</v>
      </c>
      <c r="D13" s="3566" t="str">
        <f ca="1" t="shared" si="0"/>
        <v>刘敬东（注册号：已过期）</v>
      </c>
      <c r="E13" s="3567" t="s">
        <v>193</v>
      </c>
      <c r="F13" s="3564">
        <f ca="1">IF(G13&lt;B2,"已过期",2000110137)</f>
        <v>2000110137</v>
      </c>
      <c r="G13" s="3568">
        <v>46387</v>
      </c>
      <c r="H13" s="3569" t="str">
        <f ca="1" t="shared" si="1"/>
        <v>刘敬东（注册号：2000110137）</v>
      </c>
    </row>
    <row r="14" customHeight="1" spans="1:8">
      <c r="A14" s="3564" t="s">
        <v>194</v>
      </c>
      <c r="B14" s="3564" t="str">
        <f ca="1">IF(C14&lt;B2,"已过期",1119980106)</f>
        <v>已过期</v>
      </c>
      <c r="C14" s="3570">
        <v>44969</v>
      </c>
      <c r="D14" s="3566" t="str">
        <f ca="1" t="shared" si="0"/>
        <v>刘俊财（注册号：已过期）</v>
      </c>
      <c r="E14" s="3567" t="s">
        <v>194</v>
      </c>
      <c r="F14" s="3564">
        <f ca="1">IF(G14&lt;B2,"已过期",96010063)</f>
        <v>96010063</v>
      </c>
      <c r="G14" s="3568">
        <v>47483</v>
      </c>
      <c r="H14" s="3569" t="str">
        <f ca="1" t="shared" si="1"/>
        <v>刘俊财（注册号：96010063）</v>
      </c>
    </row>
    <row r="15" customHeight="1" spans="1:8">
      <c r="A15" s="3564" t="s">
        <v>195</v>
      </c>
      <c r="B15" s="3564">
        <v>1120210056</v>
      </c>
      <c r="C15" s="3570">
        <v>45410</v>
      </c>
      <c r="D15" s="3566" t="str">
        <f t="shared" si="0"/>
        <v>宁小鳗（注册号：1120210056）</v>
      </c>
      <c r="E15" s="3567" t="s">
        <v>196</v>
      </c>
      <c r="F15" s="3564">
        <f ca="1">IF(G15&lt;B2,"已过期",2011110090)</f>
        <v>2011110090</v>
      </c>
      <c r="G15" s="3568">
        <v>48302</v>
      </c>
      <c r="H15" s="3569" t="str">
        <f ca="1" t="shared" si="1"/>
        <v>赵雯（注册号：2011110090）</v>
      </c>
    </row>
    <row r="16" s="3553" customFormat="1" customHeight="1" spans="1:8">
      <c r="A16" s="3564"/>
      <c r="B16" s="3564"/>
      <c r="C16" s="3564"/>
      <c r="D16" s="3566" t="str">
        <f t="shared" si="0"/>
        <v>（注册号：）</v>
      </c>
      <c r="E16" s="3567"/>
      <c r="F16" s="3564"/>
      <c r="G16" s="3564"/>
      <c r="H16" s="3571" t="str">
        <f t="shared" si="1"/>
        <v>（注册号：）</v>
      </c>
    </row>
    <row r="17" customHeight="1" spans="1:8">
      <c r="A17" s="3572" t="s">
        <v>197</v>
      </c>
      <c r="B17" s="3572"/>
      <c r="C17" s="3572"/>
      <c r="D17" s="3572"/>
      <c r="E17" s="3572"/>
      <c r="F17" s="3572"/>
      <c r="G17" s="3572"/>
      <c r="H17" s="3572"/>
    </row>
    <row r="18" customHeight="1" spans="1:7">
      <c r="A18" s="3561" t="s">
        <v>198</v>
      </c>
      <c r="B18" s="3561"/>
      <c r="C18" s="3561"/>
      <c r="D18" s="3562"/>
      <c r="E18" s="3573" t="s">
        <v>199</v>
      </c>
      <c r="F18" s="3561"/>
      <c r="G18" s="3561"/>
    </row>
    <row r="19" s="3554" customFormat="1" customHeight="1" spans="1:7">
      <c r="A19" s="3574" t="s">
        <v>200</v>
      </c>
      <c r="B19" s="3561" t="s">
        <v>201</v>
      </c>
      <c r="C19" s="3561" t="s">
        <v>179</v>
      </c>
      <c r="D19" s="3562"/>
      <c r="E19" s="3567" t="s">
        <v>200</v>
      </c>
      <c r="F19" s="3561" t="s">
        <v>201</v>
      </c>
      <c r="G19" s="3561" t="s">
        <v>179</v>
      </c>
    </row>
    <row r="20" s="3554" customFormat="1" customHeight="1" spans="1:7">
      <c r="A20" s="3575" t="s">
        <v>202</v>
      </c>
      <c r="B20" s="3575" t="s">
        <v>203</v>
      </c>
      <c r="C20" s="3568">
        <v>45898</v>
      </c>
      <c r="D20" s="3576"/>
      <c r="E20" s="3577" t="s">
        <v>204</v>
      </c>
      <c r="F20" s="3578" t="s">
        <v>205</v>
      </c>
      <c r="G20" s="3579">
        <v>44926</v>
      </c>
    </row>
    <row r="21" s="3554" customFormat="1" customHeight="1" spans="1:7">
      <c r="A21" s="3575"/>
      <c r="B21" s="3575"/>
      <c r="C21" s="3580"/>
      <c r="D21" s="3581"/>
      <c r="E21" s="3577"/>
      <c r="F21" s="3578"/>
      <c r="G21" s="3579"/>
    </row>
    <row r="22" customHeight="1" spans="3:7">
      <c r="C22" s="3582"/>
      <c r="D22" s="3582"/>
      <c r="E22" s="3583"/>
      <c r="F22" s="3584"/>
      <c r="G22" s="358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34" master="" otherUserPermission="visible"/>
  <rangeList sheetStid="15" master="" otherUserPermission="visible"/>
  <rangeList sheetStid="6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77" master="" otherUserPermission="visible"/>
  <rangeList sheetStid="40" master="" otherUserPermission="visible"/>
  <rangeList sheetStid="31" master="" otherUserPermission="visible"/>
  <rangeList sheetStid="76" master="" otherUserPermission="visible"/>
  <rangeList sheetStid="43" master="" otherUserPermission="visible"/>
  <rangeList sheetStid="81" master="" otherUserPermission="visible"/>
  <rangeList sheetStid="80"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收益法</vt:lpstr>
      <vt:lpstr>收益法 (元)</vt:lpstr>
      <vt:lpstr>收益法（汇总）</vt:lpstr>
      <vt:lpstr>比较法-住宅</vt:lpstr>
      <vt:lpstr>比较法-商业</vt:lpstr>
      <vt:lpstr>比较法-工业</vt:lpstr>
      <vt:lpstr>比较法-车位</vt:lpstr>
      <vt:lpstr>比较法-仓储</vt:lpstr>
      <vt:lpstr>土地比较法-住宅、综合</vt:lpstr>
      <vt:lpstr>收益法-酒店模型</vt:lpstr>
      <vt:lpstr>土地比较法-工业</vt:lpstr>
      <vt:lpstr>典型户型修正</vt:lpstr>
      <vt:lpstr>基准地价（汇总）</vt:lpstr>
      <vt:lpstr>基准地价修正</vt:lpstr>
      <vt:lpstr>比较法-办公租金</vt:lpstr>
      <vt:lpstr>Sheet1</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2024-09-05T08:36:53Z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97599941FF794427A13EF1E741176B03_12</vt:lpwstr>
  </property>
  <property fmtid="{D5CDD505-2E9C-101B-9397-08002B2CF9AE}" pid="3" name="KSOProductBuildVer">
    <vt:lpwstr>2052-12.1.0.17857</vt:lpwstr>
  </property>
</Properties>
</file>