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320"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<sst xmlns="http://schemas.openxmlformats.org/spreadsheetml/2006/main" count="8340" uniqueCount="2808">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</sst>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quot;年&quot;m&quot;月&quot;;@"/>
    <numFmt numFmtId="178" formatCode="[DBNum1][$-804]yyyy&quot;年&quot;m&quot;月&quot;d&quot;日&quot;;@"/>
    <numFmt numFmtId="179" formatCode="yyyy/m/d;@"/>
    <numFmt numFmtId="180" formatCode="0.00_ "/>
    <numFmt numFmtId="181" formatCode="0.000%"/>
    <numFmt numFmtId="182" formatCode="0_ "/>
    <numFmt numFmtId="183" formatCode="0.0_);[Red]\(0.0\)"/>
    <numFmt numFmtId="184" formatCode="0.000_ "/>
    <numFmt numFmtId="185" formatCode="0_);[Red]\(0\)"/>
    <numFmt numFmtId="186" formatCode="0.0_ "/>
    <numFmt numFmtId="187" formatCode="0.0000%"/>
    <numFmt numFmtId="188" formatCode="0.00_);[Red]\(0.00\)"/>
    <numFmt numFmtId="189" formatCode="0.0000_ "/>
    <numFmt numFmtId="190" formatCode="yyyy&quot;年&quot;m&quot;月&quot;d&quot;日&quot;;@"/>
    <numFmt numFmtId="191" formatCode="0.000_);[Red]\(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4"/>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3" fontId="81" fillId="2" borderId="38" xfId="0" applyNumberFormat="1" applyFont="1" applyFill="1" applyBorder="1" applyAlignment="1" applyProtection="1">
      <alignment horizontal="center" vertical="center"/>
    </xf>
    <xf numFmtId="17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3" fontId="81" fillId="2" borderId="0" xfId="0" applyNumberFormat="1" applyFont="1" applyFill="1" applyBorder="1" applyAlignment="1" applyProtection="1">
      <alignment horizontal="center" vertical="center"/>
      <protection locked="0"/>
    </xf>
    <xf numFmtId="17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3"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3"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3"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3"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3"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7" fontId="71" fillId="2" borderId="95" xfId="0" applyNumberFormat="1"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xf>
    <xf numFmtId="17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3"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protection locked="0"/>
    </xf>
    <xf numFmtId="17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3" fontId="63" fillId="12" borderId="14" xfId="0" applyNumberFormat="1" applyFont="1" applyFill="1" applyBorder="1" applyAlignment="1" applyProtection="1">
      <alignment horizontal="center" vertical="center"/>
      <protection locked="0"/>
    </xf>
    <xf numFmtId="18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0"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76" fontId="25" fillId="0" borderId="150"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0"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0"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3"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3" fontId="71" fillId="2" borderId="84" xfId="0" applyNumberFormat="1" applyFont="1" applyFill="1" applyBorder="1" applyAlignment="1" applyProtection="1">
      <alignment horizontal="center" vertical="center" wrapText="1"/>
    </xf>
    <xf numFmtId="18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3"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7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8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估价对象为北京市房地产，为所有。根据《国有土地使用证》[]，估价对象（分摊）出让国有建设用地使用权面积为0平方米，建筑面积为197.18平方米。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估价对象为北京市房地产,属开发建设的，该项目尚在开发建设中。根据《国有土地使用证》[]，估价对象（分摊）出让国有建设用地使用权面积为0平方米，规划建筑面积为197.18平方米。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2023年10月9日</v>
      </c>
    </row>
    <row r="13" s="3699" customFormat="1" spans="1:2">
      <c r="A13" s="3707" t="s">
        <v>13</v>
      </c>
      <c r="B13" s="3708"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197.18</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45208</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3.19</v>
      </c>
      <c r="D5" s="3498">
        <f>IF(ISERROR(ROUND(POWER(1+E5,A5-C5)*(POWER(1+E5,C5)-1)/(POWER(1+E5,A5)-1),3)),0,ROUND(POWER(1+E5,A5-C5)*(POWER(1+E5,C5)-1)/(POWER(1+E5,A5)-1),4))</f>
        <v>0.1485</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33.21</v>
      </c>
      <c r="D7" s="3498">
        <f>IF(ISERROR(ROUND(POWER(1+E7,A7-C7)*(POWER(1+E7,C7)-1)/(POWER(1+E7,A7)-1),3)),0,ROUND(POWER(1+E7,A7-C7)*(POWER(1+E7,C7)-1)/(POWER(1+E7,A7)-1),4))</f>
        <v>0.7781</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4" t="s">
        <v>427</v>
      </c>
      <c r="B3" s="3343"/>
      <c r="C3" s="3344" t="s">
        <v>428</v>
      </c>
      <c r="D3" s="3343">
        <v>45208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28"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47"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v>55984</v>
      </c>
      <c r="E13" s="3385"/>
      <c r="F13" s="3385"/>
      <c r="G13" s="3385"/>
      <c r="H13" s="3385"/>
      <c r="I13" s="3385"/>
      <c r="J13" s="3464"/>
      <c r="K13" s="3456"/>
      <c r="L13" s="3456"/>
      <c r="M13" s="2927"/>
      <c r="N13" s="3457"/>
      <c r="O13" s="2927"/>
      <c r="P13" s="2927"/>
      <c r="Q13" s="2927"/>
      <c r="AD13" s="2943"/>
    </row>
    <row r="14" spans="1:30">
      <c r="A14" s="2033"/>
      <c r="B14" s="3384" t="s">
        <v>452</v>
      </c>
      <c r="C14" s="3386"/>
      <c r="D14" s="3386">
        <v>40</v>
      </c>
      <c r="E14" s="3386"/>
      <c r="F14" s="3386"/>
      <c r="G14" s="3386"/>
      <c r="H14" s="3386"/>
      <c r="I14" s="3386"/>
      <c r="J14" s="3465"/>
      <c r="K14" s="3456"/>
      <c r="L14" s="3456"/>
      <c r="M14" s="2927"/>
      <c r="N14" s="3457"/>
      <c r="O14" s="2927"/>
      <c r="P14" s="2927"/>
      <c r="Q14" s="2927"/>
      <c r="AD14" s="2943"/>
    </row>
    <row r="15" spans="1:30">
      <c r="A15" s="2040"/>
      <c r="B15" s="3387" t="s">
        <v>453</v>
      </c>
      <c r="C15" s="3388" t="str">
        <f>IF(A13="出让",IF(C13="","",ROUNDDOWN(MIN((C13-$D$3)/365,C14),2)),C14)</f>
        <v/>
      </c>
      <c r="D15" s="3388">
        <f>IF(A13="出让",IF(D13="","",ROUNDDOWN(MIN((D13-$D$3)/365,D14),2)),D14)</f>
        <v>29.52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17" t="s">
        <v>456</v>
      </c>
      <c r="B17" s="2004" t="s">
        <v>457</v>
      </c>
      <c r="C17" s="1051">
        <f>'数据-汇总表'!E3</f>
        <v>197.18</v>
      </c>
      <c r="D17" s="2060"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28" t="s">
        <v>461</v>
      </c>
      <c r="C18" s="3398">
        <f>'数据-汇总表'!D3</f>
        <v>0</v>
      </c>
      <c r="D18" s="2053"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70" t="s">
        <v>463</v>
      </c>
      <c r="B19" s="2009"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69"/>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69"/>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33" t="s">
        <v>481</v>
      </c>
      <c r="B27" s="2040"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33"/>
      <c r="B28" s="2004"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33"/>
      <c r="B29" s="2004"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40"/>
      <c r="B30" s="2004"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60"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60"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15"/>
      <c r="E33" s="3440"/>
      <c r="F33" s="3048"/>
      <c r="G33" s="3048"/>
      <c r="H33" s="3048"/>
      <c r="I33" s="3048"/>
      <c r="J33" s="2927"/>
      <c r="K33" s="3458"/>
      <c r="L33" s="3456"/>
      <c r="M33" s="3456"/>
      <c r="N33" s="2927"/>
      <c r="O33" s="3457"/>
      <c r="P33" s="2927"/>
      <c r="Q33" s="2927"/>
      <c r="R33" s="2927"/>
      <c r="S33" s="2927"/>
      <c r="T33" s="2927"/>
      <c r="U33" s="2927"/>
      <c r="V33" s="2927"/>
    </row>
    <row r="34" spans="1:22">
      <c r="A34" s="2004" t="s">
        <v>487</v>
      </c>
      <c r="B34" s="608"/>
      <c r="C34" s="608"/>
      <c r="D34" s="608"/>
      <c r="E34" s="608"/>
      <c r="F34" s="608"/>
      <c r="G34" s="608"/>
      <c r="H34" s="608"/>
      <c r="I34" s="3048"/>
      <c r="J34" s="2927"/>
      <c r="K34" s="1051">
        <f>COUNTIF(B34:H34,"——")</f>
        <v>0</v>
      </c>
      <c r="L34" s="2047" t="s">
        <v>488</v>
      </c>
      <c r="M34" s="2047" t="s">
        <v>489</v>
      </c>
      <c r="N34" s="2047" t="s">
        <v>490</v>
      </c>
      <c r="O34" s="2047" t="s">
        <v>491</v>
      </c>
      <c r="P34" s="2047" t="s">
        <v>492</v>
      </c>
      <c r="Q34" s="2047" t="s">
        <v>493</v>
      </c>
      <c r="R34" s="2047" t="s">
        <v>494</v>
      </c>
      <c r="S34" s="1051" t="s">
        <v>495</v>
      </c>
      <c r="T34" s="2047" t="str">
        <f>NUMBERSTRING(7-K34,1)&amp;"通"</f>
        <v>七通</v>
      </c>
      <c r="U34" s="2927"/>
      <c r="V34" s="2927"/>
    </row>
    <row r="35" spans="1:22">
      <c r="A35" s="3441"/>
      <c r="B35" s="1109" t="s">
        <v>496</v>
      </c>
      <c r="C35" s="1109"/>
      <c r="D35" s="1109"/>
      <c r="E35" s="1109"/>
      <c r="F35" s="1109">
        <f>C10</f>
        <v>0</v>
      </c>
      <c r="G35" s="3048"/>
      <c r="H35" s="3048"/>
      <c r="I35" s="3048"/>
      <c r="J35" s="2927"/>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1051"/>
      <c r="T35" s="2049"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47"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197.18</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60" t="s">
        <v>526</v>
      </c>
      <c r="B5" s="2514"/>
      <c r="C5" s="2514"/>
      <c r="D5" s="2668"/>
      <c r="E5" s="3250" t="s">
        <v>124</v>
      </c>
      <c r="F5" s="3250">
        <f>SUM(F13:F587)</f>
        <v>0</v>
      </c>
      <c r="G5" s="3250">
        <f>SUM(G13:G587)</f>
        <v>197.18</v>
      </c>
      <c r="H5" s="3250">
        <f t="shared" ref="H5:AT5" si="0">SUM(H13:H656)</f>
        <v>197.18</v>
      </c>
      <c r="I5" s="3250">
        <f t="shared" si="0"/>
        <v>197.18</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60" t="s">
        <v>526</v>
      </c>
      <c r="AW5" s="2514"/>
      <c r="AX5" s="2514"/>
      <c r="AY5" s="3309" t="s">
        <v>124</v>
      </c>
      <c r="AZ5" s="3310">
        <f t="shared" ref="AZ5:BT5" si="1">SUM(AZ13:AZ656)</f>
        <v>197.18</v>
      </c>
      <c r="BA5" s="3310">
        <f t="shared" si="1"/>
        <v>197.18</v>
      </c>
      <c r="BB5" s="3310">
        <f t="shared" si="1"/>
        <v>197.18</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60"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60"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4"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2" t="s">
        <v>537</v>
      </c>
      <c r="AD8" s="3286"/>
      <c r="AE8" s="3287"/>
      <c r="AF8" s="1050"/>
      <c r="AG8" s="1050"/>
      <c r="AH8" s="1050"/>
      <c r="AI8" s="1050"/>
      <c r="AJ8" s="1050"/>
      <c r="AK8" s="1050"/>
      <c r="AL8" s="1050"/>
      <c r="AM8" s="1050"/>
      <c r="AN8" s="1050"/>
      <c r="AO8" s="1050"/>
      <c r="AP8" s="1050"/>
      <c r="AQ8" s="1050"/>
      <c r="AR8" s="1050"/>
      <c r="AS8" s="1050"/>
      <c r="AT8" s="1996" t="s">
        <v>538</v>
      </c>
      <c r="AU8" s="3256" t="s">
        <v>539</v>
      </c>
      <c r="AV8" s="1996"/>
      <c r="AW8" s="2602"/>
      <c r="AX8" s="1996"/>
      <c r="AY8" s="2654"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5"/>
    </row>
    <row r="9" s="2946" customFormat="1" ht="13.2" spans="1:72">
      <c r="A9" s="3256"/>
      <c r="B9" s="3256"/>
      <c r="C9" s="3256"/>
      <c r="D9" s="3256"/>
      <c r="E9" s="3256"/>
      <c r="F9" s="3256"/>
      <c r="G9" s="1996"/>
      <c r="H9" s="3259" t="s">
        <v>540</v>
      </c>
      <c r="I9" s="3277" t="s">
        <v>541</v>
      </c>
      <c r="J9" s="2432"/>
      <c r="K9" s="3277"/>
      <c r="L9" s="2432"/>
      <c r="M9" s="3277"/>
      <c r="N9" s="2432"/>
      <c r="O9" s="3277"/>
      <c r="P9" s="2432"/>
      <c r="Q9" s="3277"/>
      <c r="R9" s="2432"/>
      <c r="S9" s="3277"/>
      <c r="T9" s="2432"/>
      <c r="U9" s="3277"/>
      <c r="V9" s="2432"/>
      <c r="W9" s="3277"/>
      <c r="X9" s="3284"/>
      <c r="Y9" s="3277"/>
      <c r="Z9" s="2432"/>
      <c r="AA9" s="3277"/>
      <c r="AB9" s="2432"/>
      <c r="AC9" s="3257" t="s">
        <v>540</v>
      </c>
      <c r="AD9" s="2160" t="s">
        <v>542</v>
      </c>
      <c r="AE9" s="2010"/>
      <c r="AF9" s="2160" t="s">
        <v>543</v>
      </c>
      <c r="AG9" s="2010"/>
      <c r="AH9" s="2160" t="s">
        <v>542</v>
      </c>
      <c r="AI9" s="2010"/>
      <c r="AJ9" s="2160" t="s">
        <v>543</v>
      </c>
      <c r="AK9" s="2010"/>
      <c r="AL9" s="2160" t="s">
        <v>542</v>
      </c>
      <c r="AM9" s="2010"/>
      <c r="AN9" s="2160" t="s">
        <v>543</v>
      </c>
      <c r="AO9" s="2010"/>
      <c r="AP9" s="2160" t="s">
        <v>542</v>
      </c>
      <c r="AQ9" s="2010"/>
      <c r="AR9" s="2160" t="s">
        <v>543</v>
      </c>
      <c r="AS9" s="3297"/>
      <c r="AT9" s="3256"/>
      <c r="AU9" s="3256" t="s">
        <v>544</v>
      </c>
      <c r="AV9" s="1996"/>
      <c r="AW9" s="2602"/>
      <c r="AX9" s="1996"/>
      <c r="AY9" s="3260"/>
      <c r="AZ9" s="3260" t="s">
        <v>535</v>
      </c>
      <c r="BA9" s="3312" t="s">
        <v>545</v>
      </c>
      <c r="BB9" s="3313"/>
      <c r="BC9" s="2057"/>
      <c r="BD9" s="2057"/>
      <c r="BE9" s="2057"/>
      <c r="BF9" s="2057"/>
      <c r="BG9" s="2057"/>
      <c r="BH9" s="2057"/>
      <c r="BI9" s="2057"/>
      <c r="BJ9" s="2057"/>
      <c r="BK9" s="3318"/>
      <c r="BL9" s="2160" t="s">
        <v>546</v>
      </c>
      <c r="BM9" s="1050"/>
      <c r="BN9" s="3276"/>
      <c r="BO9" s="1050"/>
      <c r="BP9" s="1050"/>
      <c r="BQ9" s="1050"/>
      <c r="BR9" s="1050"/>
      <c r="BS9" s="1050"/>
      <c r="BT9" s="2045"/>
    </row>
    <row r="10" s="2946" customFormat="1" ht="13.2" spans="1:72">
      <c r="A10" s="3256"/>
      <c r="B10" s="3256"/>
      <c r="C10" s="3256"/>
      <c r="D10" s="3256"/>
      <c r="E10" s="3256"/>
      <c r="F10" s="3256"/>
      <c r="G10" s="1996"/>
      <c r="H10" s="3260"/>
      <c r="I10" s="3277" t="s">
        <v>547</v>
      </c>
      <c r="J10" s="2432"/>
      <c r="K10" s="3278"/>
      <c r="L10" s="2432"/>
      <c r="M10" s="3278"/>
      <c r="N10" s="2432"/>
      <c r="O10" s="3278"/>
      <c r="P10" s="2432"/>
      <c r="Q10" s="3278"/>
      <c r="R10" s="2432"/>
      <c r="S10" s="3278"/>
      <c r="T10" s="2432"/>
      <c r="U10" s="3278"/>
      <c r="V10" s="2432"/>
      <c r="W10" s="3278"/>
      <c r="X10" s="2432"/>
      <c r="Y10" s="3278"/>
      <c r="Z10" s="2432"/>
      <c r="AA10" s="3278"/>
      <c r="AB10" s="2432"/>
      <c r="AC10" s="1996"/>
      <c r="AD10" s="2160" t="s">
        <v>548</v>
      </c>
      <c r="AE10" s="3288"/>
      <c r="AF10" s="2160" t="s">
        <v>548</v>
      </c>
      <c r="AG10" s="3288"/>
      <c r="AH10" s="2160" t="s">
        <v>549</v>
      </c>
      <c r="AI10" s="3288"/>
      <c r="AJ10" s="2160" t="s">
        <v>549</v>
      </c>
      <c r="AK10" s="3288"/>
      <c r="AL10" s="2160" t="s">
        <v>550</v>
      </c>
      <c r="AM10" s="2010"/>
      <c r="AN10" s="2160" t="s">
        <v>550</v>
      </c>
      <c r="AO10" s="2010"/>
      <c r="AP10" s="2160" t="s">
        <v>551</v>
      </c>
      <c r="AQ10" s="2010"/>
      <c r="AR10" s="2160" t="s">
        <v>551</v>
      </c>
      <c r="AS10" s="2010"/>
      <c r="AT10" s="3256"/>
      <c r="AU10" s="3256"/>
      <c r="AV10" s="1996"/>
      <c r="AW10" s="2602"/>
      <c r="AX10" s="1996"/>
      <c r="AY10" s="3260"/>
      <c r="AZ10" s="3260"/>
      <c r="BA10" s="3261" t="s">
        <v>540</v>
      </c>
      <c r="BB10" s="3314" t="str">
        <f>I9</f>
        <v>地上</v>
      </c>
      <c r="BC10" s="2069">
        <f>K9</f>
        <v>0</v>
      </c>
      <c r="BD10" s="2069">
        <f>M9</f>
        <v>0</v>
      </c>
      <c r="BE10" s="2069">
        <f>O9</f>
        <v>0</v>
      </c>
      <c r="BF10" s="2069">
        <f>Q9</f>
        <v>0</v>
      </c>
      <c r="BG10" s="2069">
        <f>S9</f>
        <v>0</v>
      </c>
      <c r="BH10" s="2069">
        <f>U9</f>
        <v>0</v>
      </c>
      <c r="BI10" s="2069">
        <f>W9</f>
        <v>0</v>
      </c>
      <c r="BJ10" s="2069">
        <f>Y9</f>
        <v>0</v>
      </c>
      <c r="BK10" s="2069">
        <f>AA9</f>
        <v>0</v>
      </c>
      <c r="BL10" s="2065" t="s">
        <v>540</v>
      </c>
      <c r="BM10" s="1049" t="str">
        <f>AD9</f>
        <v>地上</v>
      </c>
      <c r="BN10" s="2069" t="str">
        <f>AF9</f>
        <v>地下</v>
      </c>
      <c r="BO10" s="1049" t="str">
        <f>AH9</f>
        <v>地上</v>
      </c>
      <c r="BP10" s="2069" t="str">
        <f>AJ9</f>
        <v>地下</v>
      </c>
      <c r="BQ10" s="1049" t="str">
        <f>AL9</f>
        <v>地上</v>
      </c>
      <c r="BR10" s="2069" t="str">
        <f>AN9</f>
        <v>地下</v>
      </c>
      <c r="BS10" s="1049" t="str">
        <f>AP9</f>
        <v>地上</v>
      </c>
      <c r="BT10" s="3322" t="str">
        <f>AR9</f>
        <v>地下</v>
      </c>
    </row>
    <row r="11" s="2946" customFormat="1" ht="13.2" spans="1:72">
      <c r="A11" s="3256"/>
      <c r="B11" s="3256"/>
      <c r="C11" s="3256"/>
      <c r="D11" s="3256"/>
      <c r="E11" s="3256"/>
      <c r="F11" s="3256"/>
      <c r="G11" s="199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1996"/>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1996"/>
      <c r="AW11" s="2602"/>
      <c r="AX11" s="1996"/>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199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5"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1996"/>
      <c r="BM12" s="1049" t="str">
        <f>AD11</f>
        <v>（住宅）</v>
      </c>
      <c r="BN12" s="1049" t="str">
        <f>AF11</f>
        <v>（住宅）</v>
      </c>
      <c r="BO12" s="1048" t="str">
        <f>AH11</f>
        <v>（住宅、计出让金）</v>
      </c>
      <c r="BP12" s="1048" t="str">
        <f>AJ11</f>
        <v>（住宅、计出让金）</v>
      </c>
      <c r="BQ12" s="1048">
        <f>AL11</f>
        <v>0</v>
      </c>
      <c r="BR12" s="1048">
        <f>AN11</f>
        <v>0</v>
      </c>
      <c r="BS12" s="2065">
        <f>AP11</f>
        <v>0</v>
      </c>
      <c r="BT12" s="3323">
        <f>AR11</f>
        <v>0</v>
      </c>
    </row>
    <row r="13" s="3235" customFormat="1" ht="13.2" spans="1:72">
      <c r="A13" s="3264"/>
      <c r="B13" s="3264"/>
      <c r="C13" s="3264"/>
      <c r="D13" s="3265" t="s">
        <v>556</v>
      </c>
      <c r="E13" s="3250">
        <f>IF($C$3="是",ROUND($A$3*G13/$B$3,2),ROUND($A$3*(G13-AT13)/$B$3,2))</f>
        <v>0</v>
      </c>
      <c r="F13" s="3266"/>
      <c r="G13" s="3267">
        <f>H13+AC13+AT13</f>
        <v>197.18</v>
      </c>
      <c r="H13" s="3253">
        <f>SUMIF(I$12:AB$12,"总值",I13:AB13)</f>
        <v>197.18</v>
      </c>
      <c r="I13" s="3281">
        <v>197.18</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197.18</v>
      </c>
      <c r="BA13" s="3250">
        <f>SUM(BB13:BK13)</f>
        <v>197.18</v>
      </c>
      <c r="BB13" s="3250">
        <f>IF($D13="是",I13-J13,0)</f>
        <v>197.18</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63" sqref="F63"/>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557</v>
      </c>
      <c r="B1" s="2588"/>
      <c r="C1" s="2588"/>
      <c r="D1" s="2588"/>
      <c r="E1" s="2588"/>
      <c r="F1" s="2588"/>
      <c r="G1" s="2588"/>
      <c r="H1" s="2588"/>
      <c r="I1" s="2588"/>
      <c r="J1" s="2588"/>
      <c r="K1" s="2588"/>
      <c r="L1" s="2588"/>
      <c r="M1" s="2588"/>
      <c r="N1" s="2588"/>
      <c r="O1" s="2588"/>
      <c r="P1" s="2588"/>
    </row>
    <row r="2" ht="14.4" spans="1:16">
      <c r="A2" s="2417" t="s">
        <v>558</v>
      </c>
      <c r="B2" s="2417"/>
      <c r="C2" s="2417"/>
      <c r="D2" s="2417"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197.18</v>
      </c>
      <c r="F3" s="3143"/>
      <c r="G3" s="3148"/>
      <c r="H3" s="2535"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5"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5" t="s">
        <v>563</v>
      </c>
      <c r="I5" s="3211" t="e">
        <f>ROUND(E31/D31,2)</f>
        <v>#DIV/0!</v>
      </c>
      <c r="J5" s="3143"/>
      <c r="K5" s="3143"/>
      <c r="L5" s="3143"/>
      <c r="M5" s="3143"/>
      <c r="N5" s="3143"/>
      <c r="O5" s="3143"/>
      <c r="P5" s="3143"/>
    </row>
    <row r="6" ht="15.15" spans="1:16">
      <c r="A6" s="3156"/>
      <c r="B6" s="1377" t="s">
        <v>568</v>
      </c>
      <c r="C6" s="1377"/>
      <c r="D6" s="3154">
        <f>ROUND($D$3*E6/$E$3,2)</f>
        <v>0</v>
      </c>
      <c r="E6" s="3155">
        <f>E3-E5</f>
        <v>197.18</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v>2.5</v>
      </c>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197.18</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197.18</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2"/>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5" t="s">
        <v>594</v>
      </c>
      <c r="S18" s="2535" t="s">
        <v>595</v>
      </c>
    </row>
    <row r="19" ht="14.4" spans="1:19">
      <c r="A19" s="3185"/>
      <c r="B19" s="3165" t="s">
        <v>599</v>
      </c>
      <c r="C19" s="3186" t="s">
        <v>600</v>
      </c>
      <c r="D19" s="3154">
        <f>ROUND($D$3*E19/$E$3,2)</f>
        <v>0</v>
      </c>
      <c r="E19" s="3187">
        <f t="shared" ref="E19:E26" si="1">SUM(F19:G19)</f>
        <v>197.18</v>
      </c>
      <c r="F19" s="3188">
        <f>'数据-基础表'!I13</f>
        <v>197.18</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197.18</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601</v>
      </c>
      <c r="D27" s="3195">
        <f>SUM(D19:D26)</f>
        <v>0</v>
      </c>
      <c r="E27" s="3196">
        <f>IF(SUM(E19:E26)='数据-基础表'!BA5,SUM(E19:E26),IF(F27="地上面积有误","面积有误","地下面积有误"))</f>
        <v>197.18</v>
      </c>
      <c r="F27" s="3195">
        <f>IF(SUM(F19:F26)=E8,SUM(F19:F26),"地上面积有误")</f>
        <v>197.18</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197.18</v>
      </c>
    </row>
    <row r="28" ht="14.4" spans="1:16">
      <c r="A28" s="3190"/>
      <c r="B28" s="3165" t="s">
        <v>602</v>
      </c>
      <c r="C28" s="3110" t="s">
        <v>603</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6"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605</v>
      </c>
      <c r="D31" s="3205">
        <f>D27+D30</f>
        <v>0</v>
      </c>
      <c r="E31" s="3205">
        <f>E27+E30</f>
        <v>197.18</v>
      </c>
      <c r="F31" s="3206">
        <f>F27+F30</f>
        <v>197.18</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I24" sqref="I24"/>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607</v>
      </c>
      <c r="B1" s="2948"/>
      <c r="C1" s="2083"/>
      <c r="D1" s="2949"/>
      <c r="E1" s="2083"/>
      <c r="F1" s="2083"/>
      <c r="G1" s="2083"/>
      <c r="H1" s="2083"/>
      <c r="I1" s="2083"/>
      <c r="J1" s="2083"/>
      <c r="K1" s="1038"/>
      <c r="L1" s="1038"/>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400"/>
      <c r="AO1" s="2400"/>
      <c r="AP1" s="2400"/>
      <c r="AQ1" s="2400"/>
      <c r="AR1" s="2400"/>
    </row>
    <row r="2" s="2939" customFormat="1" ht="15.15" spans="1:67">
      <c r="A2" s="2950" t="s">
        <v>608</v>
      </c>
      <c r="B2" s="2951">
        <f>项目基本情况!D3</f>
        <v>45208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1" t="s">
        <v>613</v>
      </c>
      <c r="AA4" s="3101"/>
      <c r="AB4" s="3101"/>
      <c r="AC4" s="3101"/>
      <c r="AD4" s="3101"/>
      <c r="AE4" s="3102" t="s">
        <v>614</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615</v>
      </c>
      <c r="D5" s="2961" t="s">
        <v>616</v>
      </c>
      <c r="E5" s="2962" t="s">
        <v>617</v>
      </c>
      <c r="F5" s="2963" t="s">
        <v>618</v>
      </c>
      <c r="G5" s="2962" t="s">
        <v>619</v>
      </c>
      <c r="H5" s="2962" t="s">
        <v>620</v>
      </c>
      <c r="I5" s="2962" t="s">
        <v>621</v>
      </c>
      <c r="J5" s="3053" t="s">
        <v>622</v>
      </c>
      <c r="K5" s="3054" t="s">
        <v>595</v>
      </c>
      <c r="L5" s="3055" t="s">
        <v>623</v>
      </c>
      <c r="M5" s="3056" t="s">
        <v>624</v>
      </c>
      <c r="N5" s="3057" t="s">
        <v>625</v>
      </c>
      <c r="O5" s="3055" t="s">
        <v>626</v>
      </c>
      <c r="P5" s="3058" t="s">
        <v>627</v>
      </c>
      <c r="Q5" s="1503" t="s">
        <v>628</v>
      </c>
      <c r="R5" s="3075" t="s">
        <v>629</v>
      </c>
      <c r="S5" s="3076" t="s">
        <v>630</v>
      </c>
      <c r="T5" s="3077" t="s">
        <v>631</v>
      </c>
      <c r="U5" s="3078" t="s">
        <v>632</v>
      </c>
      <c r="V5" s="2962" t="s">
        <v>633</v>
      </c>
      <c r="W5" s="2962" t="s">
        <v>634</v>
      </c>
      <c r="X5" s="1161"/>
      <c r="Y5" s="1634" t="s">
        <v>635</v>
      </c>
      <c r="Z5" s="3103" t="s">
        <v>632</v>
      </c>
      <c r="AA5" s="2962" t="s">
        <v>633</v>
      </c>
      <c r="AB5" s="2962" t="s">
        <v>634</v>
      </c>
      <c r="AC5" s="1161"/>
      <c r="AD5" s="1161" t="s">
        <v>635</v>
      </c>
      <c r="AE5" s="3078" t="s">
        <v>636</v>
      </c>
      <c r="AF5" s="2962" t="s">
        <v>637</v>
      </c>
      <c r="AG5" s="1634" t="s">
        <v>638</v>
      </c>
      <c r="AH5" s="3078" t="s">
        <v>639</v>
      </c>
      <c r="AI5" s="3103" t="s">
        <v>640</v>
      </c>
      <c r="AJ5" s="3103" t="s">
        <v>641</v>
      </c>
      <c r="AK5" s="2962" t="s">
        <v>642</v>
      </c>
      <c r="AL5" s="2962" t="s">
        <v>643</v>
      </c>
      <c r="AM5" s="1634" t="s">
        <v>644</v>
      </c>
      <c r="AN5" s="3115" t="s">
        <v>645</v>
      </c>
      <c r="AO5" s="3133" t="s">
        <v>646</v>
      </c>
      <c r="AP5" s="3134" t="s">
        <v>647</v>
      </c>
      <c r="AQ5" s="3135" t="s">
        <v>648</v>
      </c>
      <c r="AR5" s="3135"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商业立项办公楼</v>
      </c>
      <c r="B6" s="2965" t="str">
        <f>IF(A6=0,"","经营性")</f>
        <v>经营性</v>
      </c>
      <c r="C6" s="2966" t="s">
        <v>650</v>
      </c>
      <c r="D6" s="2967">
        <f>SUMIF(项目基本情况!C$12:I$12,C6,项目基本情况!C$14:I$14)</f>
        <v>40</v>
      </c>
      <c r="E6" s="2968">
        <f>IF(B6="","",SUMIF(项目基本情况!C$12:I$12,C6,项目基本情况!C$13:I$13))</f>
        <v>55984</v>
      </c>
      <c r="F6" s="2969">
        <f>SUMIF(项目基本情况!C$12:I$12,C6,项目基本情况!C$15:I$15)</f>
        <v>29.52</v>
      </c>
      <c r="G6" s="2970">
        <f>IF(ISERROR(ROUND(POWER(1+H6,D6-F6)*(POWER(1+H6,F6)-1)/(POWER(1+H6,D6)-1),3)),0,ROUND(POWER(1+H6,D6-F6)*(POWER(1+H6,F6)-1)/(POWER(1+H6,D6)-1),3))</f>
        <v>0.889</v>
      </c>
      <c r="H6" s="2971">
        <v>0.05</v>
      </c>
      <c r="I6" s="2971">
        <v>0.055</v>
      </c>
      <c r="J6" s="2972">
        <v>0.07</v>
      </c>
      <c r="K6" s="3059">
        <f>SUMIF('数据-汇总表'!C$19:C$33,A6,'数据-汇总表'!E$19:E$33)</f>
        <v>197.18</v>
      </c>
      <c r="L6" s="3060">
        <v>3500</v>
      </c>
      <c r="M6" s="3061">
        <f t="shared" ref="M6:M14" si="0">ROUND(K6*L6/10000,0)</f>
        <v>69</v>
      </c>
      <c r="N6" s="3062">
        <f>N17</f>
        <v>0.88</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2.5</v>
      </c>
      <c r="V6" s="3084">
        <v>0.025</v>
      </c>
      <c r="W6" s="3084">
        <v>0.1</v>
      </c>
      <c r="X6" s="3085"/>
      <c r="Y6" s="3104">
        <f>N6</f>
        <v>0.88</v>
      </c>
      <c r="Z6" s="3105"/>
      <c r="AA6" s="2972"/>
      <c r="AB6" s="2972"/>
      <c r="AC6" s="3085"/>
      <c r="AD6" s="3106"/>
      <c r="AE6" s="3107">
        <f ca="1">IF(AN6="",0,SUMIF(INDIRECT("'"&amp;AN6&amp;"'"&amp;"!E:E"),$AE$5,INDIRECT("'"&amp;AN6&amp;"'"&amp;"!F:F")))</f>
        <v>29.52</v>
      </c>
      <c r="AF6" s="2517"/>
      <c r="AG6" s="2347">
        <f ca="1">IF(AF6="",0,AE6-AF6)</f>
        <v>0</v>
      </c>
      <c r="AH6" s="3116"/>
      <c r="AI6" s="3117">
        <v>365</v>
      </c>
      <c r="AJ6" s="3118"/>
      <c r="AK6" s="2972">
        <v>0.005</v>
      </c>
      <c r="AL6" s="3119">
        <v>0.001</v>
      </c>
      <c r="AM6" s="3120">
        <v>0.01</v>
      </c>
      <c r="AN6" s="3121" t="s">
        <v>266</v>
      </c>
      <c r="AO6" s="1377">
        <f ca="1">SUMIF(INDIRECT("'"&amp;AN6&amp;"'"&amp;"!A:A"),"总价",INDIRECT("'"&amp;AN6&amp;"'"&amp;"!B:B"))</f>
        <v>279.5077</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7">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7">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7">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7">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7">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7">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7">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7"/>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7"/>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7"/>
      <c r="D16" s="2978"/>
      <c r="E16" s="2977"/>
      <c r="F16" s="2977"/>
      <c r="G16" s="2979">
        <f>ROUND(SUMPRODUCT(G6:G13,K6:K13)/SUMPRODUCT((G6:G13&gt;0)*(K6:K13)),3)</f>
        <v>0.889</v>
      </c>
      <c r="H16" s="2980">
        <f>ROUND(SUMPRODUCT(H6:H13,K6:K13)/SUMPRODUCT((H6:H13&gt;0)*(K6:K13)),3)</f>
        <v>0.05</v>
      </c>
      <c r="I16" s="3068"/>
      <c r="J16" s="3068"/>
      <c r="K16" s="3069">
        <f>SUM(K6:K15)</f>
        <v>197.18</v>
      </c>
      <c r="L16" s="3070">
        <f>ROUND(M16*10000/SUM(K6:K14),0)</f>
        <v>3499</v>
      </c>
      <c r="M16" s="3070">
        <f>SUM(M6:M14)</f>
        <v>69</v>
      </c>
      <c r="N16" s="3071">
        <f>ROUND(SUMPRODUCT(M6:M14,N6:N14)/M16,3)</f>
        <v>0.88</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ROUND(1-(2023-2016)/60,2)</f>
        <v>0.88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0.9</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47"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47" t="s">
        <v>728</v>
      </c>
      <c r="C5" s="2890" t="s">
        <v>729</v>
      </c>
      <c r="D5" s="2886"/>
      <c r="E5" s="2891"/>
      <c r="F5" s="2047" t="s">
        <v>548</v>
      </c>
      <c r="G5" s="2892" t="s">
        <v>730</v>
      </c>
      <c r="H5" s="2389"/>
      <c r="I5" s="2389"/>
      <c r="J5" s="2389"/>
      <c r="K5" s="2389"/>
      <c r="L5" s="2389"/>
      <c r="M5" s="2389"/>
      <c r="N5" s="2389"/>
      <c r="O5" s="2389"/>
      <c r="P5" s="2389"/>
      <c r="Q5" s="2389"/>
      <c r="R5" s="2389"/>
    </row>
    <row r="6" ht="48" spans="1:18">
      <c r="A6" s="2887"/>
      <c r="B6" s="2047" t="s">
        <v>726</v>
      </c>
      <c r="C6" s="2892" t="s">
        <v>727</v>
      </c>
      <c r="D6" s="2886"/>
      <c r="E6" s="2891"/>
      <c r="F6" s="2047" t="s">
        <v>731</v>
      </c>
      <c r="G6" s="2892" t="s">
        <v>732</v>
      </c>
      <c r="H6" s="2389"/>
      <c r="I6" s="2389"/>
      <c r="J6" s="2389"/>
      <c r="K6" s="2389"/>
      <c r="L6" s="2389"/>
      <c r="M6" s="2389"/>
      <c r="N6" s="2389"/>
      <c r="O6" s="2389"/>
      <c r="P6" s="2389"/>
      <c r="Q6" s="2389"/>
      <c r="R6" s="2389"/>
    </row>
    <row r="7" ht="36.75" spans="1:18">
      <c r="A7" s="2887"/>
      <c r="B7" s="2047" t="s">
        <v>548</v>
      </c>
      <c r="C7" s="2892" t="s">
        <v>730</v>
      </c>
      <c r="D7" s="2893"/>
      <c r="E7" s="2894"/>
      <c r="F7" s="2895" t="s">
        <v>733</v>
      </c>
      <c r="G7" s="2896" t="s">
        <v>734</v>
      </c>
      <c r="H7" s="2389"/>
      <c r="I7" s="2389"/>
      <c r="J7" s="2389"/>
      <c r="K7" s="2389"/>
      <c r="L7" s="2389"/>
      <c r="M7" s="2389"/>
      <c r="N7" s="2389"/>
      <c r="O7" s="2389"/>
      <c r="P7" s="2389"/>
      <c r="Q7" s="2389"/>
      <c r="R7" s="2389"/>
    </row>
    <row r="8" ht="24" spans="1:18">
      <c r="A8" s="2887"/>
      <c r="B8" s="2047" t="s">
        <v>731</v>
      </c>
      <c r="C8" s="2892" t="s">
        <v>732</v>
      </c>
      <c r="D8" s="2893"/>
      <c r="E8" s="2893"/>
      <c r="F8" s="2169"/>
      <c r="G8" s="2169"/>
      <c r="H8" s="2389"/>
      <c r="I8" s="2389"/>
      <c r="J8" s="2389"/>
      <c r="K8" s="2389"/>
      <c r="L8" s="2389"/>
      <c r="M8" s="2389"/>
      <c r="N8" s="2389"/>
      <c r="O8" s="2389"/>
      <c r="P8" s="2389"/>
      <c r="Q8" s="2389"/>
      <c r="R8" s="2389"/>
    </row>
    <row r="9" ht="24" spans="1:18">
      <c r="A9" s="2887"/>
      <c r="B9" s="2047" t="s">
        <v>735</v>
      </c>
      <c r="C9" s="2890" t="s">
        <v>736</v>
      </c>
      <c r="D9" s="2886"/>
      <c r="E9" s="2893"/>
      <c r="F9" s="2169"/>
      <c r="G9" s="2169"/>
      <c r="H9" s="2389"/>
      <c r="I9" s="2389"/>
      <c r="J9" s="2389"/>
      <c r="K9" s="2389"/>
      <c r="L9" s="2389"/>
      <c r="M9" s="2389"/>
      <c r="N9" s="2389"/>
      <c r="O9" s="2389"/>
      <c r="P9" s="2389"/>
      <c r="Q9" s="2389"/>
      <c r="R9" s="2389"/>
    </row>
    <row r="10" s="2867" customFormat="1" ht="14.55" spans="1:29">
      <c r="A10" s="2897"/>
      <c r="B10" s="2898" t="s">
        <v>737</v>
      </c>
      <c r="C10" s="2899"/>
      <c r="D10" s="2886"/>
      <c r="E10" s="2886"/>
      <c r="F10" s="2169"/>
      <c r="G10" s="2169"/>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47" t="s">
        <v>548</v>
      </c>
      <c r="G19" s="2919" t="str">
        <f>G5</f>
        <v>估价对象所在区域公共配套设施齐备情况</v>
      </c>
    </row>
    <row r="20" ht="24" spans="1:7">
      <c r="A20" s="2914"/>
      <c r="B20" s="2918" t="s">
        <v>740</v>
      </c>
      <c r="C20" s="2916" t="str">
        <f>C9</f>
        <v>区域自然环境：；人文环境；综合评价环境状况一般</v>
      </c>
      <c r="D20" s="2893"/>
      <c r="E20" s="2917"/>
      <c r="F20" s="2047" t="s">
        <v>731</v>
      </c>
      <c r="G20" s="2919" t="str">
        <f>G6</f>
        <v>估价对象所在区域基础设施水平</v>
      </c>
    </row>
    <row r="21" ht="24" spans="1:7">
      <c r="A21" s="2914"/>
      <c r="B21" s="2047" t="s">
        <v>548</v>
      </c>
      <c r="C21" s="2919" t="str">
        <f>C7</f>
        <v>估价对象所在区域公共配套设施齐备情况</v>
      </c>
      <c r="D21" s="2886"/>
      <c r="E21" s="2917"/>
      <c r="F21" s="2918" t="s">
        <v>741</v>
      </c>
      <c r="G21" s="2921"/>
    </row>
    <row r="22" ht="13.5" customHeight="1" spans="1:7">
      <c r="A22" s="2914"/>
      <c r="B22" s="2047"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2" sqref="D42"/>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197.18</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45208</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370.1069</v>
      </c>
      <c r="C5" s="2851" t="e">
        <f ca="1">IF(B5=D14,结果表!H102,ROUND(B5*10000/$B$1,0))</f>
        <v>#N/A</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48417</v>
      </c>
      <c r="C10" s="2851" t="s">
        <v>754</v>
      </c>
      <c r="D10" s="2851" t="s">
        <v>753</v>
      </c>
      <c r="E10" s="2857">
        <f ca="1">结果表!G19</f>
        <v>370</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197.18</v>
      </c>
      <c r="C14" s="2863"/>
      <c r="D14" s="2863">
        <f ca="1">ROUND(E14*B14/10000,4)</f>
        <v>370.1069</v>
      </c>
      <c r="E14" s="2863">
        <f ca="1">结果表!G20</f>
        <v>18770</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3" sqref="G23"/>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57"/>
      <c r="C3" s="2057"/>
      <c r="D3" s="2057"/>
      <c r="E3" s="2057"/>
      <c r="F3" s="2057"/>
      <c r="G3" s="2057"/>
      <c r="H3" s="2057"/>
      <c r="I3" s="2057"/>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46" t="s">
        <v>780</v>
      </c>
      <c r="F5" s="2518"/>
      <c r="G5" s="2518"/>
      <c r="H5" s="2518"/>
      <c r="I5" s="2383"/>
    </row>
    <row r="6" ht="14.4" spans="1:9">
      <c r="A6" s="2515"/>
      <c r="B6" s="1361"/>
      <c r="C6" s="2519"/>
      <c r="D6" s="2517"/>
      <c r="E6" s="2046" t="s">
        <v>781</v>
      </c>
      <c r="F6" s="2518"/>
      <c r="G6" s="2518"/>
      <c r="H6" s="2518"/>
      <c r="I6" s="2383"/>
    </row>
    <row r="7" ht="14.4" spans="1:9">
      <c r="A7" s="2515"/>
      <c r="B7" s="1361"/>
      <c r="C7" s="2520"/>
      <c r="D7" s="2517"/>
      <c r="E7" s="2046" t="s">
        <v>782</v>
      </c>
      <c r="F7" s="2518"/>
      <c r="G7" s="2518"/>
      <c r="H7" s="2518"/>
      <c r="I7" s="2383"/>
    </row>
    <row r="8" ht="14.4" spans="1:9">
      <c r="A8" s="2515" t="s">
        <v>783</v>
      </c>
      <c r="B8" s="1361">
        <v>15</v>
      </c>
      <c r="C8" s="2516"/>
      <c r="D8" s="2517"/>
      <c r="E8" s="2046" t="s">
        <v>784</v>
      </c>
      <c r="F8" s="2518"/>
      <c r="G8" s="2518"/>
      <c r="H8" s="2518"/>
      <c r="I8" s="2383"/>
    </row>
    <row r="9" ht="14.4" spans="1:9">
      <c r="A9" s="2515"/>
      <c r="B9" s="1361"/>
      <c r="C9" s="2520"/>
      <c r="D9" s="2517"/>
      <c r="E9" s="2046" t="s">
        <v>785</v>
      </c>
      <c r="F9" s="2518"/>
      <c r="G9" s="2518"/>
      <c r="H9" s="2518"/>
      <c r="I9" s="2383"/>
    </row>
    <row r="10" ht="14.4" spans="1:9">
      <c r="A10" s="2515" t="s">
        <v>786</v>
      </c>
      <c r="B10" s="1361">
        <v>15</v>
      </c>
      <c r="C10" s="2516"/>
      <c r="D10" s="2517"/>
      <c r="E10" s="2046" t="s">
        <v>787</v>
      </c>
      <c r="F10" s="2518"/>
      <c r="G10" s="2518"/>
      <c r="H10" s="2518"/>
      <c r="I10" s="2383"/>
    </row>
    <row r="11" ht="14.4" spans="1:9">
      <c r="A11" s="2515"/>
      <c r="B11" s="1361"/>
      <c r="C11" s="2520"/>
      <c r="D11" s="2517"/>
      <c r="E11" s="2046" t="s">
        <v>788</v>
      </c>
      <c r="F11" s="2518"/>
      <c r="G11" s="2518"/>
      <c r="H11" s="2518"/>
      <c r="I11" s="2383"/>
    </row>
    <row r="12" ht="14.4" spans="1:9">
      <c r="A12" s="2515" t="s">
        <v>789</v>
      </c>
      <c r="B12" s="1361">
        <v>15</v>
      </c>
      <c r="C12" s="2516"/>
      <c r="D12" s="2517"/>
      <c r="E12" s="2046" t="s">
        <v>790</v>
      </c>
      <c r="F12" s="2518"/>
      <c r="G12" s="2518"/>
      <c r="H12" s="2518"/>
      <c r="I12" s="2383"/>
    </row>
    <row r="13" ht="14.4" spans="1:9">
      <c r="A13" s="2515"/>
      <c r="B13" s="1361"/>
      <c r="C13" s="2520"/>
      <c r="D13" s="2517"/>
      <c r="E13" s="2046" t="s">
        <v>791</v>
      </c>
      <c r="F13" s="2518"/>
      <c r="G13" s="2518"/>
      <c r="H13" s="2518"/>
      <c r="I13" s="2383"/>
    </row>
    <row r="14" ht="14.4" spans="1:9">
      <c r="A14" s="2515" t="s">
        <v>792</v>
      </c>
      <c r="B14" s="1361">
        <v>30</v>
      </c>
      <c r="C14" s="2516">
        <v>7</v>
      </c>
      <c r="D14" s="2517">
        <v>3</v>
      </c>
      <c r="E14" s="2046" t="s">
        <v>793</v>
      </c>
      <c r="F14" s="2518"/>
      <c r="G14" s="2518"/>
      <c r="H14" s="2518"/>
      <c r="I14" s="2383"/>
    </row>
    <row r="15" ht="14.4" spans="1:9">
      <c r="A15" s="2515"/>
      <c r="B15" s="1361"/>
      <c r="C15" s="2519"/>
      <c r="D15" s="2517"/>
      <c r="E15" s="2046" t="s">
        <v>794</v>
      </c>
      <c r="F15" s="2518"/>
      <c r="G15" s="2518"/>
      <c r="H15" s="2518"/>
      <c r="I15" s="2383"/>
    </row>
    <row r="16" ht="14.4" spans="1:9">
      <c r="A16" s="2515"/>
      <c r="B16" s="1361"/>
      <c r="C16" s="2520"/>
      <c r="D16" s="2517"/>
      <c r="E16" s="2046" t="s">
        <v>795</v>
      </c>
      <c r="F16" s="2518"/>
      <c r="G16" s="2518"/>
      <c r="H16" s="2518"/>
      <c r="I16" s="2383"/>
    </row>
    <row r="17" ht="14.4" spans="1:13">
      <c r="A17" s="2521" t="s">
        <v>796</v>
      </c>
      <c r="B17" s="2522"/>
      <c r="C17" s="2523">
        <f>SUM(C5:C16)</f>
        <v>7</v>
      </c>
      <c r="D17" s="2523">
        <f>SUM(D5:D16)</f>
        <v>3</v>
      </c>
      <c r="E17" s="1037"/>
      <c r="F17" s="1037"/>
      <c r="G17" s="1037"/>
      <c r="H17" s="1037"/>
      <c r="I17" s="1037"/>
      <c r="K17" s="2004"/>
      <c r="L17" s="2004" t="s">
        <v>797</v>
      </c>
      <c r="M17" s="2004" t="s">
        <v>798</v>
      </c>
    </row>
    <row r="18" ht="31.9" customHeight="1" spans="1:13">
      <c r="A18" s="2524" t="s">
        <v>799</v>
      </c>
      <c r="B18" s="2525"/>
      <c r="C18" s="2526">
        <f>ROUND(C17/SUM(C17:D17),2)</f>
        <v>0.7</v>
      </c>
      <c r="D18" s="2526">
        <f>1-C18</f>
        <v>0.3</v>
      </c>
      <c r="E18" s="2527" t="s">
        <v>800</v>
      </c>
      <c r="F18" s="2528"/>
      <c r="G18" s="2528"/>
      <c r="H18" s="2528"/>
      <c r="I18" s="2528"/>
      <c r="K18" s="2004" t="s">
        <v>457</v>
      </c>
      <c r="L18" s="2004">
        <f>IF(C1="",'数据-汇总表'!E3,SUMIF(项目类型,C1,'数据-汇总表'!E17:E26)+SUMIF(项目类型,C1,'数据-汇总表'!I17:I26))</f>
        <v>197.18</v>
      </c>
      <c r="M18" s="2004">
        <f>IF(C1="",'数据-汇总表'!E3,SUMIF(项目类型,C1,'数据-汇总表'!E17:E26))</f>
        <v>197.18</v>
      </c>
    </row>
    <row r="19" ht="14.4" spans="1:13">
      <c r="A19" s="2529" t="s">
        <v>801</v>
      </c>
      <c r="B19" s="2530" t="s">
        <v>802</v>
      </c>
      <c r="C19" s="2531">
        <f ca="1">SUMIF(INDIRECT("'"&amp;C4&amp;"'"&amp;"!A:A"),结果表!B19,INDIRECT("'"&amp;C4&amp;"'"&amp;"!B:B"))</f>
        <v>408.9316</v>
      </c>
      <c r="D19" s="1518">
        <f ca="1">SUMIF(INDIRECT("'"&amp;D4&amp;"'"&amp;"!A:A"),结果表!B19,INDIRECT("'"&amp;D4&amp;"'"&amp;"!B:B"))</f>
        <v>279.5077</v>
      </c>
      <c r="E19" s="2529" t="s">
        <v>803</v>
      </c>
      <c r="F19" s="2530" t="s">
        <v>802</v>
      </c>
      <c r="G19" s="2532">
        <f ca="1">ROUND(C19*$C$18+D19*$D$18,0)</f>
        <v>370</v>
      </c>
      <c r="H19" s="2533" t="s">
        <v>804</v>
      </c>
      <c r="I19" s="1037"/>
      <c r="K19" s="2004" t="s">
        <v>461</v>
      </c>
      <c r="L19" s="2004">
        <f>IF(C1="",'数据-汇总表'!D3,SUMIF(项目类型,C1,'数据-汇总表'!D17:D26)+SUMIF(项目类型,C1,'数据-汇总表'!H17:H27))</f>
        <v>0</v>
      </c>
      <c r="M19" s="2004">
        <f>IF(C1="",'数据-汇总表'!D3,SUMIF(项目类型,C1,'数据-汇总表'!D17:D26))</f>
        <v>0</v>
      </c>
    </row>
    <row r="20" ht="14.4" spans="1:9">
      <c r="A20" s="2534"/>
      <c r="B20" s="2535" t="s">
        <v>805</v>
      </c>
      <c r="C20" s="2344">
        <f ca="1">SUMIF(INDIRECT("'"&amp;C4&amp;"'"&amp;"!A:A"),结果表!B20,INDIRECT("'"&amp;C4&amp;"'"&amp;"!B:B"))</f>
        <v>20739</v>
      </c>
      <c r="D20" s="2347">
        <f ca="1">SUMIF(INDIRECT("'"&amp;D4&amp;"'"&amp;"!A:A"),结果表!B20,INDIRECT("'"&amp;D4&amp;"'"&amp;"!B:B"))</f>
        <v>14175</v>
      </c>
      <c r="E20" s="2534"/>
      <c r="F20" s="2535" t="s">
        <v>805</v>
      </c>
      <c r="G20" s="2536">
        <f ca="1">ROUND(C20*$C$18+D20*$D$18,0)</f>
        <v>18770</v>
      </c>
      <c r="H20" s="2162"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0.463042341946215</v>
      </c>
      <c r="E22" s="1037"/>
      <c r="F22" s="2546" t="s">
        <v>809</v>
      </c>
      <c r="G22" s="1037">
        <v>18653</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18770</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03"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56" t="s">
        <v>843</v>
      </c>
      <c r="E47" s="2004" t="s">
        <v>844</v>
      </c>
      <c r="F47" s="2621" t="s">
        <v>845</v>
      </c>
      <c r="G47" s="2622" t="s">
        <v>846</v>
      </c>
      <c r="H47" s="2623"/>
      <c r="I47" s="1038"/>
      <c r="J47" s="650">
        <v>2</v>
      </c>
      <c r="K47" s="2676" t="s">
        <v>847</v>
      </c>
      <c r="L47" s="2676"/>
      <c r="M47" s="2678">
        <f>'数据-取费表'!B2</f>
        <v>45208</v>
      </c>
      <c r="N47" s="2678"/>
      <c r="O47" s="2678"/>
    </row>
    <row r="48" ht="25.2" spans="1:15">
      <c r="A48" s="2624" t="s">
        <v>848</v>
      </c>
      <c r="B48" s="2060"/>
      <c r="C48" s="2060"/>
      <c r="D48" s="2160" t="b">
        <f ca="1">IF(H48="情况1",0,IF(H48="情况2",D52,IF(H48="情况3",D53,IF(H48="情况4",D54))))</f>
        <v>0</v>
      </c>
      <c r="E48" s="2060"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38" t="s">
        <v>852</v>
      </c>
      <c r="C49" s="2038"/>
      <c r="D49" s="2628">
        <v>0</v>
      </c>
      <c r="E49" s="2066"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38" t="s">
        <v>855</v>
      </c>
      <c r="C50" s="2038"/>
      <c r="D50" s="2633"/>
      <c r="E50" s="2081"/>
      <c r="F50" s="2629"/>
      <c r="G50" s="2634"/>
      <c r="H50" s="2635" t="s">
        <v>856</v>
      </c>
      <c r="I50" s="2680"/>
      <c r="J50" s="2675" t="s">
        <v>857</v>
      </c>
      <c r="K50" s="2675"/>
      <c r="L50" s="2675"/>
      <c r="M50" s="2675"/>
      <c r="N50" s="2675"/>
      <c r="O50" s="2675"/>
    </row>
    <row r="51" ht="20.45" customHeight="1" spans="1:15">
      <c r="A51" s="2636"/>
      <c r="B51" s="2038" t="s">
        <v>858</v>
      </c>
      <c r="C51" s="2038"/>
      <c r="D51" s="2056"/>
      <c r="E51" s="2070"/>
      <c r="F51" s="2629"/>
      <c r="G51" s="2637"/>
      <c r="H51" s="2635" t="s">
        <v>859</v>
      </c>
      <c r="I51" s="2680"/>
      <c r="J51" s="2676" t="s">
        <v>860</v>
      </c>
      <c r="K51" s="2676" t="s">
        <v>861</v>
      </c>
      <c r="L51" s="2676"/>
      <c r="M51" s="2676" t="s">
        <v>862</v>
      </c>
      <c r="N51" s="2676" t="s">
        <v>863</v>
      </c>
      <c r="O51" s="2676" t="s">
        <v>864</v>
      </c>
    </row>
    <row r="52" ht="24" customHeight="1" spans="1:15">
      <c r="A52" s="2638" t="s">
        <v>865</v>
      </c>
      <c r="B52" s="2038" t="s">
        <v>866</v>
      </c>
      <c r="C52" s="2038"/>
      <c r="D52" s="2056" t="e">
        <f ca="1">ROUND(D45*'数据-取费表'!B41/(1+'数据-取费表'!C42),0)</f>
        <v>#REF!</v>
      </c>
      <c r="E52" s="2060" t="s">
        <v>867</v>
      </c>
      <c r="F52" s="2639">
        <f>'数据-取费表'!B41</f>
        <v>0.055</v>
      </c>
      <c r="G52" s="2640"/>
      <c r="H52" s="2175"/>
      <c r="I52" s="2681"/>
      <c r="J52" s="650">
        <v>1</v>
      </c>
      <c r="K52" s="650" t="s">
        <v>868</v>
      </c>
      <c r="L52" s="650"/>
      <c r="M52" s="2682" t="b">
        <f ca="1">D48</f>
        <v>0</v>
      </c>
      <c r="N52" s="650" t="str">
        <f>E48</f>
        <v>销售额×税（费）率</v>
      </c>
      <c r="O52" s="2683">
        <f>F48</f>
        <v>0.055</v>
      </c>
    </row>
    <row r="53" ht="12" customHeight="1" spans="1:15">
      <c r="A53" s="2638" t="s">
        <v>869</v>
      </c>
      <c r="B53" s="2037" t="s">
        <v>870</v>
      </c>
      <c r="C53" s="2641"/>
      <c r="D53" s="2056" t="e">
        <f ca="1">ROUND(D45*'数据-取费表'!B41/(1+'数据-取费表'!C42),0)</f>
        <v>#REF!</v>
      </c>
      <c r="E53" s="2060" t="s">
        <v>867</v>
      </c>
      <c r="F53" s="2639">
        <f>'数据-取费表'!B41</f>
        <v>0.055</v>
      </c>
      <c r="G53" s="2640"/>
      <c r="H53" s="2175"/>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37" t="s">
        <v>873</v>
      </c>
      <c r="C54" s="2641"/>
      <c r="D54" s="2056" t="e">
        <f ca="1">C68</f>
        <v>#REF!</v>
      </c>
      <c r="E54" s="2070"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60"/>
      <c r="C55" s="2060"/>
      <c r="D55" s="2160" t="e">
        <f ca="1">IF(H55="个人住宅",0,ROUND(D45*I55,0))</f>
        <v>#REF!</v>
      </c>
      <c r="E55" s="2060"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60"/>
      <c r="C56" s="2060"/>
      <c r="D56" s="2160" t="e">
        <f ca="1">IF(H56="个人住宅",D57,D58)</f>
        <v>#REF!</v>
      </c>
      <c r="E56" s="2060" t="s">
        <v>879</v>
      </c>
      <c r="F56" s="2639" t="str">
        <f>IF(H56="正常",F58,"免征")</f>
        <v>免征</v>
      </c>
      <c r="G56" s="2643" t="s">
        <v>880</v>
      </c>
      <c r="H56" s="2644"/>
      <c r="I56" s="2655"/>
      <c r="J56" s="650" t="str">
        <f>IF(项目基本情况!K6="上海银行",IF(J55="",4,J55+1),"")</f>
        <v/>
      </c>
      <c r="K56" s="2160" t="str">
        <f>IF(项目基本情况!K6="上海银行","其他处置费用","")</f>
        <v/>
      </c>
      <c r="L56" s="2432"/>
      <c r="M56" s="2682" t="str">
        <f ca="1">IF(项目基本情况!K6="上海银行",M69,"")</f>
        <v/>
      </c>
      <c r="N56" s="2160" t="str">
        <f>IF(项目基本情况!K6="上海银行","包含处置中涉及的律师、诉讼、拍卖、评估等费用","")</f>
        <v/>
      </c>
      <c r="O56" s="2010"/>
    </row>
    <row r="57" ht="14.4" spans="1:16">
      <c r="A57" s="2638" t="s">
        <v>851</v>
      </c>
      <c r="B57" s="2037" t="s">
        <v>881</v>
      </c>
      <c r="C57" s="2641"/>
      <c r="D57" s="2628">
        <v>0</v>
      </c>
      <c r="E57" s="2066" t="s">
        <v>853</v>
      </c>
      <c r="F57" s="2004"/>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37" t="s">
        <v>884</v>
      </c>
      <c r="C58" s="2038"/>
      <c r="D58" s="2160" t="e">
        <f ca="1">IF(H58="转让取得",C81,C97)</f>
        <v>#REF!</v>
      </c>
      <c r="E58" s="2060" t="s">
        <v>879</v>
      </c>
      <c r="F58" s="2004"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04"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04" t="e">
        <f ca="1" t="shared" ref="M64:M65" si="1">ROUND(L64,1)</f>
        <v>#VALUE!</v>
      </c>
      <c r="N64" s="2175"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04" t="e">
        <f ca="1" t="shared" si="1"/>
        <v>#VALUE!</v>
      </c>
      <c r="N65" s="2175"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04" t="e">
        <f ca="1">IF(L66&gt;0.5,0.5,ROUND(L66,0))</f>
        <v>#VALUE!</v>
      </c>
      <c r="N66" s="2175"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04"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04"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04"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37"/>
      <c r="F72" s="2038"/>
      <c r="G72" s="2038"/>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37"/>
      <c r="F73" s="2038"/>
      <c r="G73" s="2038"/>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37"/>
      <c r="F74" s="2038"/>
      <c r="G74" s="2038"/>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37" t="s">
        <v>926</v>
      </c>
      <c r="F76" s="2038"/>
      <c r="G76" s="2038"/>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60"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37"/>
      <c r="F79" s="2038"/>
      <c r="G79" s="2038"/>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60" t="e">
        <f ca="1">IF(C80&gt;=200%,"增值额超过扣除项目金额200%",IF(C80&gt;=100%,"增值额超过扣除项目金额100%，未超过200%",IF(C80&gt;=50%,"增值额超过扣除项目金额50%，未超过100%",IF(C80&lt;50%,"增值额未超过扣除项目金额50%"))))</f>
        <v>#REF!</v>
      </c>
      <c r="F80" s="2038"/>
      <c r="G80" s="2038"/>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37"/>
      <c r="F85" s="2038"/>
      <c r="G85" s="2038"/>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37"/>
      <c r="F86" s="2038"/>
      <c r="G86" s="2038"/>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37"/>
      <c r="F95" s="2038"/>
      <c r="G95" s="2038"/>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60" t="e">
        <f ca="1">IF(C96&gt;=200%,"增值额超过扣除项目金额200%",IF(C96&gt;=100%,"增值额超过扣除项目金额100%，未超过200%",IF(C96&gt;=50%,"增值额超过扣除项目金额50%，未超过100%",IF(C96&lt;50%,"增值额未超过扣除项目金额50%"))))</f>
        <v>#REF!</v>
      </c>
      <c r="F96" s="2038"/>
      <c r="G96" s="2038"/>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比较法-办公</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408.9316</v>
      </c>
      <c r="D102" s="2770">
        <f ca="1">IF(D32="楼面单价",ROUND(D19,0),D19)</f>
        <v>279.5077</v>
      </c>
      <c r="E102" s="2771"/>
      <c r="F102" s="2772"/>
      <c r="G102" s="2773" t="s">
        <v>99</v>
      </c>
      <c r="H102" s="2640" t="e">
        <f ca="1">I118</f>
        <v>#REF!</v>
      </c>
      <c r="I102" s="1037"/>
    </row>
    <row r="103" ht="42.75" customHeight="1" spans="1:9">
      <c r="A103" s="2775"/>
      <c r="B103" s="2776" t="s">
        <v>99</v>
      </c>
      <c r="C103" s="2777">
        <f ca="1">C20</f>
        <v>20739</v>
      </c>
      <c r="D103" s="2778">
        <f ca="1">D20</f>
        <v>14175</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197.18</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25" t="s">
        <v>113</v>
      </c>
      <c r="B128" s="2125"/>
      <c r="C128" s="2125"/>
      <c r="D128" s="2125"/>
      <c r="E128" s="2125"/>
      <c r="F128" s="2125"/>
      <c r="G128" s="2125"/>
      <c r="H128" s="2125"/>
      <c r="I128" s="2125"/>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95</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4818</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4</v>
      </c>
      <c r="D10" s="420">
        <f ca="1">IF(B1="",'数据-汇总表'!E6,IF(INDIRECT("'数据-取费表'!c"&amp;$G$1)="住宅",INDIRECT("'数据-取费表'!s"&amp;$G$1),INDIRECT("'数据-取费表'!k"&amp;$G$1)+INDIRECT("'数据-取费表'!s"&amp;$G$1)))</f>
        <v>197.18</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4</v>
      </c>
      <c r="D19" s="428">
        <f ca="1">D9+D10</f>
        <v>197.18</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77</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69</v>
      </c>
      <c r="D34" s="410"/>
      <c r="E34" s="413"/>
      <c r="F34" s="459">
        <f ca="1">IF('数据-取费表'!B24=0,1,IF(B1="",'数据-取费表'!N16,INDIRECT("'数据-取费表'!n"&amp;$G$1)))</f>
        <v>1</v>
      </c>
      <c r="G34" s="412" t="s">
        <v>1055</v>
      </c>
    </row>
    <row r="35" ht="13.5" customHeight="1" spans="1:7">
      <c r="A35" s="438" t="s">
        <v>998</v>
      </c>
      <c r="B35" s="408" t="s">
        <v>1056</v>
      </c>
      <c r="C35" s="413">
        <f ca="1">ROUND(C34*F35,0)</f>
        <v>3</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4</v>
      </c>
      <c r="D37" s="410">
        <f ca="1">D19</f>
        <v>197.18</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2</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3</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3</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12</v>
      </c>
      <c r="D45" s="433">
        <f ca="1">C47</f>
        <v>0.003</v>
      </c>
      <c r="E45" s="434" t="s">
        <v>1064</v>
      </c>
      <c r="F45" s="448">
        <f ca="1">F27</f>
        <v>0.15</v>
      </c>
      <c r="G45" s="449" t="s">
        <v>1067</v>
      </c>
    </row>
    <row r="46" s="384" customFormat="1" ht="13.5" customHeight="1" spans="1:7">
      <c r="A46" s="438" t="s">
        <v>996</v>
      </c>
      <c r="B46" s="450" t="s">
        <v>1068</v>
      </c>
      <c r="C46" s="451">
        <f ca="1">ROUND((C33+C39)*F27,0)</f>
        <v>12</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102</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90</v>
      </c>
      <c r="D51" s="430"/>
      <c r="E51" s="430"/>
      <c r="F51" s="468"/>
      <c r="G51" s="435" t="s">
        <v>1078</v>
      </c>
    </row>
    <row r="52" s="383" customFormat="1" ht="16.35" spans="1:7">
      <c r="A52" s="469" t="s">
        <v>1079</v>
      </c>
      <c r="B52" s="470"/>
      <c r="C52" s="471">
        <f ca="1">C31+C51</f>
        <v>95</v>
      </c>
      <c r="D52" s="470"/>
      <c r="E52" s="470"/>
      <c r="F52" s="470"/>
      <c r="G52" s="472"/>
    </row>
    <row r="55" ht="15" spans="2:3">
      <c r="B55" s="473" t="s">
        <v>1080</v>
      </c>
      <c r="C55" s="474"/>
    </row>
    <row r="56" spans="2:3">
      <c r="B56" s="475" t="s">
        <v>1081</v>
      </c>
      <c r="C56" s="477">
        <f ca="1">1-C57</f>
        <v>0.053</v>
      </c>
    </row>
    <row r="57" spans="2:3">
      <c r="B57" s="475" t="s">
        <v>1082</v>
      </c>
      <c r="C57" s="476">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3" t="str">
        <f>IF(ISERROR(FIND("住宅",B1)),"非住宅","住宅")</f>
        <v>非住宅</v>
      </c>
    </row>
    <row r="2" s="382" customFormat="1" ht="18" customHeight="1" spans="1:7">
      <c r="A2" s="394" t="s">
        <v>987</v>
      </c>
      <c r="B2" s="2484">
        <f ca="1">ROUND(IF(D2="——",C52/10000,C52/10000-E2),4)</f>
        <v>94.4288</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39436</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39436</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39436</v>
      </c>
      <c r="D10" s="420">
        <f ca="1">IF(B1="",'数据-汇总表'!E6,IF(INDIRECT("'数据-取费表'!c"&amp;$G$1)="住宅",INDIRECT("'数据-取费表'!s"&amp;$G$1),INDIRECT("'数据-取费表'!k"&amp;$G$1)+INDIRECT("'数据-取费表'!s"&amp;$G$1)))</f>
        <v>197.18</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197.18</v>
      </c>
      <c r="E19" s="404">
        <f>'数据-取费表'!B31</f>
        <v>200</v>
      </c>
      <c r="F19" s="429"/>
      <c r="G19" s="2489" t="s">
        <v>1085</v>
      </c>
    </row>
    <row r="20" s="384" customFormat="1" ht="13.5" customHeight="1" spans="1:7">
      <c r="A20" s="402" t="s">
        <v>1025</v>
      </c>
      <c r="B20" s="403" t="s">
        <v>1026</v>
      </c>
      <c r="C20" s="430">
        <f ca="1">ROUND((C5+C19)*F20,0)</f>
        <v>789</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f ca="1">ROUND(SUM(C23:C25),0)</f>
        <v>2795</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f ca="1">ROUND(IF('数据-取费表'!B22&lt;=1,C5*F22*'数据-取费表'!B22,C5*(POWER((1+F22),'数据-取费表'!B22)-1)),0)</f>
        <v>2768</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f ca="1">ROUND(IF('数据-取费表'!B22&lt;=1,C20*F22*'数据-取费表'!B22/2,C20*(POWER((1+F22),'数据-取费表'!B22/2)-1)),0)</f>
        <v>27</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6034</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6034</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53094</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774425</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690130</v>
      </c>
      <c r="D34" s="410"/>
      <c r="E34" s="413"/>
      <c r="F34" s="459"/>
      <c r="G34" s="412"/>
    </row>
    <row r="35" ht="13.5" customHeight="1" spans="1:7">
      <c r="A35" s="438" t="s">
        <v>998</v>
      </c>
      <c r="B35" s="408" t="s">
        <v>1056</v>
      </c>
      <c r="C35" s="413">
        <f ca="1">ROUND(C34*F35,0)</f>
        <v>34507</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39436</v>
      </c>
      <c r="D37" s="410">
        <f ca="1">D19</f>
        <v>197.18</v>
      </c>
      <c r="E37" s="451">
        <f>'数据-取费表'!B35</f>
        <v>200</v>
      </c>
      <c r="F37" s="460"/>
      <c r="G37" s="462"/>
    </row>
    <row r="38" ht="13.5" customHeight="1" spans="1:7">
      <c r="A38" s="438" t="s">
        <v>1062</v>
      </c>
      <c r="B38" s="408" t="s">
        <v>928</v>
      </c>
      <c r="C38" s="413">
        <f ca="1">ROUND(C34*F38,0)</f>
        <v>10352</v>
      </c>
      <c r="D38" s="413"/>
      <c r="E38" s="413"/>
      <c r="F38" s="460">
        <f>'数据-取费表'!B36</f>
        <v>0.015</v>
      </c>
      <c r="G38" s="412" t="s">
        <v>1057</v>
      </c>
    </row>
    <row r="39" s="384" customFormat="1" ht="13.5" customHeight="1" spans="1:7">
      <c r="A39" s="402" t="s">
        <v>1023</v>
      </c>
      <c r="B39" s="403" t="s">
        <v>1026</v>
      </c>
      <c r="C39" s="430">
        <f ca="1">ROUND(C33*F20,0)</f>
        <v>15489</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27252</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26718</v>
      </c>
      <c r="D42" s="440"/>
      <c r="E42" s="440"/>
      <c r="F42" s="441"/>
      <c r="G42" s="464" t="s">
        <v>1088</v>
      </c>
    </row>
    <row r="43" ht="13.5" customHeight="1" spans="1:7">
      <c r="A43" s="438" t="s">
        <v>998</v>
      </c>
      <c r="B43" s="408" t="s">
        <v>1036</v>
      </c>
      <c r="C43" s="440">
        <f ca="1">ROUND(IF('数据-取费表'!B22&lt;=1,C39*F22*'数据-取费表'!B20/2,C39*(POWER((1+F22),'数据-取费表'!B20/2)-1)),0)</f>
        <v>534</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118487</v>
      </c>
      <c r="D45" s="433">
        <f ca="1">C47</f>
        <v>0.003</v>
      </c>
      <c r="E45" s="434" t="s">
        <v>1064</v>
      </c>
      <c r="F45" s="448">
        <f ca="1">F27</f>
        <v>0.15</v>
      </c>
      <c r="G45" s="449" t="s">
        <v>1067</v>
      </c>
    </row>
    <row r="46" s="384" customFormat="1" ht="13.5" customHeight="1" spans="1:7">
      <c r="A46" s="438" t="s">
        <v>996</v>
      </c>
      <c r="B46" s="450" t="s">
        <v>1068</v>
      </c>
      <c r="C46" s="451">
        <f ca="1">ROUND((C33+C39)*F27,0)</f>
        <v>118487</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1012721</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891194</v>
      </c>
      <c r="D51" s="430"/>
      <c r="E51" s="430"/>
      <c r="F51" s="468"/>
      <c r="G51" s="435" t="s">
        <v>1078</v>
      </c>
    </row>
    <row r="52" s="383" customFormat="1" ht="16.35" spans="1:7">
      <c r="A52" s="469" t="s">
        <v>1079</v>
      </c>
      <c r="B52" s="470"/>
      <c r="C52" s="471">
        <f ca="1">C31+C51</f>
        <v>944288</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083"/>
      <c r="C1" s="2397"/>
      <c r="D1" s="2398"/>
      <c r="E1" s="2399"/>
      <c r="F1" s="2399"/>
      <c r="G1" s="2400"/>
      <c r="H1" s="2399"/>
      <c r="I1" s="2399"/>
      <c r="J1" s="2399"/>
      <c r="K1" s="2468">
        <f>MATCH(C1,'数据-取费表'!A6:A16,0)+5</f>
        <v>7</v>
      </c>
    </row>
    <row r="2" ht="18" customHeight="1" spans="1:11">
      <c r="A2" s="394" t="s">
        <v>987</v>
      </c>
      <c r="B2" s="398">
        <f ca="1">C32</f>
        <v>-5</v>
      </c>
      <c r="C2" s="2401" t="s">
        <v>1092</v>
      </c>
      <c r="D2" s="2401"/>
      <c r="E2" s="2399"/>
      <c r="F2" s="2399"/>
      <c r="G2" s="2399"/>
      <c r="H2" s="2399"/>
      <c r="I2" s="2399"/>
      <c r="J2" s="2399"/>
      <c r="K2" s="2399"/>
    </row>
    <row r="3" ht="18" customHeight="1" spans="1:11">
      <c r="A3" s="397" t="s">
        <v>989</v>
      </c>
      <c r="B3" s="398">
        <f ca="1">ROUND(B2*10000/IF(C1="",'数据-汇总表'!E3,INDIRECT("'数据-取费表'!K"&amp;$K$1)),0)</f>
        <v>-254</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46"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46"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49"/>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49"/>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49"/>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197.18</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46" t="s">
        <v>1115</v>
      </c>
      <c r="H15" s="2161"/>
      <c r="I15" s="2161"/>
      <c r="J15" s="2161"/>
      <c r="K15" s="216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46"/>
      <c r="H16" s="2428"/>
      <c r="I16" s="2161"/>
      <c r="J16" s="2161"/>
      <c r="K16" s="216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197.18</v>
      </c>
      <c r="E17" s="1048">
        <f>'数据-取费表'!B32</f>
        <v>0</v>
      </c>
      <c r="F17" s="2427"/>
      <c r="G17" s="2046" t="s">
        <v>1118</v>
      </c>
      <c r="H17" s="2428"/>
      <c r="I17" s="2161"/>
      <c r="J17" s="2161"/>
      <c r="K17" s="216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4</v>
      </c>
      <c r="D18" s="2424"/>
      <c r="E18" s="1048"/>
      <c r="F18" s="2425"/>
      <c r="G18" s="2429"/>
      <c r="H18" s="2430"/>
      <c r="I18" s="2476" t="s">
        <v>1121</v>
      </c>
      <c r="J18" s="2161"/>
      <c r="K18" s="2162"/>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60"/>
      <c r="H19" s="2431"/>
      <c r="I19" s="2432"/>
      <c r="J19" s="2432"/>
      <c r="K19" s="2477"/>
    </row>
    <row r="20" s="2390" customFormat="1" ht="13.5" customHeight="1" spans="1:11">
      <c r="A20" s="2419" t="s">
        <v>1005</v>
      </c>
      <c r="B20" s="2420" t="s">
        <v>1122</v>
      </c>
      <c r="C20" s="1048">
        <f ca="1">ROUND(D20*E20/10000,0)</f>
        <v>4</v>
      </c>
      <c r="D20" s="2424">
        <f ca="1">IF(C1="",'数据-汇总表'!E6,IF(INDIRECT("'数据-取费表'!c"&amp;$K$1)="住宅",INDIRECT("'数据-取费表'!s"&amp;$K$1),INDIRECT("'数据-取费表'!k"&amp;$K$1)+INDIRECT("'数据-取费表'!s"&amp;$K$1)))</f>
        <v>197.18</v>
      </c>
      <c r="E20" s="1048">
        <f>'数据-取费表'!B28</f>
        <v>200</v>
      </c>
      <c r="F20" s="2425"/>
      <c r="G20" s="2160"/>
      <c r="H20" s="2432"/>
      <c r="I20" s="2432"/>
      <c r="J20" s="2432"/>
      <c r="K20" s="2477"/>
    </row>
    <row r="21" s="2390" customFormat="1" ht="13.5" customHeight="1" spans="1:11">
      <c r="A21" s="2408" t="s">
        <v>897</v>
      </c>
      <c r="B21" s="2433" t="s">
        <v>1123</v>
      </c>
      <c r="C21" s="2434">
        <f ca="1">C16+C17+C18</f>
        <v>4</v>
      </c>
      <c r="D21" s="2435"/>
      <c r="E21" s="2436"/>
      <c r="F21" s="2436"/>
      <c r="G21" s="2046" t="s">
        <v>1124</v>
      </c>
      <c r="H21" s="2161"/>
      <c r="I21" s="2161"/>
      <c r="J21" s="2161"/>
      <c r="K21" s="2162"/>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4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61"/>
      <c r="I26" s="2161"/>
      <c r="J26" s="2161"/>
      <c r="K26" s="2162"/>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61"/>
      <c r="I27" s="2161"/>
      <c r="J27" s="2161"/>
      <c r="K27" s="2162"/>
    </row>
    <row r="28" s="2393" customFormat="1" ht="13.5" customHeight="1" spans="1:11">
      <c r="A28" s="2408" t="s">
        <v>954</v>
      </c>
      <c r="B28" s="2450" t="s">
        <v>1135</v>
      </c>
      <c r="C28" s="2451">
        <f ca="1">C30</f>
        <v>1</v>
      </c>
      <c r="D28" s="2438">
        <f ca="1">C29</f>
        <v>0</v>
      </c>
      <c r="E28" s="2441" t="s">
        <v>1130</v>
      </c>
      <c r="F28" s="1385">
        <f ca="1">IF(C1="",'数据-取费表'!Q16,INDIRECT("'数据-取费表'!q"&amp;$K$1))</f>
        <v>0.15</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46" t="s">
        <v>1137</v>
      </c>
      <c r="H29" s="2161"/>
      <c r="I29" s="2161"/>
      <c r="J29" s="2161"/>
      <c r="K29" s="2162"/>
    </row>
    <row r="30" s="2394" customFormat="1" ht="13.5" customHeight="1" spans="1:11">
      <c r="A30" s="2419" t="s">
        <v>924</v>
      </c>
      <c r="B30" s="2453" t="s">
        <v>1138</v>
      </c>
      <c r="C30" s="2455">
        <f ca="1">ROUND((C21+C22+C23)*F28,0)</f>
        <v>1</v>
      </c>
      <c r="D30" s="2445"/>
      <c r="E30" s="2446"/>
      <c r="F30" s="2454"/>
      <c r="G30" s="2046"/>
      <c r="H30" s="2161"/>
      <c r="I30" s="2161"/>
      <c r="J30" s="2161"/>
      <c r="K30" s="2162"/>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-5</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c r="D1" s="1975" t="s">
        <v>124</v>
      </c>
      <c r="E1" s="1976" t="s">
        <v>1145</v>
      </c>
      <c r="F1" s="1977">
        <f ca="1">J53</f>
        <v>0</v>
      </c>
      <c r="G1" s="1978">
        <f>MATCH(C1,'数据-取费表'!A6:A16,0)+5</f>
        <v>7</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2378" t="e">
        <f ca="1">C40+J29+L46</f>
        <v>#DIV/0!</v>
      </c>
      <c r="C2" s="1981" t="s">
        <v>1147</v>
      </c>
      <c r="D2" s="1981"/>
      <c r="E2" s="1983"/>
      <c r="F2" s="1984"/>
      <c r="G2" s="1985"/>
      <c r="H2" s="1986"/>
      <c r="I2" s="1986"/>
      <c r="J2" s="1986"/>
      <c r="K2" s="2148"/>
      <c r="L2" s="1986"/>
      <c r="M2" s="1986"/>
    </row>
    <row r="3" ht="18" customHeight="1" spans="1:13">
      <c r="A3" s="1987" t="s">
        <v>1148</v>
      </c>
      <c r="B3" s="1988">
        <f ca="1">IF(ISERROR(B2*10000/F43),0,ROUND(B2*10000/F43,0))</f>
        <v>0</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ROUND(F6*F8*F7*(1-F9)/10000,0)</f>
        <v>0</v>
      </c>
      <c r="D6" s="2003" t="s">
        <v>1159</v>
      </c>
      <c r="E6" s="2004" t="s">
        <v>1160</v>
      </c>
      <c r="F6" s="2005">
        <f ca="1">INDIRECT("'数据-取费表'!u"&amp;$G$1)</f>
        <v>0</v>
      </c>
      <c r="G6" s="799"/>
      <c r="H6" s="2000" t="s">
        <v>897</v>
      </c>
      <c r="I6" s="2001" t="s">
        <v>1158</v>
      </c>
      <c r="J6" s="2078">
        <f ca="1">ROUND(M6*M8*M7*(1-M9)/10000,0)</f>
        <v>0</v>
      </c>
      <c r="K6" s="2003" t="s">
        <v>1161</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0</v>
      </c>
      <c r="G7" s="799"/>
      <c r="H7" s="2011"/>
      <c r="I7" s="2007"/>
      <c r="J7" s="2012"/>
      <c r="K7" s="2009"/>
      <c r="L7" s="2004" t="s">
        <v>1162</v>
      </c>
      <c r="M7" s="2005">
        <f ca="1">F7</f>
        <v>0</v>
      </c>
    </row>
    <row r="8" ht="18" customHeight="1" spans="1:13">
      <c r="A8" s="2011"/>
      <c r="B8" s="2007"/>
      <c r="C8" s="2012"/>
      <c r="D8" s="2009"/>
      <c r="E8" s="2004" t="s">
        <v>1163</v>
      </c>
      <c r="F8" s="2005">
        <f ca="1">INDIRECT("'数据-取费表'!ai"&amp;$G$1)</f>
        <v>0</v>
      </c>
      <c r="G8" s="799"/>
      <c r="H8" s="2011"/>
      <c r="I8" s="2007"/>
      <c r="J8" s="2012"/>
      <c r="K8" s="2009"/>
      <c r="L8" s="2004" t="s">
        <v>1163</v>
      </c>
      <c r="M8" s="2005">
        <f ca="1">INDIRECT("'数据-取费表'!ai"&amp;$G$1)</f>
        <v>0</v>
      </c>
    </row>
    <row r="9" ht="18" customHeight="1" spans="1:13">
      <c r="A9" s="2011"/>
      <c r="B9" s="2013"/>
      <c r="C9" s="2012"/>
      <c r="D9" s="2009"/>
      <c r="E9" s="2004" t="s">
        <v>1164</v>
      </c>
      <c r="F9" s="2014">
        <f ca="1">INDIRECT("'数据-取费表'!w"&amp;$G$1)</f>
        <v>0</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0</v>
      </c>
      <c r="D10" s="2016" t="s">
        <v>1166</v>
      </c>
      <c r="E10" s="2017" t="s">
        <v>1167</v>
      </c>
      <c r="F10" s="2018"/>
      <c r="G10" s="799"/>
      <c r="H10" s="2000" t="s">
        <v>901</v>
      </c>
      <c r="I10" s="2015" t="s">
        <v>1165</v>
      </c>
      <c r="J10" s="2078">
        <f ca="1">ROUND(IF(M10="押一",J6/12*M11,IF(M10="押二",J6/12*2*M11,IF(M10="押三",J6/12*3*M11,J11*M11))),0)</f>
        <v>0</v>
      </c>
      <c r="K10" s="2016" t="s">
        <v>1166</v>
      </c>
      <c r="L10" s="2017" t="s">
        <v>1167</v>
      </c>
      <c r="M10" s="2018"/>
    </row>
    <row r="11" ht="18" customHeight="1" spans="1:13">
      <c r="A11" s="2019"/>
      <c r="B11" s="2020" t="s">
        <v>1168</v>
      </c>
      <c r="C11" s="2021"/>
      <c r="D11" s="2379"/>
      <c r="E11" s="2017" t="s">
        <v>1169</v>
      </c>
      <c r="F11" s="2022">
        <f ca="1">'数据-取费表'!B39</f>
        <v>0.015</v>
      </c>
      <c r="G11" s="799"/>
      <c r="H11" s="2023"/>
      <c r="I11" s="2020" t="s">
        <v>1168</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0</v>
      </c>
      <c r="D13" s="2033" t="s">
        <v>1172</v>
      </c>
      <c r="E13" s="2033" t="s">
        <v>1173</v>
      </c>
      <c r="F13" s="2034">
        <f ca="1">INDIRECT("'数据-取费表'!y"&amp;$G$1)</f>
        <v>0</v>
      </c>
      <c r="G13" s="799"/>
      <c r="H13" s="2030">
        <v>2</v>
      </c>
      <c r="I13" s="2031" t="s">
        <v>1171</v>
      </c>
      <c r="J13" s="2157">
        <f ca="1">ROUND(J14*J15,0)</f>
        <v>0</v>
      </c>
      <c r="K13" s="2056" t="s">
        <v>1172</v>
      </c>
      <c r="L13" s="2158"/>
      <c r="M13" s="2159"/>
    </row>
    <row r="14" ht="18" customHeight="1" spans="1:13">
      <c r="A14" s="2035" t="s">
        <v>920</v>
      </c>
      <c r="B14" s="2004" t="s">
        <v>1174</v>
      </c>
      <c r="C14" s="2036">
        <f ca="1">INDIRECT("'数据-取费表'!m"&amp;$G$1)+INDIRECT("'数据-取费表'!t"&amp;$G$1)</f>
        <v>0</v>
      </c>
      <c r="D14" s="2037" t="s">
        <v>1175</v>
      </c>
      <c r="E14" s="2038"/>
      <c r="F14" s="2039"/>
      <c r="G14" s="799"/>
      <c r="H14" s="2035" t="s">
        <v>897</v>
      </c>
      <c r="I14" s="2004" t="s">
        <v>1176</v>
      </c>
      <c r="J14" s="1048">
        <f ca="1">C29</f>
        <v>0</v>
      </c>
      <c r="K14" s="2160"/>
      <c r="L14" s="2161"/>
      <c r="M14" s="2162"/>
    </row>
    <row r="15" s="1971" customFormat="1" ht="18" customHeight="1" spans="1:37">
      <c r="A15" s="2035" t="s">
        <v>924</v>
      </c>
      <c r="B15" s="2004" t="s">
        <v>1105</v>
      </c>
      <c r="C15" s="1048">
        <f ca="1">ROUND(C14*F15,0)</f>
        <v>0</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ROUND(INDIRECT("'数据-取费表'!m"&amp;$G$1)*F16,0)</f>
        <v>0</v>
      </c>
      <c r="D16" s="2004" t="s">
        <v>1177</v>
      </c>
      <c r="E16" s="2004" t="s">
        <v>1178</v>
      </c>
      <c r="F16" s="2044">
        <f ca="1">IF(INDIRECT("'数据-取费表'!c"&amp;$G$1)="住宅",'数据-取费表'!B34,0)</f>
        <v>0</v>
      </c>
      <c r="G16" s="799"/>
      <c r="H16" s="2030" t="s">
        <v>1179</v>
      </c>
      <c r="I16" s="2031" t="s">
        <v>1180</v>
      </c>
      <c r="J16" s="2032">
        <f ca="1">ROUND(J17+J22+J23+J24,0)</f>
        <v>0</v>
      </c>
      <c r="K16" s="2056" t="s">
        <v>1181</v>
      </c>
      <c r="L16" s="2057"/>
      <c r="M16" s="1999"/>
    </row>
    <row r="17" s="1971" customFormat="1" ht="18" customHeight="1" spans="1:37">
      <c r="A17" s="2035" t="s">
        <v>1182</v>
      </c>
      <c r="B17" s="2004" t="s">
        <v>1183</v>
      </c>
      <c r="C17" s="1048">
        <f ca="1">ROUND(F17*(F43+INDIRECT("'数据-取费表'!S"&amp;$G$1))/10000,0)</f>
        <v>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ROUND(IF(AND(项目基本情况!B11="自然人",项目基本情况!B10="北京市"),J6*M17/(1+'数据-取费表'!C42),J18+J19+J20),2)</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0</v>
      </c>
      <c r="D18" s="2004" t="s">
        <v>1177</v>
      </c>
      <c r="E18" s="2004" t="s">
        <v>1178</v>
      </c>
      <c r="F18" s="2044">
        <f>'数据-取费表'!B36</f>
        <v>0.015</v>
      </c>
      <c r="G18" s="2042"/>
      <c r="H18" s="2035" t="s">
        <v>920</v>
      </c>
      <c r="I18" s="2004" t="s">
        <v>1190</v>
      </c>
      <c r="J18" s="1048">
        <f ca="1">ROUND(J6*M18/(1+'数据-取费表'!C42),2)</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0</v>
      </c>
      <c r="D19" s="2046" t="s">
        <v>1193</v>
      </c>
      <c r="E19" s="1050"/>
      <c r="F19" s="2045"/>
      <c r="G19" s="799"/>
      <c r="H19" s="2035" t="s">
        <v>924</v>
      </c>
      <c r="I19" s="2004" t="s">
        <v>1194</v>
      </c>
      <c r="J19" s="1048">
        <f ca="1">IF(K19="按租金收入计税",ROUND(J6*M19/(1+'数据-取费表'!C42),2),ROUND(C29*M19*0.7,2))</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0</v>
      </c>
      <c r="D20" s="2047" t="s">
        <v>1197</v>
      </c>
      <c r="E20" s="2004" t="s">
        <v>1178</v>
      </c>
      <c r="F20" s="2044">
        <f>'数据-取费表'!B37</f>
        <v>0.02</v>
      </c>
      <c r="G20" s="2042"/>
      <c r="H20" s="2035" t="s">
        <v>927</v>
      </c>
      <c r="I20" s="2003" t="s">
        <v>1198</v>
      </c>
      <c r="J20" s="2065">
        <f ca="1">ROUND(M20*M21/10000,2)</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ROUND(J14*M22,2)</f>
        <v>0</v>
      </c>
      <c r="K22" s="2060" t="s">
        <v>1207</v>
      </c>
      <c r="L22" s="2004" t="s">
        <v>1178</v>
      </c>
      <c r="M22" s="2072">
        <f ca="1">INDIRECT("'数据-取费表'!Ak"&amp;$G$1)</f>
        <v>0</v>
      </c>
    </row>
    <row r="23" s="1971" customFormat="1" ht="18" customHeight="1" spans="1:37">
      <c r="A23" s="2035" t="s">
        <v>920</v>
      </c>
      <c r="B23" s="2004" t="s">
        <v>1208</v>
      </c>
      <c r="C23" s="1048">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ROUND(J13*M23,2)</f>
        <v>0</v>
      </c>
      <c r="K23" s="2060" t="s">
        <v>1211</v>
      </c>
      <c r="L23" s="2004" t="s">
        <v>1178</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ROUND(J5*M24,2)</f>
        <v>0</v>
      </c>
      <c r="K24" s="2053" t="s">
        <v>1214</v>
      </c>
      <c r="L24" s="2028" t="s">
        <v>1178</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24" customHeight="1" spans="1:13">
      <c r="A25" s="2035" t="s">
        <v>953</v>
      </c>
      <c r="B25" s="2004" t="s">
        <v>1215</v>
      </c>
      <c r="C25" s="1048"/>
      <c r="D25" s="2046" t="s">
        <v>1216</v>
      </c>
      <c r="E25" s="1050"/>
      <c r="F25" s="2045"/>
      <c r="G25" s="799"/>
      <c r="H25" s="2030" t="s">
        <v>1217</v>
      </c>
      <c r="I25" s="2074" t="s">
        <v>1218</v>
      </c>
      <c r="J25" s="2032">
        <f ca="1">J5-J16</f>
        <v>0</v>
      </c>
      <c r="K25" s="2075" t="s">
        <v>1219</v>
      </c>
      <c r="L25" s="2076"/>
      <c r="M25" s="2077"/>
    </row>
    <row r="26" spans="1:13">
      <c r="A26" s="2035" t="s">
        <v>920</v>
      </c>
      <c r="B26" s="2004" t="s">
        <v>1220</v>
      </c>
      <c r="C26" s="1048">
        <f ca="1">ROUND((C19+C20)*F26,0)</f>
        <v>0</v>
      </c>
      <c r="D26" s="2047" t="s">
        <v>1221</v>
      </c>
      <c r="E26" s="2017" t="s">
        <v>1222</v>
      </c>
      <c r="F26" s="2014">
        <f ca="1">INDIRECT("'数据-取费表'!q"&amp;$G$1)</f>
        <v>0</v>
      </c>
      <c r="G26" s="799"/>
      <c r="H26" s="1994" t="s">
        <v>1223</v>
      </c>
      <c r="I26" s="1995" t="s">
        <v>1224</v>
      </c>
      <c r="J26" s="2078">
        <f ca="1">IF(J5&lt;&gt;0,ROUND(J25*(1-((1+M28)/(1+M26))^M27)/(M26-M28),0),0)</f>
        <v>0</v>
      </c>
      <c r="K26" s="2066" t="s">
        <v>1225</v>
      </c>
      <c r="L26" s="2004" t="s">
        <v>1226</v>
      </c>
      <c r="M26" s="2014">
        <f ca="1">INDIRECT("'数据-取费表'!I"&amp;$G$1)</f>
        <v>0</v>
      </c>
    </row>
    <row r="27" ht="18" customHeight="1" spans="1:13">
      <c r="A27" s="2035" t="s">
        <v>924</v>
      </c>
      <c r="B27" s="2004" t="s">
        <v>1227</v>
      </c>
      <c r="C27" s="1048">
        <f ca="1">ROUND(F21*F26,4)</f>
        <v>0</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0</v>
      </c>
      <c r="D29" s="2053"/>
      <c r="E29" s="2028"/>
      <c r="F29" s="2054"/>
      <c r="G29" s="2042"/>
      <c r="H29" s="2055" t="s">
        <v>1235</v>
      </c>
      <c r="I29" s="2085" t="s">
        <v>1236</v>
      </c>
      <c r="J29" s="2086">
        <f ca="1">ROUND(J26/(1+F40)^F41,0)</f>
        <v>0</v>
      </c>
      <c r="K29" s="2087" t="s">
        <v>1237</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0</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ROUND(IF(AND(项目基本情况!B11="自然人",项目基本情况!B10="北京市"),C6*F31/(1+'数据-取费表'!C42),C32+C33+C34),2)</f>
        <v>0</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IF(项目基本情况!B11="自然人","——",ROUND(C6*F32/(1+'数据-取费表'!C42),2))</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IF(项目基本情况!B11="自然人","——",IF(D33="按租金收入计税",ROUND(C6*F33/(1+'数据-取费表'!C42),2),IF(D33="按房产原值计税",ROUND(C29*F33*0.7,2),INDIRECT("'数据-取费表'!Aj"&amp;$G$1))))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IF(项目基本情况!B11="自然人","——",ROUND(F34*F35/10000,2))</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ROUND(C29*F36,2)</f>
        <v>0</v>
      </c>
      <c r="D36" s="2060" t="s">
        <v>1239</v>
      </c>
      <c r="E36" s="2004" t="s">
        <v>1178</v>
      </c>
      <c r="F36" s="2072">
        <f ca="1">INDIRECT("'数据-取费表'!Ak"&amp;$G$1)</f>
        <v>0</v>
      </c>
      <c r="G36" s="799"/>
      <c r="H36" s="2064"/>
      <c r="I36" s="2167"/>
      <c r="J36" s="2168"/>
      <c r="K36" s="2175"/>
      <c r="L36" s="2064"/>
      <c r="M36" s="2064"/>
    </row>
    <row r="37" ht="18" customHeight="1" spans="1:13">
      <c r="A37" s="2035" t="s">
        <v>946</v>
      </c>
      <c r="B37" s="2004" t="s">
        <v>1210</v>
      </c>
      <c r="C37" s="1048">
        <f ca="1">ROUND(C13*F37,2)</f>
        <v>0</v>
      </c>
      <c r="D37" s="2060" t="s">
        <v>1211</v>
      </c>
      <c r="E37" s="2004" t="s">
        <v>1178</v>
      </c>
      <c r="F37" s="2073">
        <f ca="1">INDIRECT("'数据-取费表'!Al"&amp;$G$1)</f>
        <v>0</v>
      </c>
      <c r="G37" s="799"/>
      <c r="H37" s="2064"/>
      <c r="I37" s="2167"/>
      <c r="J37" s="2168"/>
      <c r="K37" s="2175"/>
      <c r="L37" s="2064"/>
      <c r="M37" s="2064"/>
    </row>
    <row r="38" ht="18" customHeight="1" spans="1:13">
      <c r="A38" s="2043" t="s">
        <v>949</v>
      </c>
      <c r="B38" s="2028" t="s">
        <v>1196</v>
      </c>
      <c r="C38" s="2052">
        <f ca="1">ROUND(C5*F38,2)</f>
        <v>0</v>
      </c>
      <c r="D38" s="2053" t="s">
        <v>1214</v>
      </c>
      <c r="E38" s="2028" t="s">
        <v>1178</v>
      </c>
      <c r="F38" s="2029">
        <f ca="1">INDIRECT("'数据-取费表'!Am"&amp;$G$1)</f>
        <v>0</v>
      </c>
      <c r="G38" s="799"/>
      <c r="H38" s="2064"/>
      <c r="I38" s="2167"/>
      <c r="J38" s="2168"/>
      <c r="K38" s="2176"/>
      <c r="L38" s="2064"/>
      <c r="M38" s="2064"/>
    </row>
    <row r="39" ht="24.6" customHeight="1" spans="1:13">
      <c r="A39" s="2030" t="s">
        <v>1217</v>
      </c>
      <c r="B39" s="2074" t="s">
        <v>1218</v>
      </c>
      <c r="C39" s="2032">
        <f ca="1">C5-C30</f>
        <v>0</v>
      </c>
      <c r="D39" s="2075" t="s">
        <v>1219</v>
      </c>
      <c r="E39" s="2076"/>
      <c r="F39" s="2077"/>
      <c r="G39" s="799"/>
      <c r="H39" s="2064"/>
      <c r="I39" s="2167"/>
      <c r="J39" s="2168"/>
      <c r="K39" s="2176"/>
      <c r="L39" s="2064"/>
      <c r="M39" s="2064"/>
    </row>
    <row r="40" ht="18" customHeight="1" spans="1:13">
      <c r="A40" s="1994" t="s">
        <v>1223</v>
      </c>
      <c r="B40" s="1995" t="s">
        <v>1240</v>
      </c>
      <c r="C40" s="2078" t="e">
        <f ca="1">ROUND(C39*(1-((1+F42)/(1+F40))^F41)/(F40-F42),0)</f>
        <v>#DIV/0!</v>
      </c>
      <c r="D40" s="2066" t="s">
        <v>1225</v>
      </c>
      <c r="E40" s="2004" t="s">
        <v>1226</v>
      </c>
      <c r="F40" s="2014">
        <f ca="1">INDIRECT("'数据-取费表'!I"&amp;$G$1)</f>
        <v>0</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0</v>
      </c>
      <c r="G41" s="799"/>
      <c r="H41" s="2083"/>
      <c r="I41" s="2167"/>
      <c r="J41" s="2168"/>
      <c r="K41" s="2175"/>
      <c r="L41" s="2083"/>
      <c r="M41" s="2083"/>
    </row>
    <row r="42" ht="18" customHeight="1" spans="1:13">
      <c r="A42" s="2019"/>
      <c r="B42" s="2084"/>
      <c r="C42" s="2032"/>
      <c r="D42" s="2070"/>
      <c r="E42" s="2004" t="s">
        <v>1233</v>
      </c>
      <c r="F42" s="2014">
        <f ca="1">INDIRECT("'数据-取费表'!v"&amp;$G$1)</f>
        <v>0</v>
      </c>
      <c r="G42" s="799"/>
      <c r="H42" s="2083"/>
      <c r="I42" s="2167"/>
      <c r="J42" s="2168"/>
      <c r="K42" s="2175"/>
      <c r="L42" s="2083"/>
      <c r="M42" s="2083"/>
    </row>
    <row r="43" ht="18" customHeight="1" spans="1:13">
      <c r="A43" s="2055" t="s">
        <v>1235</v>
      </c>
      <c r="B43" s="2085" t="s">
        <v>1241</v>
      </c>
      <c r="C43" s="2086" t="e">
        <f ca="1">ROUND(C40*10000/F43,0)</f>
        <v>#DIV/0!</v>
      </c>
      <c r="D43" s="2087" t="s">
        <v>1242</v>
      </c>
      <c r="E43" s="2088" t="s">
        <v>1243</v>
      </c>
      <c r="F43" s="2089">
        <f ca="1">INDIRECT("'数据-取费表'!k"&amp;$G$1)</f>
        <v>0</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0"/>
      <c r="B45" s="2090"/>
      <c r="C45" s="2091"/>
      <c r="D45" s="2090"/>
      <c r="E45" s="2090"/>
      <c r="F45" s="2090"/>
      <c r="J45" s="1082"/>
      <c r="O45" s="2385" t="s">
        <v>1244</v>
      </c>
      <c r="P45" s="2079"/>
      <c r="Q45" s="2079"/>
      <c r="R45" s="2079"/>
    </row>
    <row r="46" s="799" customFormat="1" ht="13.95" spans="1:18">
      <c r="A46" s="2095" t="s">
        <v>1245</v>
      </c>
      <c r="C46" s="2096" t="e">
        <f ca="1">C68-C40</f>
        <v>#DIV/0!</v>
      </c>
      <c r="D46" s="2097" t="str">
        <f>C2</f>
        <v>万元</v>
      </c>
      <c r="E46" s="2090"/>
      <c r="F46" s="2090"/>
      <c r="I46" s="2179" t="s">
        <v>1246</v>
      </c>
      <c r="J46" s="2180"/>
      <c r="K46" s="2181"/>
      <c r="L46" s="2182" t="e">
        <f ca="1">IF(M47="住宅",0,IF(L48&gt;J51,L60,J60))</f>
        <v>#DIV/0!</v>
      </c>
      <c r="O46" s="2183" t="s">
        <v>1247</v>
      </c>
      <c r="P46" s="2184" t="s">
        <v>1248</v>
      </c>
      <c r="Q46" s="2231" t="s">
        <v>1249</v>
      </c>
      <c r="R46" s="2231" t="s">
        <v>1250</v>
      </c>
    </row>
    <row r="47" s="799" customFormat="1" ht="13.95" spans="1:18">
      <c r="A47" s="2098" t="s">
        <v>1151</v>
      </c>
      <c r="B47" s="2099" t="s">
        <v>1152</v>
      </c>
      <c r="C47" s="2380" t="s">
        <v>1153</v>
      </c>
      <c r="D47" s="2099" t="s">
        <v>1154</v>
      </c>
      <c r="E47" s="2100" t="s">
        <v>1155</v>
      </c>
      <c r="F47" s="1041"/>
      <c r="G47" s="2101"/>
      <c r="I47" s="2185" t="s">
        <v>1251</v>
      </c>
      <c r="J47" s="2186"/>
      <c r="K47" s="2187" t="s">
        <v>1252</v>
      </c>
      <c r="L47" s="2188">
        <f ca="1">INDIRECT("'数据-取费表'!d"&amp;$G$1)</f>
        <v>0</v>
      </c>
      <c r="M47" s="2189" t="str">
        <f>IF(ISNUMBER(FIND("住宅",C1)),"住宅","非住宅")</f>
        <v>非住宅</v>
      </c>
      <c r="O47" s="2190" t="s">
        <v>1002</v>
      </c>
      <c r="P47" s="2191" t="s">
        <v>1253</v>
      </c>
      <c r="Q47" s="2232" t="e">
        <f ca="1">C40+J29</f>
        <v>#DIV/0!</v>
      </c>
      <c r="R47" s="2232" t="s">
        <v>1254</v>
      </c>
    </row>
    <row r="48" s="799" customFormat="1" ht="41.55" spans="1:18">
      <c r="A48" s="2102" t="s">
        <v>1255</v>
      </c>
      <c r="B48" s="1995" t="s">
        <v>1156</v>
      </c>
      <c r="C48" s="1049">
        <f ca="1">C49+C53+C55</f>
        <v>0</v>
      </c>
      <c r="D48" s="2103"/>
      <c r="E48" s="2104"/>
      <c r="F48" s="2105"/>
      <c r="G48" s="2101"/>
      <c r="H48" s="2106"/>
      <c r="I48" s="2192" t="s">
        <v>1256</v>
      </c>
      <c r="J48" s="2193"/>
      <c r="K48" s="2194" t="s">
        <v>1257</v>
      </c>
      <c r="L48" s="2195">
        <f ca="1">INDIRECT("'数据-取费表'!f"&amp;$G$1)</f>
        <v>0</v>
      </c>
      <c r="O48" s="2190" t="s">
        <v>1005</v>
      </c>
      <c r="P48" s="2191" t="s">
        <v>1258</v>
      </c>
      <c r="Q48" s="2232" t="e">
        <f ca="1">J60</f>
        <v>#DIV/0!</v>
      </c>
      <c r="R48" s="2232" t="s">
        <v>1259</v>
      </c>
    </row>
    <row r="49" s="799" customFormat="1" ht="13.95" spans="1:18">
      <c r="A49" s="2107" t="s">
        <v>1260</v>
      </c>
      <c r="B49" s="2108" t="s">
        <v>1261</v>
      </c>
      <c r="C49" s="2109">
        <f ca="1">ROUND(F49*F51*F50*(1-F52)/10000,0)</f>
        <v>0</v>
      </c>
      <c r="D49" s="2110" t="s">
        <v>1161</v>
      </c>
      <c r="E49" s="2111" t="s">
        <v>1262</v>
      </c>
      <c r="F49" s="2112"/>
      <c r="G49" s="2113"/>
      <c r="H49" s="2106"/>
      <c r="I49" s="2192" t="s">
        <v>1263</v>
      </c>
      <c r="J49" s="2196"/>
      <c r="K49" s="2194" t="s">
        <v>1264</v>
      </c>
      <c r="L49" s="2197"/>
      <c r="O49" s="2198" t="s">
        <v>1265</v>
      </c>
      <c r="P49" s="2191" t="s">
        <v>1266</v>
      </c>
      <c r="Q49" s="2232">
        <f ca="1">C29</f>
        <v>0</v>
      </c>
      <c r="R49" s="2232" t="s">
        <v>1254</v>
      </c>
    </row>
    <row r="50" s="799" customFormat="1" ht="13.95" spans="1:18">
      <c r="A50" s="2114"/>
      <c r="B50" s="2115"/>
      <c r="C50" s="2381"/>
      <c r="D50" s="2117"/>
      <c r="E50" s="2118" t="s">
        <v>1162</v>
      </c>
      <c r="F50" s="2119">
        <f ca="1">F7</f>
        <v>0</v>
      </c>
      <c r="H50" s="2106"/>
      <c r="I50" s="2192" t="s">
        <v>1267</v>
      </c>
      <c r="J50" s="2199">
        <f>SUMPRODUCT((I63:I65=J47)*(J62:L62=J48)*(J63:L65))</f>
        <v>0</v>
      </c>
      <c r="K50" s="2194" t="s">
        <v>1268</v>
      </c>
      <c r="L50" s="2197"/>
      <c r="M50" s="2200"/>
      <c r="O50" s="2198" t="s">
        <v>1269</v>
      </c>
      <c r="P50" s="2191" t="s">
        <v>1270</v>
      </c>
      <c r="Q50" s="2233" t="e">
        <f ca="1">J58</f>
        <v>#DIV/0!</v>
      </c>
      <c r="R50" s="2232"/>
    </row>
    <row r="51" s="799" customFormat="1" ht="13.95" spans="1:18">
      <c r="A51" s="2120"/>
      <c r="B51" s="2115"/>
      <c r="C51" s="2116"/>
      <c r="D51" s="2117"/>
      <c r="E51" s="2121" t="s">
        <v>1163</v>
      </c>
      <c r="F51" s="2005">
        <f ca="1">F8</f>
        <v>0</v>
      </c>
      <c r="I51" s="2201" t="s">
        <v>1271</v>
      </c>
      <c r="J51" s="2202">
        <f>IF(J49="",J50,J49+J50-YEAR('数据-取费表'!B2))</f>
        <v>0</v>
      </c>
      <c r="K51" s="2203" t="s">
        <v>1272</v>
      </c>
      <c r="L51" s="2204">
        <f ca="1">ROUND(-PV(INDIRECT("'数据-取费表'!h"&amp;$G$1),J51,(C39-C13*C76),0),0)</f>
        <v>0</v>
      </c>
      <c r="M51" s="2205"/>
      <c r="O51" s="2198" t="s">
        <v>1273</v>
      </c>
      <c r="P51" s="2191" t="s">
        <v>1274</v>
      </c>
      <c r="Q51" s="2233">
        <f>J52</f>
        <v>0</v>
      </c>
      <c r="R51" s="2232"/>
    </row>
    <row r="52" s="799" customFormat="1" ht="13.95" spans="1:18">
      <c r="A52" s="2120"/>
      <c r="B52" s="2115"/>
      <c r="C52" s="2116"/>
      <c r="D52" s="2117"/>
      <c r="E52" s="2121" t="s">
        <v>1164</v>
      </c>
      <c r="F52" s="2122"/>
      <c r="I52" s="2206" t="s">
        <v>1275</v>
      </c>
      <c r="J52" s="2207"/>
      <c r="K52" s="2206" t="s">
        <v>1276</v>
      </c>
      <c r="L52" s="2207"/>
      <c r="O52" s="2198" t="s">
        <v>1277</v>
      </c>
      <c r="P52" s="2191" t="s">
        <v>1278</v>
      </c>
      <c r="Q52" s="2232">
        <f ca="1">J53</f>
        <v>0</v>
      </c>
      <c r="R52" s="2232" t="s">
        <v>1279</v>
      </c>
    </row>
    <row r="53" s="799" customFormat="1" ht="36.75" spans="1:18">
      <c r="A53" s="2382" t="s">
        <v>1280</v>
      </c>
      <c r="B53" s="2383" t="s">
        <v>1165</v>
      </c>
      <c r="C53" s="1047">
        <f ca="1">ROUND(IF(F53="押一",C49/12*F11,IF(F53="押二",C49/12*2*F11,IF(F53="押三",C49/12*3*F11,C54*F11))),0)</f>
        <v>0</v>
      </c>
      <c r="D53" s="2016" t="s">
        <v>1166</v>
      </c>
      <c r="E53" s="2017" t="s">
        <v>1167</v>
      </c>
      <c r="F53" s="2018"/>
      <c r="I53" s="2208" t="s">
        <v>1281</v>
      </c>
      <c r="J53" s="2209">
        <f ca="1">IF(M47="住宅",IF(D1="——",MAX(J51,L48),MAX(J51,L48-'数据-取费表'!B24)),IF(D1="——",MIN(J51,L48),MIN(J51,L48-'数据-取费表'!B24)))</f>
        <v>0</v>
      </c>
      <c r="K53" s="2210" t="s">
        <v>1282</v>
      </c>
      <c r="L53" s="2211"/>
      <c r="O53" s="2190" t="s">
        <v>1107</v>
      </c>
      <c r="P53" s="2191" t="s">
        <v>1283</v>
      </c>
      <c r="Q53" s="2232" t="e">
        <f ca="1">Q47+Q48</f>
        <v>#DIV/0!</v>
      </c>
      <c r="R53" s="2232" t="s">
        <v>1284</v>
      </c>
    </row>
    <row r="54" s="799" customFormat="1" ht="24.75" spans="1:18">
      <c r="A54" s="2384"/>
      <c r="B54" s="2020" t="s">
        <v>1168</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t="e">
        <f ca="1">ROUND(IF(J47="钢混",J57/J50,1-(1-2%)*(J50-J57)/J50),3)</f>
        <v>#DIV/0!</v>
      </c>
      <c r="K55" s="2217" t="s">
        <v>1287</v>
      </c>
      <c r="L55" s="2218"/>
      <c r="O55" s="2183" t="s">
        <v>1247</v>
      </c>
      <c r="P55" s="2184" t="s">
        <v>1248</v>
      </c>
      <c r="Q55" s="2231" t="s">
        <v>1249</v>
      </c>
      <c r="R55" s="2231" t="s">
        <v>1250</v>
      </c>
    </row>
    <row r="56" s="799" customFormat="1" ht="37.5" spans="1:18">
      <c r="A56" s="2127">
        <v>2</v>
      </c>
      <c r="B56" s="2128" t="s">
        <v>1171</v>
      </c>
      <c r="C56" s="430">
        <f ca="1">C13</f>
        <v>0</v>
      </c>
      <c r="D56" s="2129"/>
      <c r="E56" s="2130"/>
      <c r="F56" s="2126"/>
      <c r="I56" s="2219" t="s">
        <v>1288</v>
      </c>
      <c r="J56" s="2220"/>
      <c r="K56" s="2192" t="s">
        <v>1289</v>
      </c>
      <c r="L56" s="2195">
        <f ca="1">IF(L48&lt;J51,"——",L48-J53)</f>
        <v>0</v>
      </c>
      <c r="O56" s="2190" t="s">
        <v>1002</v>
      </c>
      <c r="P56" s="2191" t="s">
        <v>1253</v>
      </c>
      <c r="Q56" s="2232" t="e">
        <f ca="1">C40+J29</f>
        <v>#DIV/0!</v>
      </c>
      <c r="R56" s="2232" t="s">
        <v>1254</v>
      </c>
    </row>
    <row r="57" s="799" customFormat="1" ht="24.75" spans="1:18">
      <c r="A57" s="2131"/>
      <c r="B57" s="2132" t="s">
        <v>1234</v>
      </c>
      <c r="C57" s="440">
        <f ca="1">C29</f>
        <v>0</v>
      </c>
      <c r="D57" s="2133"/>
      <c r="E57" s="2134"/>
      <c r="F57" s="2135"/>
      <c r="I57" s="2221" t="s">
        <v>1290</v>
      </c>
      <c r="J57" s="2222">
        <f ca="1">IF(OR(M47="住宅",J51&lt;L48,J56="是"),"——",J51-L48)</f>
        <v>0</v>
      </c>
      <c r="K57" s="2192" t="s">
        <v>1291</v>
      </c>
      <c r="L57" s="2195">
        <f ca="1">IF(L48&lt;J51,"——",IF(L55="比较法",L49,IF(L55="基准地价",L50,L51)))</f>
        <v>0</v>
      </c>
      <c r="O57" s="2190" t="s">
        <v>1005</v>
      </c>
      <c r="P57" s="2191" t="s">
        <v>1292</v>
      </c>
      <c r="Q57" s="2232" t="e">
        <f ca="1">L60</f>
        <v>#DIV/0!</v>
      </c>
      <c r="R57" s="2232" t="s">
        <v>1293</v>
      </c>
    </row>
    <row r="58" s="799" customFormat="1" ht="24.75" spans="1:18">
      <c r="A58" s="2136" t="s">
        <v>1179</v>
      </c>
      <c r="B58" s="2128" t="s">
        <v>1180</v>
      </c>
      <c r="C58" s="1047">
        <f ca="1">ROUND(C59+C64+C65+C66,0)</f>
        <v>0</v>
      </c>
      <c r="D58" s="2137" t="s">
        <v>1181</v>
      </c>
      <c r="E58" s="2138"/>
      <c r="F58" s="2105"/>
      <c r="I58" s="2221" t="s">
        <v>1294</v>
      </c>
      <c r="J58" s="2223" t="e">
        <f ca="1">IF(J55&lt;0.4,0.4,J55)</f>
        <v>#DIV/0!</v>
      </c>
      <c r="K58" s="2203" t="s">
        <v>1295</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t="e">
        <f ca="1">IF(OR(M47="住宅",J51&lt;L48,J56="是"),"——",ROUND(C29*J58,0))</f>
        <v>#DIV/0!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IF(项目基本情况!B11="自然人","——",ROUND(C48*F60/(1+'数据-取费表'!C42),2))</f>
        <v>——</v>
      </c>
      <c r="D60" s="2140" t="s">
        <v>1191</v>
      </c>
      <c r="E60" s="2132" t="s">
        <v>1178</v>
      </c>
      <c r="F60" s="2051">
        <f t="shared" ref="F60:F66" si="0">F32</f>
        <v>0.055</v>
      </c>
      <c r="I60" s="2224" t="s">
        <v>1299</v>
      </c>
      <c r="J60" s="2225" t="e">
        <f ca="1">IF(OR(M47="住宅",J51&lt;L48,J56="是"),"0",ROUND(J59/(1+J52)^J53,0))</f>
        <v>#DIV/0!</v>
      </c>
      <c r="K60" s="2226" t="s">
        <v>1300</v>
      </c>
      <c r="L60" s="2225" t="e">
        <f ca="1">IF(OR(M47="住宅",L48&lt;J51),0,ROUND(L57*(L58/L59-1),0))</f>
        <v>#DIV/0!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IF(项目基本情况!B11="自然人","——",IF(D61="按租金收入计税",ROUND(C49*F61/(1+'数据-取费表'!C42),2),IF(D61="按房产原值计税",ROUND(C57*F61*0.7,2),INDIRECT("'数据-取费表'!Aj"&amp;$G$1))))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IF(项目基本情况!B11="自然人","——",ROUND(F62*F63/10000,2))</f>
        <v>——</v>
      </c>
      <c r="D62" s="2142" t="s">
        <v>1199</v>
      </c>
      <c r="E62" s="2132" t="s">
        <v>1200</v>
      </c>
      <c r="F62" s="2050">
        <f t="shared" si="0"/>
        <v>0</v>
      </c>
      <c r="I62" s="2227" t="s">
        <v>1304</v>
      </c>
      <c r="J62" s="2228" t="s">
        <v>1305</v>
      </c>
      <c r="K62" s="2228" t="s">
        <v>1306</v>
      </c>
      <c r="L62" s="2228" t="s">
        <v>1307</v>
      </c>
      <c r="M62" s="2229" t="s">
        <v>1308</v>
      </c>
      <c r="O62" s="2190" t="s">
        <v>1107</v>
      </c>
      <c r="P62" s="2191" t="s">
        <v>1283</v>
      </c>
      <c r="Q62" s="2232" t="e">
        <f ca="1">Q56+Q57</f>
        <v>#DIV/0!</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ROUND(C57*F64,2)</f>
        <v>0</v>
      </c>
      <c r="D64" s="2140" t="s">
        <v>1239</v>
      </c>
      <c r="E64" s="2132" t="s">
        <v>1178</v>
      </c>
      <c r="F64" s="2072">
        <f ca="1" t="shared" si="0"/>
        <v>0</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ROUND(C56*F65,2)</f>
        <v>0</v>
      </c>
      <c r="D65" s="2140" t="s">
        <v>1211</v>
      </c>
      <c r="E65" s="2132" t="s">
        <v>1178</v>
      </c>
      <c r="F65" s="2073">
        <f ca="1" t="shared" si="0"/>
        <v>0</v>
      </c>
      <c r="I65" s="2227" t="s">
        <v>1312</v>
      </c>
      <c r="J65" s="2228">
        <v>40</v>
      </c>
      <c r="K65" s="2228">
        <v>30</v>
      </c>
      <c r="L65" s="2228">
        <v>50</v>
      </c>
      <c r="M65" s="2230">
        <v>0.02</v>
      </c>
      <c r="O65" s="2190" t="s">
        <v>1002</v>
      </c>
      <c r="P65" s="2191" t="s">
        <v>1253</v>
      </c>
      <c r="Q65" s="2232" t="e">
        <f ca="1">C40+J29</f>
        <v>#DIV/0!</v>
      </c>
      <c r="R65" s="2232" t="s">
        <v>1254</v>
      </c>
    </row>
    <row r="66" s="799" customFormat="1" ht="17.55" spans="1:18">
      <c r="A66" s="2035" t="s">
        <v>949</v>
      </c>
      <c r="B66" s="2132" t="s">
        <v>1196</v>
      </c>
      <c r="C66" s="1048">
        <f ca="1">ROUND(C48*F66,2)</f>
        <v>0</v>
      </c>
      <c r="D66" s="2140" t="s">
        <v>1214</v>
      </c>
      <c r="E66" s="2132" t="s">
        <v>1178</v>
      </c>
      <c r="F66" s="2014">
        <f ca="1" t="shared" si="0"/>
        <v>0</v>
      </c>
      <c r="O66" s="2190" t="s">
        <v>1005</v>
      </c>
      <c r="P66" s="2191" t="s">
        <v>1292</v>
      </c>
      <c r="Q66" s="2232" t="e">
        <f ca="1">L60</f>
        <v>#DIV/0!</v>
      </c>
      <c r="R66" s="2232" t="s">
        <v>1293</v>
      </c>
    </row>
    <row r="67" s="799" customFormat="1" ht="24.75" spans="1:18">
      <c r="A67" s="2127" t="s">
        <v>1217</v>
      </c>
      <c r="B67" s="2234" t="s">
        <v>1218</v>
      </c>
      <c r="C67" s="1047">
        <f ca="1">C48-C58</f>
        <v>0</v>
      </c>
      <c r="D67" s="2139" t="s">
        <v>1219</v>
      </c>
      <c r="E67" s="2235"/>
      <c r="F67" s="2236"/>
      <c r="O67" s="2198" t="s">
        <v>1265</v>
      </c>
      <c r="P67" s="2191" t="s">
        <v>1296</v>
      </c>
      <c r="Q67" s="2256">
        <f ca="1">L51</f>
        <v>0</v>
      </c>
      <c r="R67" s="2232" t="s">
        <v>1313</v>
      </c>
    </row>
    <row r="68" s="799" customFormat="1" ht="17.55" spans="1:18">
      <c r="A68" s="2237" t="s">
        <v>1223</v>
      </c>
      <c r="B68" s="2238" t="s">
        <v>1240</v>
      </c>
      <c r="C68" s="2078" t="e">
        <f ca="1">ROUND(C67*(1-((1+F70)/(1+F68))^F69)/(F68-F70),0)</f>
        <v>#DIV/0!</v>
      </c>
      <c r="D68" s="2142" t="s">
        <v>1225</v>
      </c>
      <c r="E68" s="2132" t="s">
        <v>1226</v>
      </c>
      <c r="F68" s="2014">
        <f ca="1">F40</f>
        <v>0</v>
      </c>
      <c r="O68" s="2198" t="s">
        <v>1269</v>
      </c>
      <c r="P68" s="2255" t="s">
        <v>1314</v>
      </c>
      <c r="Q68" s="2232">
        <f ca="1">ROUND(Q69-Q70*Q71,0)</f>
        <v>0</v>
      </c>
      <c r="R68" s="2232" t="s">
        <v>1315</v>
      </c>
    </row>
    <row r="69" s="799" customFormat="1" ht="13.95" spans="1:18">
      <c r="A69" s="2239"/>
      <c r="B69" s="2240"/>
      <c r="C69" s="2012"/>
      <c r="D69" s="2241" t="s">
        <v>1229</v>
      </c>
      <c r="E69" s="2132" t="s">
        <v>1230</v>
      </c>
      <c r="F69" s="2082">
        <f ca="1">F41</f>
        <v>0</v>
      </c>
      <c r="O69" s="2198" t="s">
        <v>1316</v>
      </c>
      <c r="P69" s="2255" t="s">
        <v>1317</v>
      </c>
      <c r="Q69" s="2232">
        <f ca="1">C39</f>
        <v>0</v>
      </c>
      <c r="R69" s="2232" t="s">
        <v>1254</v>
      </c>
    </row>
    <row r="70" s="799" customFormat="1" ht="13.95" spans="1:18">
      <c r="A70" s="2242"/>
      <c r="B70" s="2243"/>
      <c r="C70" s="2032"/>
      <c r="D70" s="2144"/>
      <c r="E70" s="2132" t="s">
        <v>1233</v>
      </c>
      <c r="F70" s="2122"/>
      <c r="O70" s="2198" t="s">
        <v>1318</v>
      </c>
      <c r="P70" s="2255" t="s">
        <v>1319</v>
      </c>
      <c r="Q70" s="2232">
        <f ca="1">C13</f>
        <v>0</v>
      </c>
      <c r="R70" s="2232" t="s">
        <v>1254</v>
      </c>
    </row>
    <row r="71" s="799" customFormat="1" ht="13.95" spans="1:18">
      <c r="A71" s="2244" t="s">
        <v>1235</v>
      </c>
      <c r="B71" s="2245" t="s">
        <v>1241</v>
      </c>
      <c r="C71" s="2086" t="e">
        <f ca="1">ROUND(C68*10000/F71,0)</f>
        <v>#DIV/0!</v>
      </c>
      <c r="D71" s="2246" t="s">
        <v>1242</v>
      </c>
      <c r="E71" s="2247" t="s">
        <v>1243</v>
      </c>
      <c r="F71" s="2089">
        <f ca="1">F43</f>
        <v>0</v>
      </c>
      <c r="O71" s="2198" t="s">
        <v>1320</v>
      </c>
      <c r="P71" s="2255" t="s">
        <v>1321</v>
      </c>
      <c r="Q71" s="2233">
        <f ca="1">C76</f>
        <v>0</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0</v>
      </c>
      <c r="D75" s="799"/>
      <c r="E75" s="799"/>
      <c r="F75" s="799"/>
      <c r="K75" s="2177"/>
      <c r="L75" s="799"/>
      <c r="O75" s="2190" t="s">
        <v>1107</v>
      </c>
      <c r="P75" s="2191" t="s">
        <v>1283</v>
      </c>
      <c r="Q75" s="2232" t="e">
        <f ca="1">Q65+Q66</f>
        <v>#DIV/0!</v>
      </c>
      <c r="R75" s="2232" t="s">
        <v>1284</v>
      </c>
    </row>
    <row r="76" spans="2:12">
      <c r="B76" s="575" t="s">
        <v>1325</v>
      </c>
      <c r="C76" s="2251">
        <f ca="1">INDIRECT("'数据-取费表'!j"&amp;$G$1)</f>
        <v>0</v>
      </c>
      <c r="I76" s="799"/>
      <c r="J76" s="799"/>
      <c r="K76" s="2177"/>
      <c r="L76" s="799"/>
    </row>
    <row r="77" spans="2:12">
      <c r="B77" s="2252" t="s">
        <v>1326</v>
      </c>
      <c r="C77" s="2253"/>
      <c r="I77" s="799"/>
      <c r="J77" s="799"/>
      <c r="K77" s="2177"/>
      <c r="L77" s="799"/>
    </row>
    <row r="78" spans="2:3">
      <c r="B78" s="473" t="s">
        <v>1327</v>
      </c>
      <c r="C78" s="2254"/>
    </row>
    <row r="79" spans="2:3">
      <c r="B79" s="2249" t="s">
        <v>1328</v>
      </c>
      <c r="C79" s="476" t="e">
        <f ca="1">1-C80</f>
        <v>#DIV/0!</v>
      </c>
    </row>
    <row r="80" spans="2:3">
      <c r="B80" s="2249"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41899</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7" t="s">
        <v>1346</v>
      </c>
      <c r="F5" s="1145"/>
      <c r="G5" s="2258" t="s">
        <v>1347</v>
      </c>
      <c r="H5" s="1143"/>
      <c r="I5" s="2258"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59"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197.18</v>
      </c>
      <c r="D33" s="1167">
        <v>100</v>
      </c>
      <c r="E33" s="1170">
        <v>80.91</v>
      </c>
      <c r="F33" s="1553">
        <f>LOOKUP(E33,103:103,104:104)-LOOKUP(C33,103:103,104:104)+100</f>
        <v>101</v>
      </c>
      <c r="G33" s="1169">
        <v>140.45</v>
      </c>
      <c r="H33" s="1167">
        <f>LOOKUP(G33,103:103,104:104)-LOOKUP(C33,103:103,104:104)+100</f>
        <v>100</v>
      </c>
      <c r="I33" s="1169">
        <v>337</v>
      </c>
      <c r="J33" s="1167">
        <f>LOOKUP(I33,103:103,104:104)-LOOKUP(C33,103:103,104:104)+100</f>
        <v>99</v>
      </c>
      <c r="K33" s="1319"/>
      <c r="L33" s="1310"/>
      <c r="M33" s="1322"/>
      <c r="N33" s="1322"/>
      <c r="O33" s="1322"/>
      <c r="P33" s="1732"/>
      <c r="Q33" s="1599" t="str">
        <f t="shared" si="11"/>
        <v>项目建筑规模</v>
      </c>
      <c r="R33" s="1364" t="s">
        <v>1353</v>
      </c>
      <c r="S33" s="1365">
        <f t="shared" si="12"/>
        <v>101</v>
      </c>
      <c r="T33" s="1364" t="s">
        <v>1353</v>
      </c>
      <c r="U33" s="1365">
        <f t="shared" si="13"/>
        <v>100</v>
      </c>
      <c r="V33" s="1364" t="s">
        <v>1353</v>
      </c>
      <c r="W33" s="1365">
        <f t="shared" si="14"/>
        <v>99</v>
      </c>
      <c r="X33" s="1366"/>
      <c r="Y33" s="1324"/>
      <c r="Z33" s="1379" t="str">
        <f t="shared" si="15"/>
        <v>项目建筑规模</v>
      </c>
      <c r="AA33" s="1378">
        <f t="shared" si="3"/>
        <v>0.99009900990099</v>
      </c>
      <c r="AB33" s="1378">
        <f t="shared" si="4"/>
        <v>1</v>
      </c>
      <c r="AC33" s="1378">
        <f t="shared" si="5"/>
        <v>1.01010101010101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41899</v>
      </c>
      <c r="D48" s="1237" t="s">
        <v>1404</v>
      </c>
      <c r="E48" s="1583">
        <f>R48</f>
        <v>43011</v>
      </c>
      <c r="F48" s="1238"/>
      <c r="G48" s="1582">
        <f>T48</f>
        <v>43919</v>
      </c>
      <c r="H48" s="1238"/>
      <c r="I48" s="1583">
        <f>V48</f>
        <v>38767</v>
      </c>
      <c r="J48" s="1238"/>
      <c r="K48" s="1329">
        <f>F48+H48+J48</f>
        <v>0</v>
      </c>
      <c r="L48" s="1328"/>
      <c r="M48" s="1243"/>
      <c r="N48" s="1296"/>
      <c r="O48" s="1243"/>
      <c r="P48" s="700" t="str">
        <f>A48</f>
        <v>比较价值（元/平方米）</v>
      </c>
      <c r="Q48" s="700"/>
      <c r="R48" s="1378">
        <f>IF(F1="售价",ROUND(PRODUCT(R47,AA7:AA46),0),ROUND(PRODUCT(R47,AA7:AA46),1))</f>
        <v>43011</v>
      </c>
      <c r="S48" s="1378"/>
      <c r="T48" s="1378">
        <f>IF(F1="售价",ROUND(PRODUCT(T47,AB7:AB46),0),ROUND(PRODUCT(T47,AB7:AB46),1))</f>
        <v>43919</v>
      </c>
      <c r="U48" s="1378"/>
      <c r="V48" s="1378">
        <f>IF(F1="售价",ROUND(PRODUCT(V47,AC7:AC46),0),ROUND(PRODUCT(V47,AC7:AC46),1))</f>
        <v>38767</v>
      </c>
      <c r="W48" s="1378"/>
      <c r="X48" s="1284"/>
      <c r="Y48" s="1284"/>
      <c r="Z48" s="1284"/>
      <c r="AA48" s="1284"/>
      <c r="AB48" s="1284"/>
      <c r="AC48" s="1284"/>
    </row>
    <row r="49" ht="15.15" spans="1:29">
      <c r="A49" s="1240" t="s">
        <v>1405</v>
      </c>
      <c r="B49" s="1241"/>
      <c r="C49" s="1584">
        <f>R49</f>
        <v>41899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41899</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0.172421008579201</v>
      </c>
      <c r="F52" s="1247" t="str">
        <f>IF(OR(E52&gt;=0.3,E52&lt;=-0.3),"超过30%","")</f>
        <v/>
      </c>
      <c r="G52" s="1246">
        <f>IF(G47&lt;G48,G48/G47-1,G47/G48-1)</f>
        <v>0.18345135362827</v>
      </c>
      <c r="H52" s="1247" t="str">
        <f>IF(OR(G52&gt;=0.3,G52&lt;=-0.3),"超过30%","")</f>
        <v/>
      </c>
      <c r="I52" s="1246">
        <f>IF(I47&lt;I48,I48/I47-1,I47/I48-1)</f>
        <v>0.148167255655583</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0.0211108786124479</v>
      </c>
      <c r="F53" s="1247" t="str">
        <f>IF(OR(E53&gt;=0.2,E53&lt;=-0.2),"超过20%","")</f>
        <v/>
      </c>
      <c r="G53" s="1246">
        <f>IF(G48&lt;I48,I48/G48-1,G48/I48-1)</f>
        <v>0.132896535713364</v>
      </c>
      <c r="H53" s="1247" t="str">
        <f>IF(OR(G53&gt;=0.2,G53&lt;=-0.2),"超过20%","")</f>
        <v/>
      </c>
      <c r="I53" s="1246">
        <f>IF(I48&lt;E48,E48/I48-1,I48/E48-1)</f>
        <v>0.109474553099286</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7"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7"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88" customFormat="1" ht="28.5" customHeight="1" spans="1:29">
      <c r="A2" s="1542" t="s">
        <v>987</v>
      </c>
      <c r="B2" s="2289">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88" customFormat="1" ht="28.5" customHeight="1" spans="1:29">
      <c r="A3" s="397" t="s">
        <v>989</v>
      </c>
      <c r="B3" s="1548">
        <f ca="1">IF(C2="——",C49,ROUND(B2*10000/D3,0))</f>
        <v>28652</v>
      </c>
      <c r="C3" s="1547" t="s">
        <v>1337</v>
      </c>
      <c r="D3" s="1548">
        <f>IF(D1="",'数据-汇总表'!E3,SUMIF('数据-汇总表'!$C19:$C33,D1,'数据-汇总表'!$E19:$E33))</f>
        <v>0</v>
      </c>
      <c r="E3" s="1496"/>
      <c r="F3" s="2290"/>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4.4" spans="1:29">
      <c r="A4" s="1134" t="s">
        <v>1338</v>
      </c>
      <c r="B4" s="1135"/>
      <c r="C4" s="1136" t="s">
        <v>1339</v>
      </c>
      <c r="D4" s="1137"/>
      <c r="E4" s="1138" t="s">
        <v>1340</v>
      </c>
      <c r="F4" s="1139"/>
      <c r="G4" s="1136" t="s">
        <v>1341</v>
      </c>
      <c r="H4" s="1137"/>
      <c r="I4" s="1136" t="s">
        <v>1342</v>
      </c>
      <c r="J4" s="1137"/>
      <c r="K4" s="230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5"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6"/>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1" t="s">
        <v>1356</v>
      </c>
      <c r="F8" s="1157">
        <f>SUMIF(61:61,E8,62:62)-SUMIF(61:61,C8,62:62)+100</f>
        <v>103</v>
      </c>
      <c r="G8" s="2291" t="s">
        <v>1356</v>
      </c>
      <c r="H8" s="1155">
        <f>SUMIF(61:61,G8,62:62)-SUMIF(61:61,C8,62:62)+100</f>
        <v>103</v>
      </c>
      <c r="I8" s="2291" t="s">
        <v>1356</v>
      </c>
      <c r="J8" s="1155">
        <f>SUMIF(61:61,I8,62:62)-SUMIF(61:61,C8,62:62)+100</f>
        <v>103</v>
      </c>
      <c r="K8" s="2306"/>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59"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6"/>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6"/>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7"/>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0"/>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0"/>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0"/>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1"/>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0"/>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2"/>
      <c r="H25" s="1177">
        <f>SUMIF(86:86,G25,87:87)-SUMIF(86:86,C25,87:87)+100</f>
        <v>100</v>
      </c>
      <c r="I25" s="2292"/>
      <c r="J25" s="1177">
        <f>SUMIF(86:86,I25,87:87)-SUMIF(86:86,C25,87:87)+100</f>
        <v>100</v>
      </c>
      <c r="K25" s="2307"/>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2" t="s">
        <v>1448</v>
      </c>
      <c r="H26" s="1177">
        <f>SUMIF(88:88,G26,89:89)-SUMIF(88:88,C26,89:89)+100</f>
        <v>100</v>
      </c>
      <c r="I26" s="2292" t="s">
        <v>1448</v>
      </c>
      <c r="J26" s="1177">
        <f>SUMIF(88:88,I26,89:89)-SUMIF(88:88,C26,89:89)+100</f>
        <v>100</v>
      </c>
      <c r="K26" s="2307">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1449</v>
      </c>
      <c r="C27" s="2294" t="s">
        <v>1450</v>
      </c>
      <c r="D27" s="1673">
        <v>100</v>
      </c>
      <c r="E27" s="2294" t="s">
        <v>1450</v>
      </c>
      <c r="F27" s="1673">
        <f>SUMIF(90:90,E27,91:91)-SUMIF(90:90,C27,91:91)+100</f>
        <v>100</v>
      </c>
      <c r="G27" s="2294" t="s">
        <v>1450</v>
      </c>
      <c r="H27" s="1673">
        <f>SUMIF(90:90,G27,91:91)-SUMIF(90:90,C27,91:91)+100</f>
        <v>100</v>
      </c>
      <c r="I27" s="2294" t="s">
        <v>1451</v>
      </c>
      <c r="J27" s="1673">
        <f>SUMIF(90:90,I27,91:91)-SUMIF(90:90,C27,91:91)+100</f>
        <v>98</v>
      </c>
      <c r="K27" s="2308"/>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4"/>
      <c r="H28" s="1177">
        <f>SUMIF(92:92,G28,93:93)-SUMIF(92:92,C28,93:93)+100</f>
        <v>100</v>
      </c>
      <c r="I28" s="1176"/>
      <c r="J28" s="1177">
        <f>SUMIF(92:92,I28,93:93)-SUMIF(92:92,C28,93:93)+100</f>
        <v>100</v>
      </c>
      <c r="K28" s="2308"/>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4"/>
      <c r="H29" s="1177">
        <f>SUMIF(94:94,G29,95:95)-SUMIF(94:94,C29,95:95)+100</f>
        <v>100</v>
      </c>
      <c r="I29" s="1176"/>
      <c r="J29" s="1177">
        <f>SUMIF(94:94,I29,95:95)-SUMIF(94:94,C29,95:95)+100</f>
        <v>100</v>
      </c>
      <c r="K29" s="2308"/>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4"/>
      <c r="H30" s="1177">
        <f>SUMIF(96:96,G30,97:97)-SUMIF(96:96,C30,97:97)+100</f>
        <v>100</v>
      </c>
      <c r="I30" s="1176"/>
      <c r="J30" s="1177">
        <f>SUMIF(96:96,I30,97:97)-SUMIF(96:96,C30,97:97)+100</f>
        <v>100</v>
      </c>
      <c r="K30" s="2308"/>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6"/>
      <c r="H31" s="1181">
        <f>SUMIF(98:98,G31,99:99)-SUMIF(98:98,C31,99:99)+100</f>
        <v>100</v>
      </c>
      <c r="I31" s="1180"/>
      <c r="J31" s="1181">
        <f>SUMIF(98:98,I31,99:99)-SUMIF(98:98,C31,99:99)+100</f>
        <v>100</v>
      </c>
      <c r="K31" s="2308"/>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7">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8"/>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5"/>
      <c r="F34" s="1560">
        <f>SUMIF(105:105,E34,106:106)-SUMIF(105:105,C34,106:106)+100</f>
        <v>100</v>
      </c>
      <c r="G34" s="1723"/>
      <c r="H34" s="1177">
        <f>SUMIF(105:105,G34,106:106)-SUMIF(105:105,C34,106:106)+100</f>
        <v>100</v>
      </c>
      <c r="I34" s="2295"/>
      <c r="J34" s="1177">
        <f>SUMIF(105:105,I34,106:106)-SUMIF(105:105,C34,106:106)+100</f>
        <v>100</v>
      </c>
      <c r="K34" s="2307"/>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07"/>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2"/>
      <c r="F36" s="1560">
        <f>SUMIF(109:109,E36,110:110)-SUMIF(109:109,C36,110:110)+100</f>
        <v>100</v>
      </c>
      <c r="G36" s="1220"/>
      <c r="H36" s="1177">
        <f>SUMIF(109:109,G36,110:110)-SUMIF(109:109,C36,110:110)+100</f>
        <v>100</v>
      </c>
      <c r="I36" s="2292"/>
      <c r="J36" s="1177">
        <f>SUMIF(109:109,I36,110:110)-SUMIF(109:109,C36,110:110)+100</f>
        <v>100</v>
      </c>
      <c r="K36" s="2307"/>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7">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2"/>
      <c r="F38" s="1560">
        <f>SUMIF(114:114,E38,115:115)-SUMIF(114:114,C38,115:115)+100</f>
        <v>100</v>
      </c>
      <c r="G38" s="1220"/>
      <c r="H38" s="1177">
        <f>SUMIF(114:114,G38,115:115)-SUMIF(114:114,C38,115:115)+100</f>
        <v>100</v>
      </c>
      <c r="I38" s="2292"/>
      <c r="J38" s="1177">
        <f>SUMIF(114:114,I38,115:115)-SUMIF(114:114,C38,115:115)+100</f>
        <v>100</v>
      </c>
      <c r="K38" s="2307"/>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2"/>
      <c r="F39" s="1560">
        <f>SUMIF(116:116,E39,117:117)-SUMIF(116:116,C39,117:117)+100</f>
        <v>100</v>
      </c>
      <c r="G39" s="1220"/>
      <c r="H39" s="1177">
        <f>SUMIF(116:116,G39,117:117)-SUMIF(116:116,C39,117:117)+100</f>
        <v>100</v>
      </c>
      <c r="I39" s="2292"/>
      <c r="J39" s="1177">
        <f>SUMIF(116:116,I39,117:117)-SUMIF(116:116,C39,117:117)+100</f>
        <v>100</v>
      </c>
      <c r="K39" s="2307"/>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07"/>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2" t="s">
        <v>1438</v>
      </c>
      <c r="F42" s="1560">
        <f>SUMIF(122:122,E42,123:123)-SUMIF(122:122,C42,123:123)+100</f>
        <v>98</v>
      </c>
      <c r="G42" s="1220" t="s">
        <v>1437</v>
      </c>
      <c r="H42" s="1177">
        <f>SUMIF(122:122,G42,123:123)-SUMIF(122:122,C42,123:123)+100</f>
        <v>102</v>
      </c>
      <c r="I42" s="2292" t="s">
        <v>1437</v>
      </c>
      <c r="J42" s="1177">
        <f>SUMIF(122:122,I42,123:123)-SUMIF(122:122,C42,123:123)+100</f>
        <v>102</v>
      </c>
      <c r="K42" s="2307">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07"/>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2"/>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3">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6">
        <f>R49</f>
        <v>28652</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6"/>
      <c r="Q57" s="1696"/>
    </row>
    <row r="58" s="1120" customFormat="1" ht="14.4" spans="1:16">
      <c r="A58" s="1586" t="s">
        <v>1351</v>
      </c>
      <c r="B58" s="1587"/>
      <c r="C58" s="2297"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7"/>
    </row>
    <row r="59" s="1115" customFormat="1" spans="1:16">
      <c r="A59" s="1590"/>
      <c r="B59" s="2298"/>
      <c r="C59" s="1591">
        <v>100</v>
      </c>
      <c r="D59" s="1726"/>
      <c r="E59" s="1396"/>
      <c r="F59" s="1396"/>
      <c r="G59" s="1396"/>
      <c r="H59" s="1396"/>
      <c r="I59" s="1396"/>
      <c r="J59" s="1396"/>
      <c r="K59" s="1396"/>
      <c r="L59" s="1396"/>
      <c r="M59" s="1598"/>
      <c r="N59" s="1396"/>
      <c r="O59" s="1598"/>
      <c r="P59" s="2318"/>
    </row>
    <row r="60" s="1115" customFormat="1" ht="15.15" spans="1:17">
      <c r="A60" s="1387" t="s">
        <v>1410</v>
      </c>
      <c r="B60" s="1388"/>
      <c r="C60" s="1389"/>
      <c r="D60" s="1390"/>
      <c r="E60" s="1390"/>
      <c r="F60" s="1390"/>
      <c r="G60" s="1390"/>
      <c r="H60" s="1390"/>
      <c r="I60" s="1390"/>
      <c r="J60" s="1390"/>
      <c r="K60" s="1390"/>
      <c r="L60" s="1390"/>
      <c r="M60" s="1438"/>
      <c r="N60" s="1390"/>
      <c r="O60" s="1438"/>
      <c r="P60" s="2318"/>
      <c r="Q60" s="1696"/>
    </row>
    <row r="61" s="1115" customFormat="1" ht="14.4" spans="1:17">
      <c r="A61" s="1391" t="s">
        <v>1354</v>
      </c>
      <c r="B61" s="1392"/>
      <c r="C61" s="1393" t="s">
        <v>1411</v>
      </c>
      <c r="D61" s="2267" t="s">
        <v>1356</v>
      </c>
      <c r="E61" s="1394"/>
      <c r="F61" s="1394"/>
      <c r="G61" s="1394"/>
      <c r="H61" s="1394"/>
      <c r="I61" s="1394"/>
      <c r="J61" s="1394"/>
      <c r="K61" s="1394"/>
      <c r="L61" s="1440"/>
      <c r="M61" s="1441"/>
      <c r="N61" s="1699"/>
      <c r="O61" s="1699"/>
      <c r="P61" s="2319"/>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8"/>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0"/>
      <c r="Q63" s="1696"/>
    </row>
    <row r="64" ht="14.55" spans="1:17">
      <c r="A64" s="1399"/>
      <c r="B64" s="1400"/>
      <c r="C64" s="1401">
        <v>100</v>
      </c>
      <c r="D64" s="1401"/>
      <c r="E64" s="1401"/>
      <c r="F64" s="1401"/>
      <c r="G64" s="1401"/>
      <c r="H64" s="1401"/>
      <c r="I64" s="1401"/>
      <c r="J64" s="1401"/>
      <c r="K64" s="1401"/>
      <c r="L64" s="1401"/>
      <c r="M64" s="1450"/>
      <c r="N64" s="1703"/>
      <c r="O64" s="1703"/>
      <c r="P64" s="2320"/>
      <c r="Q64" s="1696"/>
    </row>
    <row r="65" ht="29.55" spans="1:17">
      <c r="A65" s="1399"/>
      <c r="B65" s="1402" t="s">
        <v>1362</v>
      </c>
      <c r="C65" s="1427" t="s">
        <v>1445</v>
      </c>
      <c r="D65" s="1427"/>
      <c r="E65" s="1427"/>
      <c r="F65" s="1427"/>
      <c r="G65" s="1427"/>
      <c r="H65" s="1427"/>
      <c r="I65" s="1427"/>
      <c r="J65" s="1427"/>
      <c r="K65" s="1427"/>
      <c r="L65" s="1427"/>
      <c r="M65" s="1427"/>
      <c r="N65" s="1703"/>
      <c r="O65" s="1703"/>
      <c r="P65" s="2320"/>
      <c r="Q65" s="1696"/>
    </row>
    <row r="66" ht="14.55" spans="1:17">
      <c r="A66" s="1399"/>
      <c r="B66" s="1404"/>
      <c r="C66" s="1401">
        <v>100</v>
      </c>
      <c r="D66" s="1401"/>
      <c r="E66" s="1401"/>
      <c r="F66" s="1401"/>
      <c r="G66" s="1401"/>
      <c r="H66" s="1401"/>
      <c r="I66" s="1401"/>
      <c r="J66" s="1401"/>
      <c r="K66" s="1401"/>
      <c r="L66" s="1401"/>
      <c r="M66" s="1450"/>
      <c r="N66" s="1703"/>
      <c r="O66" s="1703"/>
      <c r="P66" s="2320"/>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spans="1:17">
      <c r="A68" s="1399"/>
      <c r="B68" s="1408"/>
      <c r="C68" s="1174">
        <v>0</v>
      </c>
      <c r="D68" s="1174">
        <v>1</v>
      </c>
      <c r="E68" s="1174"/>
      <c r="F68" s="1174"/>
      <c r="G68" s="1174"/>
      <c r="H68" s="1174"/>
      <c r="I68" s="1174"/>
      <c r="J68" s="1174"/>
      <c r="K68" s="1456"/>
      <c r="L68" s="1457"/>
      <c r="M68" s="1458"/>
      <c r="N68" s="1701"/>
      <c r="O68" s="1701"/>
      <c r="P68" s="2320"/>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9"/>
      <c r="Q70" s="1707"/>
    </row>
    <row r="71" s="1117" customFormat="1" ht="14.55" spans="1:17">
      <c r="A71" s="1409"/>
      <c r="B71" s="1404"/>
      <c r="C71" s="1412"/>
      <c r="D71" s="1401"/>
      <c r="E71" s="1401"/>
      <c r="F71" s="1401"/>
      <c r="G71" s="1401"/>
      <c r="H71" s="1401"/>
      <c r="I71" s="1401"/>
      <c r="J71" s="1401"/>
      <c r="K71" s="1401"/>
      <c r="L71" s="1401"/>
      <c r="M71" s="1450"/>
      <c r="N71" s="1703"/>
      <c r="O71" s="1703"/>
      <c r="P71" s="2329"/>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0"/>
      <c r="Q72" s="1713"/>
    </row>
    <row r="73" s="1117" customFormat="1" ht="14.55" spans="1:17">
      <c r="A73" s="1409"/>
      <c r="B73" s="1404"/>
      <c r="C73" s="1412"/>
      <c r="D73" s="1412"/>
      <c r="E73" s="1412"/>
      <c r="F73" s="1412"/>
      <c r="G73" s="1412"/>
      <c r="H73" s="1413"/>
      <c r="I73" s="1413"/>
      <c r="J73" s="1413"/>
      <c r="K73" s="1413"/>
      <c r="L73" s="1413"/>
      <c r="M73" s="1463"/>
      <c r="N73" s="1704"/>
      <c r="O73" s="1704"/>
      <c r="P73" s="2329"/>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1"/>
      <c r="Q74" s="1707"/>
    </row>
    <row r="75" s="1117" customFormat="1" ht="14.55" spans="1:17">
      <c r="A75" s="1415"/>
      <c r="B75" s="1416"/>
      <c r="C75" s="1417"/>
      <c r="D75" s="1417"/>
      <c r="E75" s="1417"/>
      <c r="F75" s="1417"/>
      <c r="G75" s="1417"/>
      <c r="H75" s="1418"/>
      <c r="I75" s="1418"/>
      <c r="J75" s="1418"/>
      <c r="K75" s="1418"/>
      <c r="L75" s="1418"/>
      <c r="M75" s="1467"/>
      <c r="N75" s="1704"/>
      <c r="O75" s="1704"/>
      <c r="P75" s="2329"/>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2"/>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0"/>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0"/>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0"/>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0"/>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0"/>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0"/>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0"/>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0"/>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0"/>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0"/>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15" spans="1:17">
      <c r="A88" s="1422"/>
      <c r="B88" s="1402" t="s">
        <v>1447</v>
      </c>
      <c r="C88" s="2324" t="s">
        <v>1458</v>
      </c>
      <c r="D88" s="2324" t="s">
        <v>1459</v>
      </c>
      <c r="E88" s="2324" t="s">
        <v>1460</v>
      </c>
      <c r="F88" s="2324" t="s">
        <v>1461</v>
      </c>
      <c r="G88" s="2324" t="s">
        <v>1462</v>
      </c>
      <c r="H88" s="2324" t="s">
        <v>1463</v>
      </c>
      <c r="I88" s="2324" t="s">
        <v>1464</v>
      </c>
      <c r="J88" s="2324" t="s">
        <v>1465</v>
      </c>
      <c r="K88" s="2324" t="s">
        <v>1466</v>
      </c>
      <c r="L88" s="2333" t="s">
        <v>1448</v>
      </c>
      <c r="M88" s="2334"/>
      <c r="N88" s="1699"/>
      <c r="O88" s="1699"/>
      <c r="P88" s="2320"/>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15" spans="1:17">
      <c r="A90" s="1409"/>
      <c r="B90" s="1402" t="str">
        <f>B27</f>
        <v>楼层</v>
      </c>
      <c r="C90" s="2324" t="s">
        <v>1467</v>
      </c>
      <c r="D90" s="2324" t="s">
        <v>1450</v>
      </c>
      <c r="E90" s="2324" t="s">
        <v>1451</v>
      </c>
      <c r="F90" s="1410"/>
      <c r="G90" s="1410"/>
      <c r="H90" s="1411"/>
      <c r="I90" s="1411"/>
      <c r="J90" s="1411"/>
      <c r="K90" s="1411"/>
      <c r="L90" s="1459"/>
      <c r="M90" s="1460"/>
      <c r="N90" s="1704"/>
      <c r="O90" s="1704"/>
      <c r="P90" s="2329"/>
      <c r="Q90" s="1707"/>
    </row>
    <row r="91" s="1117" customFormat="1" ht="14.55" spans="1:17">
      <c r="A91" s="1409"/>
      <c r="B91" s="1404"/>
      <c r="C91" s="2325">
        <v>100</v>
      </c>
      <c r="D91" s="2326">
        <v>98</v>
      </c>
      <c r="E91" s="2326">
        <v>96</v>
      </c>
      <c r="F91" s="1412"/>
      <c r="G91" s="1412"/>
      <c r="H91" s="1413"/>
      <c r="I91" s="1413"/>
      <c r="J91" s="1413"/>
      <c r="K91" s="1413"/>
      <c r="L91" s="1413"/>
      <c r="M91" s="1463"/>
      <c r="N91" s="1704"/>
      <c r="O91" s="1704"/>
      <c r="P91" s="2329"/>
      <c r="Q91" s="1707"/>
    </row>
    <row r="92" ht="14.55" spans="1:17">
      <c r="A92" s="1399"/>
      <c r="B92" s="1402">
        <f>B28</f>
        <v>111</v>
      </c>
      <c r="C92" s="1410"/>
      <c r="D92" s="1410"/>
      <c r="E92" s="1410"/>
      <c r="F92" s="1410"/>
      <c r="G92" s="1427"/>
      <c r="H92" s="1427"/>
      <c r="I92" s="1427"/>
      <c r="J92" s="1427"/>
      <c r="K92" s="1478"/>
      <c r="L92" s="1479"/>
      <c r="M92" s="1480"/>
      <c r="N92" s="1701"/>
      <c r="O92" s="1701"/>
      <c r="P92" s="2320"/>
      <c r="Q92" s="1696"/>
    </row>
    <row r="93" ht="14.55" spans="1:17">
      <c r="A93" s="1399"/>
      <c r="B93" s="1404"/>
      <c r="C93" s="1412"/>
      <c r="D93" s="1401"/>
      <c r="E93" s="1401"/>
      <c r="F93" s="1401"/>
      <c r="G93" s="1401"/>
      <c r="H93" s="1401"/>
      <c r="I93" s="1401"/>
      <c r="J93" s="1401"/>
      <c r="K93" s="1401"/>
      <c r="L93" s="1401"/>
      <c r="M93" s="1450"/>
      <c r="N93" s="1703"/>
      <c r="O93" s="1703"/>
      <c r="P93" s="2320"/>
      <c r="Q93" s="1696"/>
    </row>
    <row r="94" ht="14.55" spans="1:17">
      <c r="A94" s="1399"/>
      <c r="B94" s="1402">
        <f>B29</f>
        <v>111</v>
      </c>
      <c r="C94" s="1410"/>
      <c r="D94" s="1410"/>
      <c r="E94" s="1410"/>
      <c r="F94" s="1410"/>
      <c r="G94" s="1427"/>
      <c r="H94" s="1427"/>
      <c r="I94" s="1427"/>
      <c r="J94" s="1427"/>
      <c r="K94" s="1478"/>
      <c r="L94" s="1479"/>
      <c r="M94" s="1480"/>
      <c r="N94" s="1701"/>
      <c r="O94" s="1701"/>
      <c r="P94" s="2320"/>
      <c r="Q94" s="1696"/>
    </row>
    <row r="95" ht="14.55" spans="1:17">
      <c r="A95" s="1399"/>
      <c r="B95" s="1404"/>
      <c r="C95" s="1412"/>
      <c r="D95" s="1412"/>
      <c r="E95" s="1412"/>
      <c r="F95" s="1412"/>
      <c r="G95" s="1401"/>
      <c r="H95" s="1401"/>
      <c r="I95" s="1401"/>
      <c r="J95" s="1401"/>
      <c r="K95" s="1401"/>
      <c r="L95" s="1401"/>
      <c r="M95" s="1450"/>
      <c r="N95" s="1703"/>
      <c r="O95" s="1703"/>
      <c r="P95" s="2320"/>
      <c r="Q95" s="1696"/>
    </row>
    <row r="96" ht="14.55" spans="1:17">
      <c r="A96" s="1399"/>
      <c r="B96" s="1402">
        <f>B30</f>
        <v>111</v>
      </c>
      <c r="C96" s="1410"/>
      <c r="D96" s="1410"/>
      <c r="E96" s="1410"/>
      <c r="F96" s="1410"/>
      <c r="G96" s="1427"/>
      <c r="H96" s="1427"/>
      <c r="I96" s="1427"/>
      <c r="J96" s="1427"/>
      <c r="K96" s="1478"/>
      <c r="L96" s="1479"/>
      <c r="M96" s="1480"/>
      <c r="N96" s="1701"/>
      <c r="O96" s="1701"/>
      <c r="P96" s="2320"/>
      <c r="Q96" s="1696"/>
    </row>
    <row r="97" ht="14.55" spans="1:17">
      <c r="A97" s="1399"/>
      <c r="B97" s="1404"/>
      <c r="C97" s="1417"/>
      <c r="D97" s="1417"/>
      <c r="E97" s="1417"/>
      <c r="F97" s="1417"/>
      <c r="G97" s="1401"/>
      <c r="H97" s="1401"/>
      <c r="I97" s="1401"/>
      <c r="J97" s="1401"/>
      <c r="K97" s="1401"/>
      <c r="L97" s="1401"/>
      <c r="M97" s="1450"/>
      <c r="N97" s="1703"/>
      <c r="O97" s="1703"/>
      <c r="P97" s="2320"/>
      <c r="Q97" s="1696"/>
    </row>
    <row r="98" ht="14.55" spans="1:17">
      <c r="A98" s="1399"/>
      <c r="B98" s="1406">
        <f>B31</f>
        <v>111</v>
      </c>
      <c r="C98" s="1428"/>
      <c r="D98" s="1428"/>
      <c r="E98" s="1428"/>
      <c r="F98" s="1428"/>
      <c r="G98" s="1428"/>
      <c r="H98" s="1428"/>
      <c r="I98" s="1428"/>
      <c r="J98" s="1428"/>
      <c r="K98" s="1481"/>
      <c r="L98" s="1482"/>
      <c r="M98" s="1483"/>
      <c r="N98" s="1701"/>
      <c r="O98" s="1701"/>
      <c r="P98" s="2320"/>
      <c r="Q98" s="1696"/>
    </row>
    <row r="99" ht="14.55" spans="1:17">
      <c r="A99" s="1708"/>
      <c r="B99" s="1416"/>
      <c r="C99" s="1429"/>
      <c r="D99" s="1429"/>
      <c r="E99" s="1429"/>
      <c r="F99" s="1429"/>
      <c r="G99" s="1429"/>
      <c r="H99" s="1429"/>
      <c r="I99" s="1429"/>
      <c r="J99" s="1429"/>
      <c r="K99" s="1429"/>
      <c r="L99" s="1429"/>
      <c r="M99" s="1484"/>
      <c r="N99" s="1703"/>
      <c r="O99" s="1703"/>
      <c r="P99" s="2320"/>
      <c r="Q99" s="1696"/>
    </row>
    <row r="100" ht="14.4" spans="1:17">
      <c r="A100" s="1397" t="s">
        <v>1384</v>
      </c>
      <c r="B100" s="1398" t="s">
        <v>1452</v>
      </c>
      <c r="C100" s="2327" t="s">
        <v>1468</v>
      </c>
      <c r="D100" s="2327" t="s">
        <v>1453</v>
      </c>
      <c r="E100" s="1325"/>
      <c r="F100" s="1325"/>
      <c r="G100" s="1325"/>
      <c r="H100" s="1325"/>
      <c r="I100" s="1325"/>
      <c r="J100" s="1325"/>
      <c r="K100" s="1445"/>
      <c r="L100" s="1446"/>
      <c r="M100" s="1447"/>
      <c r="N100" s="1701"/>
      <c r="O100" s="1701"/>
      <c r="P100" s="2320"/>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0"/>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0"/>
      <c r="Q102" s="1696"/>
    </row>
    <row r="103" s="1117" customFormat="1" spans="1:17">
      <c r="A103" s="1430"/>
      <c r="B103" s="1431"/>
      <c r="C103" s="2328">
        <v>0</v>
      </c>
      <c r="D103" s="2328">
        <v>60</v>
      </c>
      <c r="E103" s="2328">
        <v>100</v>
      </c>
      <c r="F103" s="2328">
        <v>200</v>
      </c>
      <c r="G103" s="2328">
        <v>300</v>
      </c>
      <c r="H103" s="2328">
        <v>400</v>
      </c>
      <c r="I103" s="1386"/>
      <c r="J103" s="1485"/>
      <c r="K103" s="1485"/>
      <c r="L103" s="1486"/>
      <c r="M103" s="1487"/>
      <c r="N103" s="1704"/>
      <c r="O103" s="1704"/>
      <c r="P103" s="2329"/>
      <c r="Q103" s="1707"/>
    </row>
    <row r="104" s="1117" customFormat="1" ht="14.55" spans="1:17">
      <c r="A104" s="1409"/>
      <c r="B104" s="1404"/>
      <c r="C104" s="2325">
        <v>100</v>
      </c>
      <c r="D104" s="2326">
        <v>98</v>
      </c>
      <c r="E104" s="2326">
        <v>96</v>
      </c>
      <c r="F104" s="2326">
        <v>94</v>
      </c>
      <c r="G104" s="2326">
        <v>92</v>
      </c>
      <c r="H104" s="2326">
        <v>90</v>
      </c>
      <c r="I104" s="1401"/>
      <c r="J104" s="1401"/>
      <c r="K104" s="1401"/>
      <c r="L104" s="1401"/>
      <c r="M104" s="1401"/>
      <c r="N104" s="1703"/>
      <c r="O104" s="1703"/>
      <c r="P104" s="2329"/>
      <c r="Q104" s="1707"/>
    </row>
    <row r="105" ht="15.15" spans="1:17">
      <c r="A105" s="1433"/>
      <c r="B105" s="1402" t="s">
        <v>1389</v>
      </c>
      <c r="C105" s="1410"/>
      <c r="D105" s="1410"/>
      <c r="E105" s="1427"/>
      <c r="F105" s="1427"/>
      <c r="G105" s="1427"/>
      <c r="H105" s="1427"/>
      <c r="I105" s="1427"/>
      <c r="J105" s="1427"/>
      <c r="K105" s="1478"/>
      <c r="L105" s="1479"/>
      <c r="M105" s="1480"/>
      <c r="N105" s="1701"/>
      <c r="O105" s="1701"/>
      <c r="P105" s="2320"/>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0"/>
      <c r="Q106" s="1696"/>
    </row>
    <row r="107" ht="15.15" spans="1:17">
      <c r="A107" s="1433"/>
      <c r="B107" s="1402" t="s">
        <v>1454</v>
      </c>
      <c r="C107" s="1427"/>
      <c r="D107" s="1427"/>
      <c r="E107" s="1427"/>
      <c r="F107" s="1427"/>
      <c r="G107" s="1427"/>
      <c r="H107" s="1427"/>
      <c r="I107" s="1427"/>
      <c r="J107" s="1427"/>
      <c r="K107" s="1478"/>
      <c r="L107" s="1479"/>
      <c r="M107" s="1480"/>
      <c r="N107" s="1701"/>
      <c r="O107" s="1701"/>
      <c r="P107" s="2320"/>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0"/>
      <c r="Q108" s="1696"/>
    </row>
    <row r="109" ht="15.15" spans="1:17">
      <c r="A109" s="1433"/>
      <c r="B109" s="1402" t="s">
        <v>1390</v>
      </c>
      <c r="C109" s="1410"/>
      <c r="D109" s="1410"/>
      <c r="E109" s="1410"/>
      <c r="F109" s="1427"/>
      <c r="G109" s="1427"/>
      <c r="H109" s="1427"/>
      <c r="I109" s="1427"/>
      <c r="J109" s="1427"/>
      <c r="K109" s="1478"/>
      <c r="L109" s="1479"/>
      <c r="M109" s="1480"/>
      <c r="N109" s="1701"/>
      <c r="O109" s="1701"/>
      <c r="P109" s="2320"/>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0"/>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9"/>
      <c r="Q111" s="1707"/>
    </row>
    <row r="112" s="1117" customFormat="1" spans="1:17">
      <c r="A112" s="1430"/>
      <c r="B112" s="1406"/>
      <c r="C112" s="879">
        <v>0.5</v>
      </c>
      <c r="D112" s="879">
        <v>0.6</v>
      </c>
      <c r="E112" s="879">
        <v>0.7</v>
      </c>
      <c r="F112" s="879">
        <v>0.8</v>
      </c>
      <c r="G112" s="879">
        <v>0.9</v>
      </c>
      <c r="H112" s="879">
        <v>1.0001</v>
      </c>
      <c r="I112" s="879"/>
      <c r="J112" s="2335"/>
      <c r="K112" s="2335"/>
      <c r="L112" s="2336"/>
      <c r="M112" s="2337"/>
      <c r="N112" s="1704"/>
      <c r="O112" s="1704"/>
      <c r="P112" s="2329"/>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9"/>
      <c r="Q113" s="1707"/>
    </row>
    <row r="114" ht="15.15" spans="1:17">
      <c r="A114" s="1433"/>
      <c r="B114" s="1402" t="s">
        <v>1455</v>
      </c>
      <c r="C114" s="1410"/>
      <c r="D114" s="1410"/>
      <c r="E114" s="1427"/>
      <c r="F114" s="1427"/>
      <c r="G114" s="1427"/>
      <c r="H114" s="1427"/>
      <c r="I114" s="1427"/>
      <c r="J114" s="1427"/>
      <c r="K114" s="1478"/>
      <c r="L114" s="1479"/>
      <c r="M114" s="1480"/>
      <c r="N114" s="1701"/>
      <c r="O114" s="1701"/>
      <c r="P114" s="2320"/>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0"/>
      <c r="Q115" s="1696"/>
    </row>
    <row r="116" ht="15.15" spans="1:17">
      <c r="A116" s="1433"/>
      <c r="B116" s="1402" t="s">
        <v>1391</v>
      </c>
      <c r="C116" s="1410"/>
      <c r="D116" s="1410"/>
      <c r="E116" s="1410"/>
      <c r="F116" s="1410"/>
      <c r="G116" s="1410"/>
      <c r="H116" s="1427"/>
      <c r="I116" s="1427"/>
      <c r="J116" s="1427"/>
      <c r="K116" s="1478"/>
      <c r="L116" s="1479"/>
      <c r="M116" s="1480"/>
      <c r="N116" s="1701"/>
      <c r="O116" s="1701"/>
      <c r="P116" s="2320"/>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0"/>
      <c r="Q117" s="1696"/>
    </row>
    <row r="118" ht="15.15" spans="1:17">
      <c r="A118" s="1433"/>
      <c r="B118" s="1402" t="s">
        <v>1456</v>
      </c>
      <c r="C118" s="1427"/>
      <c r="D118" s="1427"/>
      <c r="E118" s="1427"/>
      <c r="F118" s="1427"/>
      <c r="G118" s="1427"/>
      <c r="H118" s="1427"/>
      <c r="I118" s="1427"/>
      <c r="J118" s="1427"/>
      <c r="K118" s="1478"/>
      <c r="L118" s="1479"/>
      <c r="M118" s="1480"/>
      <c r="N118" s="1701"/>
      <c r="O118" s="1701"/>
      <c r="P118" s="2320"/>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9"/>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9"/>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0"/>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29"/>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9"/>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9"/>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0"/>
      <c r="Q128" s="1696"/>
    </row>
    <row r="129" ht="14.55" spans="1:17">
      <c r="A129" s="1399"/>
      <c r="B129" s="1404"/>
      <c r="C129" s="1412"/>
      <c r="D129" s="1412"/>
      <c r="E129" s="1412"/>
      <c r="F129" s="1412"/>
      <c r="G129" s="1401"/>
      <c r="H129" s="1401"/>
      <c r="I129" s="1401"/>
      <c r="J129" s="1401"/>
      <c r="K129" s="1401"/>
      <c r="L129" s="1401"/>
      <c r="M129" s="1450"/>
      <c r="N129" s="1703"/>
      <c r="O129" s="1703"/>
      <c r="P129" s="2320"/>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0"/>
      <c r="Q130" s="1696"/>
    </row>
    <row r="131" ht="14.55" spans="1:17">
      <c r="A131" s="1708"/>
      <c r="B131" s="1416"/>
      <c r="C131" s="1417"/>
      <c r="D131" s="1417"/>
      <c r="E131" s="1417"/>
      <c r="F131" s="1417"/>
      <c r="G131" s="1429"/>
      <c r="H131" s="1429"/>
      <c r="I131" s="1429"/>
      <c r="J131" s="1429"/>
      <c r="K131" s="1429"/>
      <c r="L131" s="1429"/>
      <c r="M131" s="1484"/>
      <c r="N131" s="1703"/>
      <c r="O131" s="1703"/>
      <c r="P131" s="2320"/>
      <c r="Q131" s="1696"/>
    </row>
    <row r="136" ht="15.15" spans="2:2">
      <c r="B136" s="2338" t="s">
        <v>1469</v>
      </c>
    </row>
    <row r="137" ht="15" spans="2:11">
      <c r="B137" s="2339" t="s">
        <v>1470</v>
      </c>
      <c r="C137" s="2340"/>
      <c r="D137" s="2340"/>
      <c r="E137" s="2340"/>
      <c r="F137" s="2340"/>
      <c r="G137" s="2341"/>
      <c r="H137" s="2342"/>
      <c r="I137" s="2365" t="s">
        <v>1471</v>
      </c>
      <c r="J137" s="2340"/>
      <c r="K137" s="2366"/>
    </row>
    <row r="138" ht="15" spans="2:11">
      <c r="B138" s="2343"/>
      <c r="C138" s="2344" t="s">
        <v>1472</v>
      </c>
      <c r="D138" s="2344" t="s">
        <v>1473</v>
      </c>
      <c r="E138" s="2345" t="s">
        <v>1474</v>
      </c>
      <c r="F138" s="2346" t="s">
        <v>1475</v>
      </c>
      <c r="G138" s="2344" t="s">
        <v>1473</v>
      </c>
      <c r="H138" s="2347" t="s">
        <v>1474</v>
      </c>
      <c r="I138" s="2367"/>
      <c r="J138" s="2344" t="s">
        <v>1476</v>
      </c>
      <c r="K138" s="2347" t="s">
        <v>1477</v>
      </c>
    </row>
    <row r="139" ht="15" spans="2:11">
      <c r="B139" s="2348">
        <v>6</v>
      </c>
      <c r="C139" s="2349">
        <v>96</v>
      </c>
      <c r="D139" s="2350" t="s">
        <v>1478</v>
      </c>
      <c r="E139" s="2351">
        <v>100</v>
      </c>
      <c r="F139" s="2352">
        <v>102.5</v>
      </c>
      <c r="G139" s="2350" t="s">
        <v>1478</v>
      </c>
      <c r="H139" s="2353">
        <v>105</v>
      </c>
      <c r="I139" s="2368" t="s">
        <v>1479</v>
      </c>
      <c r="J139" s="2349">
        <v>20</v>
      </c>
      <c r="K139" s="2369">
        <f>C145/(J139-2)</f>
        <v>0.00405555555555556</v>
      </c>
    </row>
    <row r="140" ht="15" spans="2:11">
      <c r="B140" s="2354">
        <v>5</v>
      </c>
      <c r="C140" s="2355">
        <v>100</v>
      </c>
      <c r="D140" s="2355"/>
      <c r="E140" s="2356"/>
      <c r="F140" s="2357">
        <v>102</v>
      </c>
      <c r="G140" s="2355"/>
      <c r="H140" s="2358"/>
      <c r="I140" s="2370" t="s">
        <v>1480</v>
      </c>
      <c r="J140" s="474">
        <f>ROUNDUP((J139-1)/2,0)</f>
        <v>10</v>
      </c>
      <c r="K140" s="2371">
        <v>100</v>
      </c>
    </row>
    <row r="141" ht="15" spans="2:11">
      <c r="B141" s="2354">
        <v>4</v>
      </c>
      <c r="C141" s="2355">
        <v>102</v>
      </c>
      <c r="D141" s="2355"/>
      <c r="E141" s="2356"/>
      <c r="F141" s="2357">
        <v>101.5</v>
      </c>
      <c r="G141" s="2355"/>
      <c r="H141" s="2358"/>
      <c r="I141" s="2370" t="s">
        <v>1481</v>
      </c>
      <c r="J141" s="474">
        <v>1</v>
      </c>
      <c r="K141" s="2372">
        <f>ROUND(100+(J141-J140)*K139*100,1)</f>
        <v>96.4</v>
      </c>
    </row>
    <row r="142" ht="15" spans="2:11">
      <c r="B142" s="2354">
        <v>3</v>
      </c>
      <c r="C142" s="2355">
        <v>103</v>
      </c>
      <c r="D142" s="2355"/>
      <c r="E142" s="2356"/>
      <c r="F142" s="2357">
        <v>101</v>
      </c>
      <c r="G142" s="2355"/>
      <c r="H142" s="2358"/>
      <c r="I142" s="2370" t="s">
        <v>1482</v>
      </c>
      <c r="J142" s="474">
        <f>J139</f>
        <v>20</v>
      </c>
      <c r="K142" s="2373">
        <v>95</v>
      </c>
    </row>
    <row r="143" ht="15" spans="2:11">
      <c r="B143" s="2354">
        <v>2</v>
      </c>
      <c r="C143" s="2355">
        <v>100</v>
      </c>
      <c r="D143" s="2355"/>
      <c r="E143" s="2356"/>
      <c r="F143" s="2357">
        <v>100.5</v>
      </c>
      <c r="G143" s="2355"/>
      <c r="H143" s="2358"/>
      <c r="I143" s="2370" t="s">
        <v>1483</v>
      </c>
      <c r="J143" s="2355">
        <v>15</v>
      </c>
      <c r="K143" s="2372">
        <f>ROUND(100+(J143-J140)*K139*100,1)</f>
        <v>102</v>
      </c>
    </row>
    <row r="144" ht="15" spans="2:11">
      <c r="B144" s="2354">
        <v>1</v>
      </c>
      <c r="C144" s="2355">
        <v>98</v>
      </c>
      <c r="D144" s="2359" t="s">
        <v>1484</v>
      </c>
      <c r="E144" s="2356">
        <v>102</v>
      </c>
      <c r="F144" s="2360">
        <v>100</v>
      </c>
      <c r="G144" s="2359" t="s">
        <v>1484</v>
      </c>
      <c r="H144" s="2358">
        <v>105</v>
      </c>
      <c r="I144" s="2370" t="s">
        <v>1483</v>
      </c>
      <c r="J144" s="2355">
        <v>18</v>
      </c>
      <c r="K144" s="2372">
        <f>ROUND(100+(J144-J140)*K139*100,1)</f>
        <v>103.2</v>
      </c>
    </row>
    <row r="145" ht="16.35" spans="2:11">
      <c r="B145" s="2361" t="s">
        <v>1485</v>
      </c>
      <c r="C145" s="2362">
        <f>ROUND(MAX(C139:C144)/MIN(C139:C144)-1,3)</f>
        <v>0.073</v>
      </c>
      <c r="D145" s="2363"/>
      <c r="E145" s="2363"/>
      <c r="F145" s="2364" t="s">
        <v>1486</v>
      </c>
      <c r="G145" s="2279"/>
      <c r="H145" s="2284"/>
      <c r="I145" s="2374" t="s">
        <v>1483</v>
      </c>
      <c r="J145" s="2375">
        <v>8</v>
      </c>
      <c r="K145" s="2376">
        <f>ROUND(100+(J145-J140)*K139*100,1)</f>
        <v>99.2</v>
      </c>
    </row>
    <row r="147" ht="14.4" spans="2:2">
      <c r="B147" s="2338" t="s">
        <v>1487</v>
      </c>
    </row>
    <row r="148" ht="14.4" spans="2:2">
      <c r="B148" s="233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K42" sqref="K42"/>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408.9316</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20739</v>
      </c>
      <c r="C3" s="1547" t="s">
        <v>1337</v>
      </c>
      <c r="D3" s="1548">
        <f>IF(D1="",'数据-汇总表'!E3,SUMIF('数据-汇总表'!$C19:$C33,D1,'数据-汇总表'!$E19:$E33))</f>
        <v>197.18</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8" t="s">
        <v>1344</v>
      </c>
      <c r="Q4" s="2273"/>
      <c r="R4" s="2274" t="s">
        <v>1340</v>
      </c>
      <c r="S4" s="2275"/>
      <c r="T4" s="2274" t="s">
        <v>1341</v>
      </c>
      <c r="U4" s="2275"/>
      <c r="V4" s="1256" t="s">
        <v>1342</v>
      </c>
      <c r="W4" s="1256"/>
      <c r="X4" s="2276"/>
      <c r="Y4" s="2274" t="s">
        <v>1344</v>
      </c>
      <c r="Z4" s="2275"/>
      <c r="AA4" s="2276" t="s">
        <v>1340</v>
      </c>
      <c r="AB4" s="2276" t="s">
        <v>1341</v>
      </c>
      <c r="AC4" s="2280" t="s">
        <v>1342</v>
      </c>
    </row>
    <row r="5" ht="14.4" spans="1:29">
      <c r="A5" s="1140"/>
      <c r="B5" s="1141"/>
      <c r="C5" s="1142" t="s">
        <v>1345</v>
      </c>
      <c r="D5" s="1143"/>
      <c r="E5" s="2257" t="s">
        <v>1490</v>
      </c>
      <c r="F5" s="1145"/>
      <c r="G5" s="2258" t="s">
        <v>1491</v>
      </c>
      <c r="H5" s="1143"/>
      <c r="I5" s="2258" t="s">
        <v>1492</v>
      </c>
      <c r="J5" s="1143"/>
      <c r="K5" s="1294"/>
      <c r="L5" s="1295"/>
      <c r="M5" s="1296"/>
      <c r="N5" s="1296"/>
      <c r="O5" s="1296"/>
      <c r="P5" s="2269"/>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0"/>
      <c r="Q6" s="1353"/>
      <c r="R6" s="1351"/>
      <c r="S6" s="1352"/>
      <c r="T6" s="1354"/>
      <c r="U6" s="1355"/>
      <c r="V6" s="1336"/>
      <c r="W6" s="1336"/>
      <c r="X6" s="1349"/>
      <c r="Y6" s="1354"/>
      <c r="Z6" s="1355"/>
      <c r="AA6" s="1375"/>
      <c r="AB6" s="1375"/>
      <c r="AC6" s="2281"/>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1"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2">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1"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2">
        <f t="shared" ref="AC8:AC47" si="5">D8/J8</f>
        <v>0.952380952380952</v>
      </c>
    </row>
    <row r="9" s="1115" customFormat="1" ht="14.4" spans="1:29">
      <c r="A9" s="1160" t="s">
        <v>1358</v>
      </c>
      <c r="B9" s="1161" t="s">
        <v>1359</v>
      </c>
      <c r="C9" s="2259"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2">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2">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2">
        <f t="shared" si="5"/>
        <v>1</v>
      </c>
    </row>
    <row r="12" s="1115" customFormat="1" ht="15" spans="1:29">
      <c r="A12" s="1171"/>
      <c r="B12" s="1172">
        <v>111</v>
      </c>
      <c r="C12" s="1166"/>
      <c r="D12" s="1173">
        <v>100</v>
      </c>
      <c r="E12" s="1166"/>
      <c r="F12" s="1167">
        <f>SUMIF(71:71,E12,72:72)-SUMIF(71:71,C12,72:72)+100</f>
        <v>100</v>
      </c>
      <c r="G12" s="2260"/>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2">
        <f t="shared" si="5"/>
        <v>1</v>
      </c>
    </row>
    <row r="13" ht="15" spans="1:29">
      <c r="A13" s="1168"/>
      <c r="B13" s="1172">
        <v>111</v>
      </c>
      <c r="C13" s="1176"/>
      <c r="D13" s="1177">
        <v>100</v>
      </c>
      <c r="E13" s="1166"/>
      <c r="F13" s="1167">
        <f>SUMIF(73:73,E13,74:74)-SUMIF(73:73,C13,74:74)+100</f>
        <v>100</v>
      </c>
      <c r="G13" s="2260"/>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2">
        <f t="shared" si="5"/>
        <v>1</v>
      </c>
    </row>
    <row r="14" ht="15.75" spans="1:29">
      <c r="A14" s="1178"/>
      <c r="B14" s="1179">
        <v>111</v>
      </c>
      <c r="C14" s="1180"/>
      <c r="D14" s="1181">
        <v>100</v>
      </c>
      <c r="E14" s="1631"/>
      <c r="F14" s="1181">
        <f>SUMIF(75:75,E14,76:76)-SUMIF(75:75,C14,76:76)+100</f>
        <v>100</v>
      </c>
      <c r="G14" s="2260"/>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2">
        <f t="shared" si="5"/>
        <v>1</v>
      </c>
    </row>
    <row r="15" ht="72" spans="1:29">
      <c r="A15" s="1182" t="s">
        <v>1366</v>
      </c>
      <c r="B15" s="1183" t="s">
        <v>1495</v>
      </c>
      <c r="C15" s="226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3">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3">
        <v>1</v>
      </c>
    </row>
    <row r="17" ht="86.4" spans="1:29">
      <c r="A17" s="1168"/>
      <c r="B17" s="1192" t="s">
        <v>1371</v>
      </c>
      <c r="C17" s="226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3">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3">
        <v>1</v>
      </c>
    </row>
    <row r="19" ht="43.2" spans="1:29">
      <c r="A19" s="1168"/>
      <c r="B19" s="1192" t="s">
        <v>1373</v>
      </c>
      <c r="C19" s="226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3">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3">
        <v>1</v>
      </c>
    </row>
    <row r="21" ht="28.8" spans="1:29">
      <c r="A21" s="1168"/>
      <c r="B21" s="1199" t="s">
        <v>1374</v>
      </c>
      <c r="C21" s="226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3">
        <f t="shared" ref="AC21" si="10">D21/J21</f>
        <v>1</v>
      </c>
    </row>
    <row r="22" ht="15" spans="1:29">
      <c r="A22" s="1168"/>
      <c r="B22" s="1199"/>
      <c r="C22" s="2263"/>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3">
        <v>1</v>
      </c>
    </row>
    <row r="23" ht="57.6" spans="1:29">
      <c r="A23" s="1168"/>
      <c r="B23" s="1192" t="s">
        <v>1496</v>
      </c>
      <c r="C23" s="226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3">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3">
        <v>1</v>
      </c>
    </row>
    <row r="25" ht="28.8" spans="1:29">
      <c r="A25" s="1140"/>
      <c r="B25" s="1192" t="s">
        <v>1497</v>
      </c>
      <c r="C25" s="2264"/>
      <c r="D25" s="1177">
        <v>100</v>
      </c>
      <c r="E25" s="1176"/>
      <c r="F25" s="1177">
        <f>SUMIF(87:87,E26,88:88)-SUMIF(87:87,C26,88:88)+100</f>
        <v>100</v>
      </c>
      <c r="G25" s="2264"/>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3">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3">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3">
        <f t="shared" si="5"/>
        <v>1</v>
      </c>
    </row>
    <row r="28" s="1115" customFormat="1" ht="15" spans="1:29">
      <c r="A28" s="1171"/>
      <c r="B28" s="1192" t="s">
        <v>1447</v>
      </c>
      <c r="C28" s="2265"/>
      <c r="D28" s="1673">
        <v>100</v>
      </c>
      <c r="E28" s="1721"/>
      <c r="F28" s="1673">
        <f>SUMIF(91:91,E28,92:92)-SUMIF(91:91,C28,92:92)+100</f>
        <v>100</v>
      </c>
      <c r="G28" s="2265"/>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3">
        <f t="shared" si="5"/>
        <v>1</v>
      </c>
    </row>
    <row r="29" ht="15" spans="1:29">
      <c r="A29" s="1168"/>
      <c r="B29" s="1207">
        <v>111</v>
      </c>
      <c r="C29" s="2264"/>
      <c r="D29" s="1177">
        <v>100</v>
      </c>
      <c r="E29" s="1166"/>
      <c r="F29" s="1177">
        <f>SUMIF(93:93,E29,94:94)-SUMIF(93:93,C29,94:94)+100</f>
        <v>100</v>
      </c>
      <c r="G29" s="2260"/>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3">
        <f t="shared" si="5"/>
        <v>1</v>
      </c>
    </row>
    <row r="30" ht="15" spans="1:29">
      <c r="A30" s="1168"/>
      <c r="B30" s="1207">
        <v>111</v>
      </c>
      <c r="C30" s="2264"/>
      <c r="D30" s="1177">
        <v>100</v>
      </c>
      <c r="E30" s="1166"/>
      <c r="F30" s="1177">
        <f>SUMIF(95:95,E30,96:96)-SUMIF(95:95,C30,96:96)+100</f>
        <v>100</v>
      </c>
      <c r="G30" s="2260"/>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3">
        <f t="shared" si="5"/>
        <v>1</v>
      </c>
    </row>
    <row r="31" ht="15" spans="1:29">
      <c r="A31" s="1168"/>
      <c r="B31" s="1207">
        <v>111</v>
      </c>
      <c r="C31" s="2264"/>
      <c r="D31" s="1177">
        <v>100</v>
      </c>
      <c r="E31" s="1166"/>
      <c r="F31" s="1177">
        <f>SUMIF(97:97,E31,98:98)-SUMIF(97:97,C31,98:98)+100</f>
        <v>100</v>
      </c>
      <c r="G31" s="2260"/>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3">
        <f t="shared" si="5"/>
        <v>1</v>
      </c>
    </row>
    <row r="32" ht="15.75" spans="1:29">
      <c r="A32" s="1178"/>
      <c r="B32" s="1629">
        <v>111</v>
      </c>
      <c r="C32" s="2266"/>
      <c r="D32" s="1181">
        <v>100</v>
      </c>
      <c r="E32" s="1631"/>
      <c r="F32" s="1181">
        <f>SUMIF(99:99,E32,100:100)-SUMIF(99:99,C32,100:100)+100</f>
        <v>100</v>
      </c>
      <c r="G32" s="2260"/>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3">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3">
        <f t="shared" si="5"/>
        <v>1</v>
      </c>
    </row>
    <row r="34" s="1117" customFormat="1" ht="15" spans="1:29">
      <c r="A34" s="1224"/>
      <c r="B34" s="1165" t="s">
        <v>1388</v>
      </c>
      <c r="C34" s="1554">
        <v>197.18</v>
      </c>
      <c r="D34" s="1167">
        <v>100</v>
      </c>
      <c r="E34" s="1170">
        <v>1072</v>
      </c>
      <c r="F34" s="1553">
        <f>LOOKUP(E34,104:104,105:105)-LOOKUP(C34,104:104,105:105)+100</f>
        <v>98</v>
      </c>
      <c r="G34" s="1169">
        <v>1642</v>
      </c>
      <c r="H34" s="1167">
        <f>LOOKUP(G34,104:104,105:105)-LOOKUP(C34,104:104,105:105)+100</f>
        <v>97</v>
      </c>
      <c r="I34" s="1169">
        <v>2774</v>
      </c>
      <c r="J34" s="1167">
        <f>LOOKUP(I34,104:104,105:105)-LOOKUP(C34,104:104,105:105)+100</f>
        <v>96</v>
      </c>
      <c r="K34" s="1319"/>
      <c r="L34" s="1310"/>
      <c r="M34" s="1322"/>
      <c r="N34" s="1322"/>
      <c r="O34" s="1322"/>
      <c r="P34" s="1732"/>
      <c r="Q34" s="1599" t="str">
        <f t="shared" si="11"/>
        <v>项目建筑规模</v>
      </c>
      <c r="R34" s="1364" t="s">
        <v>1353</v>
      </c>
      <c r="S34" s="1365">
        <f t="shared" si="12"/>
        <v>98</v>
      </c>
      <c r="T34" s="1364" t="s">
        <v>1353</v>
      </c>
      <c r="U34" s="1365">
        <f t="shared" si="13"/>
        <v>97</v>
      </c>
      <c r="V34" s="1364" t="s">
        <v>1353</v>
      </c>
      <c r="W34" s="1365">
        <f t="shared" si="14"/>
        <v>96</v>
      </c>
      <c r="X34" s="1366"/>
      <c r="Y34" s="1324"/>
      <c r="Z34" s="1379" t="str">
        <f t="shared" si="15"/>
        <v>项目建筑规模</v>
      </c>
      <c r="AA34" s="1378">
        <f t="shared" si="3"/>
        <v>1.02040816326531</v>
      </c>
      <c r="AB34" s="1378">
        <f t="shared" si="4"/>
        <v>1.03092783505155</v>
      </c>
      <c r="AC34" s="2283">
        <f t="shared" si="5"/>
        <v>1.04166666666667</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3">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3">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3">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2">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3">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3">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102</v>
      </c>
      <c r="K41" s="1320">
        <v>2</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102</v>
      </c>
      <c r="X41" s="1349"/>
      <c r="Y41" s="1324"/>
      <c r="Z41" s="1336" t="str">
        <f t="shared" si="15"/>
        <v>层高</v>
      </c>
      <c r="AA41" s="1378">
        <f t="shared" si="3"/>
        <v>1</v>
      </c>
      <c r="AB41" s="1378">
        <f t="shared" si="4"/>
        <v>1</v>
      </c>
      <c r="AC41" s="2283">
        <f t="shared" si="5"/>
        <v>0.980392156862745</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3">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3">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3">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2">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3">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3">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20739</v>
      </c>
      <c r="D49" s="1237" t="s">
        <v>1404</v>
      </c>
      <c r="E49" s="1583">
        <f>R49</f>
        <v>21773</v>
      </c>
      <c r="F49" s="1238"/>
      <c r="G49" s="1582">
        <f>T49</f>
        <v>18497</v>
      </c>
      <c r="H49" s="1238"/>
      <c r="I49" s="1583">
        <f>V49</f>
        <v>21948</v>
      </c>
      <c r="J49" s="1238"/>
      <c r="K49" s="1329">
        <f>F49+H49+J49</f>
        <v>0</v>
      </c>
      <c r="L49" s="1328"/>
      <c r="M49" s="1296"/>
      <c r="N49" s="1296"/>
      <c r="O49" s="1296"/>
      <c r="P49" s="1263" t="str">
        <f>A49</f>
        <v>比较价值（元/平方米）</v>
      </c>
      <c r="Q49" s="700"/>
      <c r="R49" s="1378">
        <f>IF(F1="售价",ROUND(PRODUCT(R48,AA7:AA47),0),ROUND(PRODUCT(R48,AA7:AA47),1))</f>
        <v>21773</v>
      </c>
      <c r="S49" s="1378"/>
      <c r="T49" s="1378">
        <f>IF(F1="售价",ROUND(PRODUCT(T48,AB7:AB47),0),ROUND(PRODUCT(T48,AB7:AB47),1))</f>
        <v>18497</v>
      </c>
      <c r="U49" s="1378"/>
      <c r="V49" s="1378">
        <f>IF(F1="售价",ROUND(PRODUCT(V48,AC7:AC47),0),ROUND(PRODUCT(V48,AC7:AC47),1))</f>
        <v>21948</v>
      </c>
      <c r="W49" s="1378"/>
      <c r="X49" s="1505"/>
      <c r="Y49" s="1505"/>
      <c r="Z49" s="1505"/>
      <c r="AA49" s="1505"/>
      <c r="AB49" s="1505"/>
      <c r="AC49" s="1187"/>
    </row>
    <row r="50" ht="15.15" spans="1:29">
      <c r="A50" s="1240" t="s">
        <v>1405</v>
      </c>
      <c r="B50" s="1241"/>
      <c r="C50" s="1584">
        <f>R50</f>
        <v>20739</v>
      </c>
      <c r="D50" s="1584"/>
      <c r="E50" s="1584"/>
      <c r="F50" s="1584"/>
      <c r="G50" s="1584"/>
      <c r="H50" s="1584"/>
      <c r="I50" s="1584"/>
      <c r="J50" s="1242"/>
      <c r="K50" s="1330"/>
      <c r="L50" s="1328"/>
      <c r="M50" s="1296"/>
      <c r="N50" s="1296"/>
      <c r="O50" s="1296"/>
      <c r="P50" s="2272" t="str">
        <f>A50</f>
        <v>估价对象XX用房的比较价值（楼面单价，元/平方米）</v>
      </c>
      <c r="Q50" s="2277"/>
      <c r="R50" s="2278">
        <f>IF(F1="售价",ROUND(IF(D49="简单平均",AVERAGE(R49:V49),R49*F49+T49*H49+V49*J49),0),ROUND(IF(D49="简单平均",AVERAGE(R49:V49),R49*F49+T49*H49+V49*J49),1))</f>
        <v>20739</v>
      </c>
      <c r="S50" s="2278"/>
      <c r="T50" s="2278"/>
      <c r="U50" s="2278"/>
      <c r="V50" s="2278"/>
      <c r="W50" s="2278"/>
      <c r="X50" s="2279"/>
      <c r="Y50" s="2279"/>
      <c r="Z50" s="2279"/>
      <c r="AA50" s="2279"/>
      <c r="AB50" s="2279"/>
      <c r="AC50" s="2284"/>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0.0487760069811234</v>
      </c>
      <c r="F53" s="1247" t="str">
        <f>IF(OR(E53&gt;=0.3,E53&lt;=-0.3),"超过30%","")</f>
        <v/>
      </c>
      <c r="G53" s="1246">
        <f>IF(G48&lt;G49,G49/G48-1,G48/G49-1)</f>
        <v>0.0125910111129359</v>
      </c>
      <c r="H53" s="1247" t="str">
        <f>IF(OR(G53&gt;=0.3,G53&lt;=-0.3),"超过30%","")</f>
        <v/>
      </c>
      <c r="I53" s="1246">
        <f>IF(I48&lt;I49,I49/I48-1,I48/I49-1)</f>
        <v>0.0478859121560051</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0.177109801589447</v>
      </c>
      <c r="F54" s="1247" t="str">
        <f>IF(OR(E54&gt;=0.2,E54&lt;=-0.2),"超过20%","")</f>
        <v/>
      </c>
      <c r="G54" s="1246">
        <f>IF(G49&lt;I49,I49/G49-1,G49/I49-1)</f>
        <v>0.186570795264097</v>
      </c>
      <c r="H54" s="1247" t="str">
        <f>IF(OR(G54&gt;=0.2,G54&lt;=-0.2),"超过20%","")</f>
        <v/>
      </c>
      <c r="I54" s="1246">
        <f>IF(I49&lt;E49,E49/I49-1,I49/E49-1)</f>
        <v>0.00803747760988371</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7"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5"/>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0(含)-150</v>
      </c>
      <c r="D103" s="1421" t="str">
        <f t="shared" ref="D103:L103" si="23">D104&amp;"(含)"&amp;"-"&amp;E104</f>
        <v>150(含)-500</v>
      </c>
      <c r="E103" s="1421" t="str">
        <f t="shared" si="23"/>
        <v>500(含)-1000</v>
      </c>
      <c r="F103" s="1421" t="str">
        <f t="shared" si="23"/>
        <v>1000(含)-1500</v>
      </c>
      <c r="G103" s="1421" t="str">
        <f t="shared" si="23"/>
        <v>1500(含)-2000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150</v>
      </c>
      <c r="E104" s="1386">
        <v>500</v>
      </c>
      <c r="F104" s="1386">
        <v>1000</v>
      </c>
      <c r="G104" s="1386">
        <v>1500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6"/>
      <c r="M119" s="2287"/>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t="s">
        <v>600</v>
      </c>
      <c r="D1" s="1975" t="s">
        <v>124</v>
      </c>
      <c r="E1" s="1976" t="s">
        <v>1145</v>
      </c>
      <c r="F1" s="1977">
        <f ca="1">J53</f>
        <v>29.52</v>
      </c>
      <c r="G1" s="1978">
        <f>MATCH(C1,'数据-取费表'!A6:A16,0)+5</f>
        <v>6</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1980">
        <f ca="1">ROUND(D2/10000,4)</f>
        <v>279.5077</v>
      </c>
      <c r="C2" s="1981" t="s">
        <v>1147</v>
      </c>
      <c r="D2" s="1982">
        <f ca="1">C40+J29+L46</f>
        <v>2795077</v>
      </c>
      <c r="E2" s="1983" t="s">
        <v>1510</v>
      </c>
      <c r="F2" s="1984"/>
      <c r="G2" s="1985"/>
      <c r="H2" s="1986"/>
      <c r="I2" s="1986"/>
      <c r="J2" s="1986"/>
      <c r="K2" s="2148"/>
      <c r="L2" s="1986"/>
      <c r="M2" s="1986"/>
    </row>
    <row r="3" ht="18" customHeight="1" spans="1:13">
      <c r="A3" s="1987" t="s">
        <v>1148</v>
      </c>
      <c r="B3" s="1988">
        <f ca="1">IF(ISERROR(D2/F43),0,ROUND(D2/F43,0))</f>
        <v>14175</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162136</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ROUND(F6*F8*F7*(1-F9),0)</f>
        <v>161934</v>
      </c>
      <c r="D6" s="2003" t="s">
        <v>1511</v>
      </c>
      <c r="E6" s="2004" t="s">
        <v>1160</v>
      </c>
      <c r="F6" s="2005">
        <f ca="1">INDIRECT("'数据-取费表'!u"&amp;$G$1)</f>
        <v>2.5</v>
      </c>
      <c r="G6" s="799"/>
      <c r="H6" s="2000" t="s">
        <v>897</v>
      </c>
      <c r="I6" s="2001" t="s">
        <v>1158</v>
      </c>
      <c r="J6" s="2078">
        <f ca="1">ROUND(M6*M8*M7*(1-M9),0)</f>
        <v>0</v>
      </c>
      <c r="K6" s="2151" t="s">
        <v>1512</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197.18</v>
      </c>
      <c r="G7" s="799"/>
      <c r="H7" s="2011"/>
      <c r="I7" s="2007"/>
      <c r="J7" s="2012"/>
      <c r="K7" s="2009"/>
      <c r="L7" s="2004" t="s">
        <v>1162</v>
      </c>
      <c r="M7" s="2005">
        <f ca="1">F7</f>
        <v>197.18</v>
      </c>
    </row>
    <row r="8" ht="18" customHeight="1" spans="1:13">
      <c r="A8" s="2011"/>
      <c r="B8" s="2007"/>
      <c r="C8" s="2012"/>
      <c r="D8" s="2009"/>
      <c r="E8" s="2004" t="s">
        <v>1163</v>
      </c>
      <c r="F8" s="2005">
        <f ca="1">INDIRECT("'数据-取费表'!ai"&amp;$G$1)</f>
        <v>365</v>
      </c>
      <c r="G8" s="799"/>
      <c r="H8" s="2011"/>
      <c r="I8" s="2007"/>
      <c r="J8" s="2012"/>
      <c r="K8" s="2009"/>
      <c r="L8" s="2004" t="s">
        <v>1163</v>
      </c>
      <c r="M8" s="2005">
        <f ca="1">INDIRECT("'数据-取费表'!ai"&amp;$G$1)</f>
        <v>365</v>
      </c>
    </row>
    <row r="9" ht="18" customHeight="1" spans="1:13">
      <c r="A9" s="2011"/>
      <c r="B9" s="2013"/>
      <c r="C9" s="2012"/>
      <c r="D9" s="2009"/>
      <c r="E9" s="2004" t="s">
        <v>1164</v>
      </c>
      <c r="F9" s="2014">
        <f ca="1">INDIRECT("'数据-取费表'!w"&amp;$G$1)</f>
        <v>0.1</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202</v>
      </c>
      <c r="D10" s="2016" t="s">
        <v>1166</v>
      </c>
      <c r="E10" s="2017" t="s">
        <v>1167</v>
      </c>
      <c r="F10" s="2018" t="s">
        <v>1513</v>
      </c>
      <c r="G10" s="799"/>
      <c r="H10" s="2000" t="s">
        <v>901</v>
      </c>
      <c r="I10" s="2015" t="s">
        <v>1165</v>
      </c>
      <c r="J10" s="2078">
        <f ca="1">ROUND(IF(M10="押一",J6/12*M11,IF(M10="押二",J6/12*2*M11,IF(M10="押三",J6/12*3*M11,J11*M11))),0)</f>
        <v>0</v>
      </c>
      <c r="K10" s="2152" t="s">
        <v>1514</v>
      </c>
      <c r="L10" s="2017" t="s">
        <v>1167</v>
      </c>
      <c r="M10" s="2018"/>
    </row>
    <row r="11" ht="18" customHeight="1" spans="1:13">
      <c r="A11" s="2019"/>
      <c r="B11" s="2020" t="s">
        <v>1515</v>
      </c>
      <c r="C11" s="2021"/>
      <c r="D11" s="2009"/>
      <c r="E11" s="2017" t="s">
        <v>1169</v>
      </c>
      <c r="F11" s="2022">
        <f ca="1">'数据-取费表'!B39</f>
        <v>0.015</v>
      </c>
      <c r="G11" s="799"/>
      <c r="H11" s="2023"/>
      <c r="I11" s="2020" t="s">
        <v>1516</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891194</v>
      </c>
      <c r="D13" s="2033" t="s">
        <v>1172</v>
      </c>
      <c r="E13" s="2033" t="s">
        <v>1173</v>
      </c>
      <c r="F13" s="2034">
        <f ca="1">INDIRECT("'数据-取费表'!y"&amp;$G$1)</f>
        <v>0.88</v>
      </c>
      <c r="G13" s="799"/>
      <c r="H13" s="2030">
        <v>2</v>
      </c>
      <c r="I13" s="2031" t="s">
        <v>1171</v>
      </c>
      <c r="J13" s="2157">
        <f ca="1">ROUND(J14*J15,0)</f>
        <v>0</v>
      </c>
      <c r="K13" s="2056" t="s">
        <v>1172</v>
      </c>
      <c r="L13" s="2158"/>
      <c r="M13" s="2159"/>
    </row>
    <row r="14" ht="18" customHeight="1" spans="1:13">
      <c r="A14" s="2035" t="s">
        <v>920</v>
      </c>
      <c r="B14" s="2004" t="s">
        <v>1174</v>
      </c>
      <c r="C14" s="2036">
        <f ca="1">ROUND(INDIRECT("'数据-取费表'!l"&amp;$G$1)*F43+'数据-取费表'!L14*INDIRECT("'数据-取费表'!S"&amp;$G$1),0)</f>
        <v>690130</v>
      </c>
      <c r="D14" s="2037" t="s">
        <v>1175</v>
      </c>
      <c r="E14" s="2038"/>
      <c r="F14" s="2039"/>
      <c r="G14" s="799"/>
      <c r="H14" s="2035" t="s">
        <v>897</v>
      </c>
      <c r="I14" s="2004" t="s">
        <v>1176</v>
      </c>
      <c r="J14" s="1048">
        <f ca="1">C29</f>
        <v>1012721</v>
      </c>
      <c r="K14" s="2160"/>
      <c r="L14" s="2161"/>
      <c r="M14" s="2162"/>
    </row>
    <row r="15" s="1971" customFormat="1" ht="18" customHeight="1" spans="1:37">
      <c r="A15" s="2035" t="s">
        <v>924</v>
      </c>
      <c r="B15" s="2004" t="s">
        <v>1105</v>
      </c>
      <c r="C15" s="1048">
        <f ca="1">ROUND(C14*F15,0)</f>
        <v>34507</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ROUND(INDIRECT("'数据-取费表'!l"&amp;$G$1)*F43*F16,0)</f>
        <v>0</v>
      </c>
      <c r="D16" s="2004" t="s">
        <v>1177</v>
      </c>
      <c r="E16" s="2004" t="s">
        <v>1178</v>
      </c>
      <c r="F16" s="2044">
        <f ca="1">IF(INDIRECT("'数据-取费表'!c"&amp;$G$1)="住宅",'数据-取费表'!B34,0)</f>
        <v>0</v>
      </c>
      <c r="G16" s="799"/>
      <c r="H16" s="2030" t="s">
        <v>1179</v>
      </c>
      <c r="I16" s="2031" t="s">
        <v>1180</v>
      </c>
      <c r="J16" s="2032">
        <f ca="1">ROUND(J17+J22+J23+J24,0)</f>
        <v>5064</v>
      </c>
      <c r="K16" s="2056" t="s">
        <v>1181</v>
      </c>
      <c r="L16" s="2057"/>
      <c r="M16" s="1999"/>
    </row>
    <row r="17" s="1971" customFormat="1" ht="18" customHeight="1" spans="1:37">
      <c r="A17" s="2035" t="s">
        <v>1182</v>
      </c>
      <c r="B17" s="2004" t="s">
        <v>1183</v>
      </c>
      <c r="C17" s="1048">
        <f ca="1">ROUND(F17*(F43+INDIRECT("'数据-取费表'!S"&amp;$G$1)),0)</f>
        <v>39436</v>
      </c>
      <c r="D17" s="2004" t="s">
        <v>1184</v>
      </c>
      <c r="E17" s="2004" t="s">
        <v>1185</v>
      </c>
      <c r="F17" s="2045">
        <f>'数据-取费表'!B35</f>
        <v>200</v>
      </c>
      <c r="G17" s="2042"/>
      <c r="H17" s="2035" t="s">
        <v>897</v>
      </c>
      <c r="I17" s="2004" t="s">
        <v>1186</v>
      </c>
      <c r="J17" s="2059">
        <f ca="1">ROUND(IF(AND(项目基本情况!B11="自然人",项目基本情况!B10="北京市"),J6*M17/(1+'数据-取费表'!C42),J18+J19+J20),0)</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10352</v>
      </c>
      <c r="D18" s="2004" t="s">
        <v>1177</v>
      </c>
      <c r="E18" s="2004" t="s">
        <v>1178</v>
      </c>
      <c r="F18" s="2044">
        <f>'数据-取费表'!B36</f>
        <v>0.015</v>
      </c>
      <c r="G18" s="2042"/>
      <c r="H18" s="2035" t="s">
        <v>920</v>
      </c>
      <c r="I18" s="2004" t="s">
        <v>1190</v>
      </c>
      <c r="J18" s="1048">
        <f ca="1">ROUND(J6*M18/(1+'数据-取费表'!C42),0)</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774425</v>
      </c>
      <c r="D19" s="2046" t="s">
        <v>1193</v>
      </c>
      <c r="E19" s="1050"/>
      <c r="F19" s="2045"/>
      <c r="G19" s="799"/>
      <c r="H19" s="2035" t="s">
        <v>924</v>
      </c>
      <c r="I19" s="2004" t="s">
        <v>1194</v>
      </c>
      <c r="J19" s="1048">
        <f ca="1">IF(K19="按租金收入计税",ROUND(J6*M19/(1+'数据-取费表'!C42),0),ROUND(C29*M19*0.7,0))</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15489</v>
      </c>
      <c r="D20" s="2047" t="s">
        <v>1197</v>
      </c>
      <c r="E20" s="2004" t="s">
        <v>1178</v>
      </c>
      <c r="F20" s="2044">
        <f>'数据-取费表'!B37</f>
        <v>0.02</v>
      </c>
      <c r="G20" s="2042"/>
      <c r="H20" s="2035" t="s">
        <v>927</v>
      </c>
      <c r="I20" s="2003" t="s">
        <v>1198</v>
      </c>
      <c r="J20" s="2065">
        <f ca="1">ROUND(M20*M21,0)</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ROUND(J14*M22,0)</f>
        <v>5064</v>
      </c>
      <c r="K22" s="2060" t="s">
        <v>1207</v>
      </c>
      <c r="L22" s="2004" t="s">
        <v>1178</v>
      </c>
      <c r="M22" s="2072">
        <f ca="1">INDIRECT("'数据-取费表'!Ak"&amp;$G$1)</f>
        <v>0.005</v>
      </c>
    </row>
    <row r="23" s="1971" customFormat="1" ht="18" customHeight="1" spans="1:37">
      <c r="A23" s="2035" t="s">
        <v>920</v>
      </c>
      <c r="B23" s="2004" t="s">
        <v>1208</v>
      </c>
      <c r="C23" s="1048">
        <f ca="1">IF('数据-取费表'!B22&lt;=1,ROUND(C19*F24*F23/2,0)+ROUND(C20*F24*F23/2,0),ROUND(C19*(POWER((1+F24),F23/2)-1),0)+ROUND(C20*(POWER((1+F24),F23/2)-1),0))</f>
        <v>27252</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ROUND(J13*M23,0)</f>
        <v>0</v>
      </c>
      <c r="K23" s="2060" t="s">
        <v>1211</v>
      </c>
      <c r="L23" s="2004" t="s">
        <v>1178</v>
      </c>
      <c r="M23" s="2073">
        <f ca="1">INDIRECT("'数据-取费表'!Al"&amp;$G$1)</f>
        <v>0.001</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ROUND(J5*M24,0)</f>
        <v>0</v>
      </c>
      <c r="K24" s="2053" t="s">
        <v>1214</v>
      </c>
      <c r="L24" s="2028" t="s">
        <v>1178</v>
      </c>
      <c r="M24" s="2029">
        <f ca="1">INDIRECT("'数据-取费表'!Am"&amp;$G$1)</f>
        <v>0.01</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18" customHeight="1" spans="1:13">
      <c r="A25" s="2035" t="s">
        <v>953</v>
      </c>
      <c r="B25" s="2004" t="s">
        <v>1215</v>
      </c>
      <c r="C25" s="1048"/>
      <c r="D25" s="2046" t="s">
        <v>1216</v>
      </c>
      <c r="E25" s="1050"/>
      <c r="F25" s="2045"/>
      <c r="G25" s="799"/>
      <c r="H25" s="2030" t="s">
        <v>1217</v>
      </c>
      <c r="I25" s="2074" t="s">
        <v>1218</v>
      </c>
      <c r="J25" s="2032">
        <f ca="1">J5-J16</f>
        <v>-5064</v>
      </c>
      <c r="K25" s="2075" t="s">
        <v>1219</v>
      </c>
      <c r="L25" s="2076"/>
      <c r="M25" s="2077"/>
    </row>
    <row r="26" ht="18" customHeight="1" spans="1:13">
      <c r="A26" s="2035" t="s">
        <v>920</v>
      </c>
      <c r="B26" s="2004" t="s">
        <v>1220</v>
      </c>
      <c r="C26" s="1048">
        <f ca="1">ROUND((C19+C20)*F26,0)</f>
        <v>118487</v>
      </c>
      <c r="D26" s="2047" t="s">
        <v>1221</v>
      </c>
      <c r="E26" s="2017" t="s">
        <v>1222</v>
      </c>
      <c r="F26" s="2014">
        <f ca="1">INDIRECT("'数据-取费表'!q"&amp;$G$1)</f>
        <v>0.15</v>
      </c>
      <c r="G26" s="799"/>
      <c r="H26" s="1994" t="s">
        <v>1223</v>
      </c>
      <c r="I26" s="1995" t="s">
        <v>1224</v>
      </c>
      <c r="J26" s="2078">
        <f ca="1">IF(J5&lt;&gt;0,ROUND(J25*(1-((1+M28)/(1+M26))^M27)/(M26-M28),0),0)</f>
        <v>0</v>
      </c>
      <c r="K26" s="2066" t="s">
        <v>1225</v>
      </c>
      <c r="L26" s="2004" t="s">
        <v>1226</v>
      </c>
      <c r="M26" s="2014">
        <f ca="1">INDIRECT("'数据-取费表'!I"&amp;$G$1)</f>
        <v>0.055</v>
      </c>
    </row>
    <row r="27" ht="18" customHeight="1" spans="1:13">
      <c r="A27" s="2035" t="s">
        <v>924</v>
      </c>
      <c r="B27" s="2004" t="s">
        <v>1227</v>
      </c>
      <c r="C27" s="1048">
        <f ca="1">ROUND(F21*F26,4)</f>
        <v>0.003</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1012721</v>
      </c>
      <c r="D29" s="2053"/>
      <c r="E29" s="2028"/>
      <c r="F29" s="2054"/>
      <c r="G29" s="2042"/>
      <c r="H29" s="2055" t="s">
        <v>1235</v>
      </c>
      <c r="I29" s="2085" t="s">
        <v>1236</v>
      </c>
      <c r="J29" s="2086">
        <f ca="1">ROUND(J26/(1+F40)^F41,0)</f>
        <v>0</v>
      </c>
      <c r="K29" s="2087" t="s">
        <v>1237</v>
      </c>
      <c r="L29" s="2088"/>
      <c r="M29" s="2089">
        <f ca="1">INDIRECT("'数据-取费表'!k"&amp;$G$1)</f>
        <v>197.18</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18372</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ROUND(IF(AND(项目基本情况!B11="自然人",项目基本情况!B10="北京市"),C6*F31/(1+'数据-取费表'!C42),C32+C33+C34),0)</f>
        <v>10796</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IF(项目基本情况!B11="自然人","——",ROUND(C6*F32/(1+'数据-取费表'!C42),0))</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IF(项目基本情况!B11="自然人","——",IF(D33="按租金收入计税",ROUND(C6*F33/(1+'数据-取费表'!C42),0),IF(D33="按房产原值计税",ROUND(C29*F33*0.7,0),INDIRECT("'数据-取费表'!Aj"&amp;$G$1))))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IF(项目基本情况!B11="自然人","——",ROUND(F34*F35,0))</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ROUND(C29*F36,0)</f>
        <v>5064</v>
      </c>
      <c r="D36" s="2060" t="s">
        <v>1239</v>
      </c>
      <c r="E36" s="2004" t="s">
        <v>1178</v>
      </c>
      <c r="F36" s="2072">
        <f ca="1">INDIRECT("'数据-取费表'!Ak"&amp;$G$1)</f>
        <v>0.005</v>
      </c>
      <c r="G36" s="799"/>
      <c r="H36" s="2064"/>
      <c r="I36" s="2167"/>
      <c r="J36" s="2168"/>
      <c r="K36" s="2175"/>
      <c r="L36" s="2064"/>
      <c r="M36" s="2064"/>
    </row>
    <row r="37" ht="18" customHeight="1" spans="1:13">
      <c r="A37" s="2035" t="s">
        <v>946</v>
      </c>
      <c r="B37" s="2004" t="s">
        <v>1210</v>
      </c>
      <c r="C37" s="1048">
        <f ca="1">ROUND(C13*F37,0)</f>
        <v>891</v>
      </c>
      <c r="D37" s="2060" t="s">
        <v>1211</v>
      </c>
      <c r="E37" s="2004" t="s">
        <v>1178</v>
      </c>
      <c r="F37" s="2073">
        <f ca="1">INDIRECT("'数据-取费表'!Al"&amp;$G$1)</f>
        <v>0.001</v>
      </c>
      <c r="G37" s="799"/>
      <c r="H37" s="2064"/>
      <c r="I37" s="2167"/>
      <c r="J37" s="2168"/>
      <c r="K37" s="2175"/>
      <c r="L37" s="2064"/>
      <c r="M37" s="2064"/>
    </row>
    <row r="38" ht="18" customHeight="1" spans="1:13">
      <c r="A38" s="2043" t="s">
        <v>949</v>
      </c>
      <c r="B38" s="2028" t="s">
        <v>1196</v>
      </c>
      <c r="C38" s="2052">
        <f ca="1">ROUND(C5*F38,0)</f>
        <v>1621</v>
      </c>
      <c r="D38" s="2053" t="s">
        <v>1214</v>
      </c>
      <c r="E38" s="2028" t="s">
        <v>1178</v>
      </c>
      <c r="F38" s="2029">
        <f ca="1">INDIRECT("'数据-取费表'!Am"&amp;$G$1)</f>
        <v>0.01</v>
      </c>
      <c r="G38" s="799"/>
      <c r="H38" s="2064"/>
      <c r="I38" s="2167"/>
      <c r="J38" s="2168"/>
      <c r="K38" s="2176"/>
      <c r="L38" s="2064"/>
      <c r="M38" s="2064"/>
    </row>
    <row r="39" ht="24.6" customHeight="1" spans="1:13">
      <c r="A39" s="2030" t="s">
        <v>1217</v>
      </c>
      <c r="B39" s="2074" t="s">
        <v>1218</v>
      </c>
      <c r="C39" s="2032">
        <f ca="1">C5-C30</f>
        <v>143764</v>
      </c>
      <c r="D39" s="2075" t="s">
        <v>1219</v>
      </c>
      <c r="E39" s="2076"/>
      <c r="F39" s="2077"/>
      <c r="G39" s="799"/>
      <c r="H39" s="2064"/>
      <c r="I39" s="2167"/>
      <c r="J39" s="2168"/>
      <c r="K39" s="2176"/>
      <c r="L39" s="2064"/>
      <c r="M39" s="2064"/>
    </row>
    <row r="40" ht="18" customHeight="1" spans="1:13">
      <c r="A40" s="1994" t="s">
        <v>1223</v>
      </c>
      <c r="B40" s="1995" t="s">
        <v>1240</v>
      </c>
      <c r="C40" s="2078">
        <f ca="1">ROUND(C39*(1-((1+F42)/(1+F40))^F41)/(F40-F42),0)</f>
        <v>2747173</v>
      </c>
      <c r="D40" s="2066" t="s">
        <v>1225</v>
      </c>
      <c r="E40" s="2004" t="s">
        <v>1226</v>
      </c>
      <c r="F40" s="2014">
        <f ca="1">INDIRECT("'数据-取费表'!I"&amp;$G$1)</f>
        <v>0.055</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29.52</v>
      </c>
      <c r="G41" s="799"/>
      <c r="H41" s="2083"/>
      <c r="I41" s="2167"/>
      <c r="J41" s="2168"/>
      <c r="K41" s="2175"/>
      <c r="L41" s="2083"/>
      <c r="M41" s="2083"/>
    </row>
    <row r="42" ht="18" customHeight="1" spans="1:13">
      <c r="A42" s="2019"/>
      <c r="B42" s="2084"/>
      <c r="C42" s="2032"/>
      <c r="D42" s="2070"/>
      <c r="E42" s="2004" t="s">
        <v>1233</v>
      </c>
      <c r="F42" s="2014">
        <f ca="1">INDIRECT("'数据-取费表'!v"&amp;$G$1)</f>
        <v>0.025</v>
      </c>
      <c r="G42" s="799"/>
      <c r="H42" s="2083"/>
      <c r="I42" s="2167"/>
      <c r="J42" s="2168"/>
      <c r="K42" s="2175"/>
      <c r="L42" s="2083"/>
      <c r="M42" s="2083"/>
    </row>
    <row r="43" ht="18" customHeight="1" spans="1:13">
      <c r="A43" s="2055" t="s">
        <v>1235</v>
      </c>
      <c r="B43" s="2085" t="s">
        <v>1241</v>
      </c>
      <c r="C43" s="2086">
        <f ca="1">ROUND(C40/F43,0)</f>
        <v>13932</v>
      </c>
      <c r="D43" s="2087" t="s">
        <v>1242</v>
      </c>
      <c r="E43" s="2088" t="s">
        <v>1243</v>
      </c>
      <c r="F43" s="2089">
        <f ca="1">INDIRECT("'数据-取费表'!k"&amp;$G$1)</f>
        <v>197.18</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2" t="s">
        <v>1517</v>
      </c>
      <c r="B45" s="2090"/>
      <c r="C45" s="2093">
        <f ca="1">ROUND((C68-C40)/10000,4)</f>
        <v>-283.3156</v>
      </c>
      <c r="D45" s="2094" t="s">
        <v>1518</v>
      </c>
      <c r="E45" s="2090"/>
      <c r="F45" s="2090"/>
      <c r="O45" s="2178" t="s">
        <v>1244</v>
      </c>
      <c r="P45" s="2079"/>
      <c r="Q45" s="2079"/>
      <c r="R45" s="2079"/>
    </row>
    <row r="46" s="799" customFormat="1" ht="13.95" spans="1:18">
      <c r="A46" s="2095" t="s">
        <v>1245</v>
      </c>
      <c r="C46" s="2096">
        <f ca="1">ROUND(C45,0)</f>
        <v>-283</v>
      </c>
      <c r="D46" s="2097" t="str">
        <f>C2</f>
        <v>万元</v>
      </c>
      <c r="I46" s="2179" t="s">
        <v>1246</v>
      </c>
      <c r="J46" s="2180"/>
      <c r="K46" s="2181"/>
      <c r="L46" s="2182">
        <f ca="1">IF(M47="住宅",0,IF(L48&gt;J51,L60,J60))</f>
        <v>47904</v>
      </c>
      <c r="O46" s="2183" t="s">
        <v>1247</v>
      </c>
      <c r="P46" s="2184" t="s">
        <v>1248</v>
      </c>
      <c r="Q46" s="2231" t="s">
        <v>1249</v>
      </c>
      <c r="R46" s="2231" t="s">
        <v>1250</v>
      </c>
    </row>
    <row r="47" s="799" customFormat="1" ht="13.95" spans="1:18">
      <c r="A47" s="2098" t="s">
        <v>1151</v>
      </c>
      <c r="B47" s="2099" t="s">
        <v>1152</v>
      </c>
      <c r="C47" s="2099" t="s">
        <v>1153</v>
      </c>
      <c r="D47" s="2099" t="s">
        <v>1154</v>
      </c>
      <c r="E47" s="2100" t="s">
        <v>1155</v>
      </c>
      <c r="F47" s="1041"/>
      <c r="G47" s="2101"/>
      <c r="I47" s="2185" t="s">
        <v>1251</v>
      </c>
      <c r="J47" s="2186" t="s">
        <v>1508</v>
      </c>
      <c r="K47" s="2187" t="s">
        <v>1252</v>
      </c>
      <c r="L47" s="2188">
        <f ca="1">INDIRECT("'数据-取费表'!d"&amp;$G$1)</f>
        <v>40</v>
      </c>
      <c r="M47" s="2189" t="str">
        <f>IF(ISNUMBER(FIND("住宅",C1)),"住宅","非住宅")</f>
        <v>非住宅</v>
      </c>
      <c r="O47" s="2190" t="s">
        <v>1002</v>
      </c>
      <c r="P47" s="2191" t="s">
        <v>1253</v>
      </c>
      <c r="Q47" s="2232">
        <f ca="1">C40+J29</f>
        <v>2747173</v>
      </c>
      <c r="R47" s="2232" t="s">
        <v>1254</v>
      </c>
    </row>
    <row r="48" s="799" customFormat="1" ht="41.55" spans="1:18">
      <c r="A48" s="2102" t="s">
        <v>1255</v>
      </c>
      <c r="B48" s="1995" t="s">
        <v>1156</v>
      </c>
      <c r="C48" s="1049">
        <f ca="1">C49+C53+C55</f>
        <v>0</v>
      </c>
      <c r="D48" s="2103"/>
      <c r="E48" s="2104"/>
      <c r="F48" s="2105"/>
      <c r="G48" s="2101"/>
      <c r="H48" s="2106"/>
      <c r="I48" s="2192" t="s">
        <v>1256</v>
      </c>
      <c r="J48" s="2193" t="s">
        <v>1519</v>
      </c>
      <c r="K48" s="2194" t="s">
        <v>1257</v>
      </c>
      <c r="L48" s="2195">
        <f ca="1">INDIRECT("'数据-取费表'!f"&amp;$G$1)</f>
        <v>29.52</v>
      </c>
      <c r="O48" s="2190" t="s">
        <v>1005</v>
      </c>
      <c r="P48" s="2191" t="s">
        <v>1258</v>
      </c>
      <c r="Q48" s="2232">
        <f ca="1">J60</f>
        <v>47904</v>
      </c>
      <c r="R48" s="2232" t="s">
        <v>1259</v>
      </c>
    </row>
    <row r="49" s="799" customFormat="1" ht="13.95" spans="1:18">
      <c r="A49" s="2107" t="s">
        <v>1260</v>
      </c>
      <c r="B49" s="2108" t="s">
        <v>1261</v>
      </c>
      <c r="C49" s="2109">
        <f ca="1">ROUND(F49*F51*F50*(1-F52),0)</f>
        <v>0</v>
      </c>
      <c r="D49" s="2110" t="s">
        <v>1520</v>
      </c>
      <c r="E49" s="2111" t="s">
        <v>1262</v>
      </c>
      <c r="F49" s="2112"/>
      <c r="G49" s="2113"/>
      <c r="H49" s="2106"/>
      <c r="I49" s="2192" t="s">
        <v>1263</v>
      </c>
      <c r="J49" s="2196">
        <v>2016</v>
      </c>
      <c r="K49" s="2194" t="s">
        <v>1264</v>
      </c>
      <c r="L49" s="2197"/>
      <c r="O49" s="2198" t="s">
        <v>1265</v>
      </c>
      <c r="P49" s="2191" t="s">
        <v>1266</v>
      </c>
      <c r="Q49" s="2232">
        <f ca="1">C29</f>
        <v>1012721</v>
      </c>
      <c r="R49" s="2232" t="s">
        <v>1254</v>
      </c>
    </row>
    <row r="50" s="799" customFormat="1" ht="13.95" spans="1:18">
      <c r="A50" s="2114"/>
      <c r="B50" s="2115"/>
      <c r="C50" s="2116"/>
      <c r="D50" s="2117"/>
      <c r="E50" s="2118" t="s">
        <v>1162</v>
      </c>
      <c r="F50" s="2119">
        <f ca="1">F7</f>
        <v>197.18</v>
      </c>
      <c r="H50" s="2106"/>
      <c r="I50" s="2192" t="s">
        <v>1267</v>
      </c>
      <c r="J50" s="2199">
        <f>SUMPRODUCT((I63:I65=J47)*(J62:L62=J48)*(J63:L65))</f>
        <v>60</v>
      </c>
      <c r="K50" s="2194" t="s">
        <v>1268</v>
      </c>
      <c r="L50" s="2197"/>
      <c r="M50" s="2200"/>
      <c r="O50" s="2198" t="s">
        <v>1269</v>
      </c>
      <c r="P50" s="2191" t="s">
        <v>1270</v>
      </c>
      <c r="Q50" s="2233">
        <f ca="1">J58</f>
        <v>0.4</v>
      </c>
      <c r="R50" s="2232"/>
    </row>
    <row r="51" s="799" customFormat="1" ht="13.95" spans="1:18">
      <c r="A51" s="2120"/>
      <c r="B51" s="2115"/>
      <c r="C51" s="2116"/>
      <c r="D51" s="2117"/>
      <c r="E51" s="2121" t="s">
        <v>1163</v>
      </c>
      <c r="F51" s="2005">
        <f ca="1">F8</f>
        <v>365</v>
      </c>
      <c r="I51" s="2201" t="s">
        <v>1271</v>
      </c>
      <c r="J51" s="2202">
        <f>IF(J49="",J50,J49+J50-YEAR('数据-取费表'!B2))</f>
        <v>53</v>
      </c>
      <c r="K51" s="2203" t="s">
        <v>1272</v>
      </c>
      <c r="L51" s="2204">
        <f ca="1">ROUND(-PV(INDIRECT("'数据-取费表'!h"&amp;$G$1),J51,(C39-C13*C76),0),0)</f>
        <v>1505001</v>
      </c>
      <c r="M51" s="2205"/>
      <c r="O51" s="2198" t="s">
        <v>1273</v>
      </c>
      <c r="P51" s="2191" t="s">
        <v>1274</v>
      </c>
      <c r="Q51" s="2233">
        <f>J52</f>
        <v>0.075</v>
      </c>
      <c r="R51" s="2232"/>
    </row>
    <row r="52" s="799" customFormat="1" ht="13.95" spans="1:18">
      <c r="A52" s="2120"/>
      <c r="B52" s="2115"/>
      <c r="C52" s="2116"/>
      <c r="D52" s="2117"/>
      <c r="E52" s="2121" t="s">
        <v>1164</v>
      </c>
      <c r="F52" s="2122"/>
      <c r="I52" s="2206" t="s">
        <v>1275</v>
      </c>
      <c r="J52" s="2207">
        <v>0.075</v>
      </c>
      <c r="K52" s="2206" t="s">
        <v>1276</v>
      </c>
      <c r="L52" s="2207"/>
      <c r="O52" s="2198" t="s">
        <v>1277</v>
      </c>
      <c r="P52" s="2191" t="s">
        <v>1278</v>
      </c>
      <c r="Q52" s="2232">
        <f ca="1">J53</f>
        <v>29.52</v>
      </c>
      <c r="R52" s="2232" t="s">
        <v>1279</v>
      </c>
    </row>
    <row r="53" s="799" customFormat="1" ht="30.75" customHeight="1" spans="1:18">
      <c r="A53" s="2123" t="s">
        <v>1280</v>
      </c>
      <c r="B53" s="2047" t="s">
        <v>1165</v>
      </c>
      <c r="C53" s="1047">
        <f ca="1">ROUND(IF(F53="押一",C49/12*F11,IF(F53="押二",C49/12*2*F11,IF(F53="押三",C49/12*3*F11,C54*F11))),0)</f>
        <v>0</v>
      </c>
      <c r="D53" s="2016" t="s">
        <v>1521</v>
      </c>
      <c r="E53" s="2017" t="s">
        <v>1167</v>
      </c>
      <c r="F53" s="2018"/>
      <c r="I53" s="2208" t="s">
        <v>1281</v>
      </c>
      <c r="J53" s="2209">
        <f ca="1">IF(M47="住宅",IF(D1="——",MAX(J51,L48),MAX(J51,L48-'数据-取费表'!B24)),IF(D1="——",MIN(J51,L48),MIN(J51,L48-'数据-取费表'!B24)))</f>
        <v>29.52</v>
      </c>
      <c r="K53" s="2210" t="s">
        <v>1282</v>
      </c>
      <c r="L53" s="2211"/>
      <c r="O53" s="2190" t="s">
        <v>1107</v>
      </c>
      <c r="P53" s="2191" t="s">
        <v>1283</v>
      </c>
      <c r="Q53" s="2232">
        <f ca="1">Q47+Q48</f>
        <v>2795077</v>
      </c>
      <c r="R53" s="2232" t="s">
        <v>1284</v>
      </c>
    </row>
    <row r="54" s="799" customFormat="1" ht="13.95" spans="1:18">
      <c r="A54" s="2107"/>
      <c r="B54" s="2124" t="s">
        <v>1516</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f ca="1">ROUND(IF(J47="钢混",J57/J50,1-(1-2%)*(J50-J57)/J50),3)</f>
        <v>0.391</v>
      </c>
      <c r="K55" s="2217" t="s">
        <v>1287</v>
      </c>
      <c r="L55" s="2218"/>
      <c r="O55" s="2183" t="s">
        <v>1247</v>
      </c>
      <c r="P55" s="2184" t="s">
        <v>1248</v>
      </c>
      <c r="Q55" s="2231" t="s">
        <v>1249</v>
      </c>
      <c r="R55" s="2231" t="s">
        <v>1250</v>
      </c>
    </row>
    <row r="56" s="799" customFormat="1" ht="36" customHeight="1" spans="1:18">
      <c r="A56" s="2127">
        <v>2</v>
      </c>
      <c r="B56" s="2128" t="s">
        <v>1171</v>
      </c>
      <c r="C56" s="430">
        <f ca="1">C13</f>
        <v>891194</v>
      </c>
      <c r="D56" s="2129"/>
      <c r="E56" s="2130"/>
      <c r="F56" s="2126"/>
      <c r="I56" s="2219" t="s">
        <v>1288</v>
      </c>
      <c r="J56" s="2220" t="s">
        <v>1522</v>
      </c>
      <c r="K56" s="2192" t="s">
        <v>1289</v>
      </c>
      <c r="L56" s="2195" t="str">
        <f ca="1">IF(L48&lt;J51,"——",L48-J51)</f>
        <v>——</v>
      </c>
      <c r="O56" s="2190" t="s">
        <v>1002</v>
      </c>
      <c r="P56" s="2191" t="s">
        <v>1253</v>
      </c>
      <c r="Q56" s="2232">
        <f ca="1">C40+J29</f>
        <v>2747173</v>
      </c>
      <c r="R56" s="2232" t="s">
        <v>1254</v>
      </c>
    </row>
    <row r="57" s="799" customFormat="1" ht="24.75" spans="1:18">
      <c r="A57" s="2131"/>
      <c r="B57" s="2132" t="s">
        <v>1234</v>
      </c>
      <c r="C57" s="440">
        <f ca="1">C29</f>
        <v>1012721</v>
      </c>
      <c r="D57" s="2133"/>
      <c r="E57" s="2134"/>
      <c r="F57" s="2135"/>
      <c r="I57" s="2221" t="s">
        <v>1290</v>
      </c>
      <c r="J57" s="2222">
        <f ca="1">IF(OR(M47="住宅",J51&lt;L48,J56="是"),"——",J51-L48)</f>
        <v>23.48</v>
      </c>
      <c r="K57" s="2192" t="s">
        <v>1523</v>
      </c>
      <c r="L57" s="2195" t="str">
        <f ca="1">IF(L48&lt;J51,"——",IF(L55="比较法",L49,IF(L55="基准地价",L50,L51)))</f>
        <v>——</v>
      </c>
      <c r="O57" s="2190" t="s">
        <v>1005</v>
      </c>
      <c r="P57" s="2191" t="s">
        <v>1292</v>
      </c>
      <c r="Q57" s="2232">
        <f ca="1">L60</f>
        <v>0</v>
      </c>
      <c r="R57" s="2232" t="s">
        <v>1293</v>
      </c>
    </row>
    <row r="58" s="799" customFormat="1" ht="24.75" spans="1:18">
      <c r="A58" s="2136" t="s">
        <v>1179</v>
      </c>
      <c r="B58" s="2128" t="s">
        <v>1180</v>
      </c>
      <c r="C58" s="1047">
        <f ca="1">ROUND(C59+C64+C65+C66,0)</f>
        <v>5955</v>
      </c>
      <c r="D58" s="2137" t="s">
        <v>1181</v>
      </c>
      <c r="E58" s="2138"/>
      <c r="F58" s="2105"/>
      <c r="I58" s="2221" t="s">
        <v>1294</v>
      </c>
      <c r="J58" s="2223">
        <f ca="1">IF(J55&lt;0.4,0.4,J55)</f>
        <v>0.4</v>
      </c>
      <c r="K58" s="2203" t="s">
        <v>1524</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f ca="1">IF(OR(M47="住宅",J51&lt;L48,J56="是"),"——",ROUND(C29*J58,0))</f>
        <v>405088</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IF(项目基本情况!B11="自然人","——",ROUND(C48*F60/(1+'数据-取费表'!C42),0))</f>
        <v>——</v>
      </c>
      <c r="D60" s="2140" t="s">
        <v>1191</v>
      </c>
      <c r="E60" s="2132" t="s">
        <v>1178</v>
      </c>
      <c r="F60" s="2051">
        <f t="shared" ref="F60:F66" si="0">F32</f>
        <v>0.055</v>
      </c>
      <c r="I60" s="2224" t="s">
        <v>1299</v>
      </c>
      <c r="J60" s="2225">
        <f ca="1">IF(OR(M47="住宅",J51&lt;L48,J56="是"),"0",ROUND(J59/(1+J52)^J53,0))</f>
        <v>47904</v>
      </c>
      <c r="K60" s="2226" t="s">
        <v>1300</v>
      </c>
      <c r="L60" s="2225">
        <f ca="1">IF(OR(M47="住宅",L48&lt;J51),0,ROUND(L57*(L58/L59-1),0))</f>
        <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IF(项目基本情况!B11="自然人","——",IF(D61="按租金收入计税",ROUND(C49*F61/(1+'数据-取费表'!C42),0),IF(D61="按房产原值计税",ROUND(C57*F61*0.7,0),INDIRECT("'数据-取费表'!Aj"&amp;$G$1))))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IF(项目基本情况!B11="自然人","——",ROUND(F62*F63,0))</f>
        <v>——</v>
      </c>
      <c r="D62" s="2142" t="s">
        <v>1199</v>
      </c>
      <c r="E62" s="2132" t="s">
        <v>1200</v>
      </c>
      <c r="F62" s="2050">
        <f t="shared" si="0"/>
        <v>0</v>
      </c>
      <c r="I62" s="2227" t="s">
        <v>1304</v>
      </c>
      <c r="J62" s="2228" t="s">
        <v>1305</v>
      </c>
      <c r="K62" s="2228" t="s">
        <v>1306</v>
      </c>
      <c r="L62" s="2228" t="s">
        <v>1307</v>
      </c>
      <c r="M62" s="2229" t="s">
        <v>1308</v>
      </c>
      <c r="O62" s="2190" t="s">
        <v>1107</v>
      </c>
      <c r="P62" s="2191" t="s">
        <v>1283</v>
      </c>
      <c r="Q62" s="2232">
        <f ca="1">Q56+Q57</f>
        <v>2747173</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ROUND(C57*F64,0)</f>
        <v>5064</v>
      </c>
      <c r="D64" s="2140" t="s">
        <v>1239</v>
      </c>
      <c r="E64" s="2132" t="s">
        <v>1178</v>
      </c>
      <c r="F64" s="2072">
        <f ca="1" t="shared" si="0"/>
        <v>0.005</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ROUND(C56*F65,0)</f>
        <v>891</v>
      </c>
      <c r="D65" s="2140" t="s">
        <v>1211</v>
      </c>
      <c r="E65" s="2132" t="s">
        <v>1178</v>
      </c>
      <c r="F65" s="2073">
        <f ca="1" t="shared" si="0"/>
        <v>0.001</v>
      </c>
      <c r="I65" s="2227" t="s">
        <v>1312</v>
      </c>
      <c r="J65" s="2228">
        <v>40</v>
      </c>
      <c r="K65" s="2228">
        <v>30</v>
      </c>
      <c r="L65" s="2228">
        <v>50</v>
      </c>
      <c r="M65" s="2230">
        <v>0.02</v>
      </c>
      <c r="O65" s="2190" t="s">
        <v>1002</v>
      </c>
      <c r="P65" s="2191" t="s">
        <v>1253</v>
      </c>
      <c r="Q65" s="2232">
        <f ca="1">C40+J29</f>
        <v>2747173</v>
      </c>
      <c r="R65" s="2232" t="s">
        <v>1254</v>
      </c>
    </row>
    <row r="66" s="799" customFormat="1" ht="17.55" spans="1:18">
      <c r="A66" s="2035" t="s">
        <v>949</v>
      </c>
      <c r="B66" s="2132" t="s">
        <v>1196</v>
      </c>
      <c r="C66" s="1048">
        <f ca="1">ROUND(C48*F66,0)</f>
        <v>0</v>
      </c>
      <c r="D66" s="2140" t="s">
        <v>1214</v>
      </c>
      <c r="E66" s="2132" t="s">
        <v>1178</v>
      </c>
      <c r="F66" s="2014">
        <f ca="1" t="shared" si="0"/>
        <v>0.01</v>
      </c>
      <c r="O66" s="2190" t="s">
        <v>1005</v>
      </c>
      <c r="P66" s="2191" t="s">
        <v>1292</v>
      </c>
      <c r="Q66" s="2232">
        <f ca="1">L60</f>
        <v>0</v>
      </c>
      <c r="R66" s="2232" t="s">
        <v>1293</v>
      </c>
    </row>
    <row r="67" s="799" customFormat="1" ht="24.75" spans="1:18">
      <c r="A67" s="2127" t="s">
        <v>1217</v>
      </c>
      <c r="B67" s="2234" t="s">
        <v>1218</v>
      </c>
      <c r="C67" s="1047">
        <f ca="1">C48-C58</f>
        <v>-5955</v>
      </c>
      <c r="D67" s="2139" t="s">
        <v>1219</v>
      </c>
      <c r="E67" s="2235"/>
      <c r="F67" s="2236"/>
      <c r="O67" s="2198" t="s">
        <v>1265</v>
      </c>
      <c r="P67" s="2191" t="s">
        <v>1296</v>
      </c>
      <c r="Q67" s="2256">
        <f ca="1">L51</f>
        <v>1505001</v>
      </c>
      <c r="R67" s="2232" t="s">
        <v>1313</v>
      </c>
    </row>
    <row r="68" s="799" customFormat="1" ht="17.55" spans="1:18">
      <c r="A68" s="2237" t="s">
        <v>1223</v>
      </c>
      <c r="B68" s="2238" t="s">
        <v>1240</v>
      </c>
      <c r="C68" s="2078">
        <f ca="1">ROUND(C67*(1-((1+F70)/(1+F68))^F69)/(F68-F70),0)</f>
        <v>-85983</v>
      </c>
      <c r="D68" s="2142" t="s">
        <v>1225</v>
      </c>
      <c r="E68" s="2132" t="s">
        <v>1226</v>
      </c>
      <c r="F68" s="2014">
        <f ca="1">F40</f>
        <v>0.055</v>
      </c>
      <c r="O68" s="2198" t="s">
        <v>1269</v>
      </c>
      <c r="P68" s="2255" t="s">
        <v>1314</v>
      </c>
      <c r="Q68" s="2232">
        <f ca="1">ROUND(Q69-Q70*Q71,0)</f>
        <v>81380</v>
      </c>
      <c r="R68" s="2232" t="s">
        <v>1315</v>
      </c>
    </row>
    <row r="69" s="799" customFormat="1" ht="13.95" spans="1:18">
      <c r="A69" s="2239"/>
      <c r="B69" s="2240"/>
      <c r="C69" s="2012"/>
      <c r="D69" s="2241" t="s">
        <v>1229</v>
      </c>
      <c r="E69" s="2132" t="s">
        <v>1230</v>
      </c>
      <c r="F69" s="2082">
        <f ca="1">F41</f>
        <v>29.52</v>
      </c>
      <c r="O69" s="2198" t="s">
        <v>1316</v>
      </c>
      <c r="P69" s="2255" t="s">
        <v>1317</v>
      </c>
      <c r="Q69" s="2232">
        <f ca="1">C39</f>
        <v>143764</v>
      </c>
      <c r="R69" s="2232" t="s">
        <v>1254</v>
      </c>
    </row>
    <row r="70" s="799" customFormat="1" ht="13.95" spans="1:18">
      <c r="A70" s="2242"/>
      <c r="B70" s="2243"/>
      <c r="C70" s="2032"/>
      <c r="D70" s="2144"/>
      <c r="E70" s="2132" t="s">
        <v>1233</v>
      </c>
      <c r="F70" s="2122"/>
      <c r="O70" s="2198" t="s">
        <v>1318</v>
      </c>
      <c r="P70" s="2255" t="s">
        <v>1319</v>
      </c>
      <c r="Q70" s="2232">
        <f ca="1">C13</f>
        <v>891194</v>
      </c>
      <c r="R70" s="2232" t="s">
        <v>1254</v>
      </c>
    </row>
    <row r="71" s="799" customFormat="1" ht="13.95" spans="1:18">
      <c r="A71" s="2244" t="s">
        <v>1235</v>
      </c>
      <c r="B71" s="2245" t="s">
        <v>1241</v>
      </c>
      <c r="C71" s="2086">
        <f ca="1">ROUND(C68/F71,0)</f>
        <v>-436</v>
      </c>
      <c r="D71" s="2246" t="s">
        <v>1242</v>
      </c>
      <c r="E71" s="2247" t="s">
        <v>1243</v>
      </c>
      <c r="F71" s="2089">
        <f ca="1">F43</f>
        <v>197.18</v>
      </c>
      <c r="O71" s="2198" t="s">
        <v>1320</v>
      </c>
      <c r="P71" s="2255" t="s">
        <v>1321</v>
      </c>
      <c r="Q71" s="2233">
        <f ca="1">C76</f>
        <v>0.07</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62384</v>
      </c>
      <c r="D75" s="799"/>
      <c r="E75" s="799"/>
      <c r="F75" s="799"/>
      <c r="K75" s="2177"/>
      <c r="L75" s="799"/>
      <c r="O75" s="2190" t="s">
        <v>1107</v>
      </c>
      <c r="P75" s="2191" t="s">
        <v>1283</v>
      </c>
      <c r="Q75" s="2232">
        <f ca="1">Q65+Q66</f>
        <v>2747173</v>
      </c>
      <c r="R75" s="2232" t="s">
        <v>1284</v>
      </c>
    </row>
    <row r="76" spans="2:12">
      <c r="B76" s="575" t="s">
        <v>1325</v>
      </c>
      <c r="C76" s="2251">
        <f ca="1">INDIRECT("'数据-取费表'!j"&amp;$G$1)</f>
        <v>0.07</v>
      </c>
      <c r="I76" s="799"/>
      <c r="J76" s="799"/>
      <c r="K76" s="2177"/>
      <c r="L76" s="799"/>
    </row>
    <row r="77" spans="2:12">
      <c r="B77" s="2252" t="s">
        <v>1326</v>
      </c>
      <c r="C77" s="2253"/>
      <c r="I77" s="799"/>
      <c r="J77" s="799"/>
      <c r="K77" s="2177"/>
      <c r="L77" s="799"/>
    </row>
    <row r="78" spans="2:3">
      <c r="B78" s="473" t="s">
        <v>1327</v>
      </c>
      <c r="C78" s="2254"/>
    </row>
    <row r="79" spans="2:3">
      <c r="B79" s="2249" t="s">
        <v>1328</v>
      </c>
      <c r="C79" s="476">
        <f ca="1">1-C80</f>
        <v>0.566</v>
      </c>
    </row>
    <row r="80" spans="2:3">
      <c r="B80" s="2249"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zoomScale="60" zoomScaleNormal="60" topLeftCell="E141" workbookViewId="0">
      <selection activeCell="Y176" sqref="Y176"/>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1525</v>
      </c>
      <c r="B1" s="1787"/>
      <c r="C1" s="1788"/>
      <c r="D1" s="1788"/>
      <c r="E1" s="1789"/>
      <c r="F1" s="1790"/>
      <c r="G1" s="1791"/>
      <c r="J1" s="1898" t="s">
        <v>1526</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1527</v>
      </c>
      <c r="E2" s="1795"/>
      <c r="F2" s="1796"/>
      <c r="G2" s="1797"/>
      <c r="H2" s="1798"/>
      <c r="I2" s="1900"/>
      <c r="J2" s="1901" t="s">
        <v>1528</v>
      </c>
      <c r="K2" s="1902"/>
      <c r="L2" s="1903" t="s">
        <v>1529</v>
      </c>
      <c r="M2" s="1903" t="s">
        <v>1530</v>
      </c>
      <c r="N2" s="1903" t="s">
        <v>1531</v>
      </c>
      <c r="O2" s="1903" t="s">
        <v>1532</v>
      </c>
      <c r="P2" s="1903" t="s">
        <v>1533</v>
      </c>
      <c r="Q2" s="1949" t="s">
        <v>1534</v>
      </c>
      <c r="R2" s="1950" t="s">
        <v>1535</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1536</v>
      </c>
      <c r="K3" s="1905"/>
      <c r="L3" s="1906"/>
      <c r="M3" s="1906"/>
      <c r="N3" s="1906"/>
      <c r="O3" s="1906"/>
      <c r="P3" s="1906"/>
      <c r="Q3" s="1951"/>
      <c r="R3" s="1952">
        <f>SUM(L3:Q3)</f>
        <v>0</v>
      </c>
      <c r="S3" s="1948"/>
      <c r="T3" s="1948"/>
      <c r="U3" s="1948"/>
      <c r="V3" s="1900"/>
    </row>
    <row r="4" s="1779" customFormat="1" customHeight="1" spans="1:22">
      <c r="A4" s="1802" t="s">
        <v>1537</v>
      </c>
      <c r="B4" s="1803"/>
      <c r="C4" s="1788"/>
      <c r="D4" s="1788"/>
      <c r="E4" s="1801"/>
      <c r="F4" s="1796"/>
      <c r="G4" s="1797"/>
      <c r="H4" s="1798"/>
      <c r="I4" s="1900"/>
      <c r="J4" s="1904" t="s">
        <v>1538</v>
      </c>
      <c r="K4" s="1905"/>
      <c r="L4" s="1907"/>
      <c r="M4" s="1907"/>
      <c r="N4" s="1907"/>
      <c r="O4" s="1907"/>
      <c r="P4" s="1907"/>
      <c r="Q4" s="1953"/>
      <c r="R4" s="1954">
        <f>SUM(L4:Q4)</f>
        <v>0</v>
      </c>
      <c r="S4" s="1948"/>
      <c r="T4" s="1948"/>
      <c r="U4" s="1948"/>
      <c r="V4" s="1900"/>
    </row>
    <row r="5" s="1779" customFormat="1" customHeight="1" spans="1:22">
      <c r="A5" s="1804" t="s">
        <v>1539</v>
      </c>
      <c r="B5" s="1805"/>
      <c r="C5" s="1788"/>
      <c r="D5" s="1806"/>
      <c r="E5" s="1796"/>
      <c r="F5" s="1796"/>
      <c r="G5" s="1797"/>
      <c r="H5" s="1798"/>
      <c r="I5" s="1900"/>
      <c r="J5" s="1908" t="s">
        <v>1540</v>
      </c>
      <c r="K5" s="1909"/>
      <c r="L5" s="1909"/>
      <c r="M5" s="1910"/>
      <c r="N5" s="1910"/>
      <c r="O5" s="1910"/>
      <c r="P5" s="1910"/>
      <c r="Q5" s="1910"/>
      <c r="R5" s="1950">
        <f>SUM(R14,R19,R24,R25,R27,R28)</f>
        <v>0</v>
      </c>
      <c r="S5" s="1948"/>
      <c r="T5" s="1948" t="s">
        <v>1541</v>
      </c>
      <c r="U5" s="1948" t="e">
        <f>ROUND(R5*10000/365/R3,1)</f>
        <v>#DIV/0!</v>
      </c>
      <c r="V5" s="1900"/>
    </row>
    <row r="6" s="1779" customFormat="1" customHeight="1" spans="1:22">
      <c r="A6" s="1807" t="s">
        <v>1542</v>
      </c>
      <c r="B6" s="1808"/>
      <c r="C6" s="1809"/>
      <c r="D6" s="1810"/>
      <c r="E6" s="1811"/>
      <c r="F6" s="1812"/>
      <c r="G6" s="1813"/>
      <c r="H6" s="1798"/>
      <c r="I6" s="1900"/>
      <c r="J6" s="1911">
        <v>1</v>
      </c>
      <c r="K6" s="1912" t="s">
        <v>1543</v>
      </c>
      <c r="L6" s="1913" t="s">
        <v>1544</v>
      </c>
      <c r="M6" s="1914" t="s">
        <v>1545</v>
      </c>
      <c r="N6" s="1914" t="s">
        <v>1546</v>
      </c>
      <c r="O6" s="1914" t="s">
        <v>1547</v>
      </c>
      <c r="P6" s="1914" t="s">
        <v>1548</v>
      </c>
      <c r="Q6" s="1914" t="s">
        <v>1549</v>
      </c>
      <c r="R6" s="1952" t="s">
        <v>1550</v>
      </c>
      <c r="S6" s="1948"/>
      <c r="T6" s="1948" t="s">
        <v>1551</v>
      </c>
      <c r="U6" s="1948"/>
      <c r="V6" s="1900"/>
    </row>
    <row r="7" s="1779" customFormat="1" customHeight="1" spans="1:22">
      <c r="A7" s="1814" t="s">
        <v>1552</v>
      </c>
      <c r="B7" s="1815"/>
      <c r="C7" s="1816"/>
      <c r="D7" s="1817">
        <f>SUM(D9,D10,D11,D17,0)</f>
        <v>0</v>
      </c>
      <c r="E7" s="1818" t="e">
        <f>E9+E10+E11+E17</f>
        <v>#DIV/0!</v>
      </c>
      <c r="F7" s="1819"/>
      <c r="G7" s="1820"/>
      <c r="H7" s="1798"/>
      <c r="I7" s="1900"/>
      <c r="J7" s="1911"/>
      <c r="K7" s="1915"/>
      <c r="L7" s="1916" t="s">
        <v>1553</v>
      </c>
      <c r="M7" s="1917"/>
      <c r="N7" s="1803"/>
      <c r="O7" s="1918"/>
      <c r="P7" s="1918"/>
      <c r="Q7" s="1839">
        <v>365</v>
      </c>
      <c r="R7" s="1955">
        <f>ROUND(M7*N7*O7*P7*Q7/10000,0)</f>
        <v>0</v>
      </c>
      <c r="S7" s="1948"/>
      <c r="T7" s="1948" t="s">
        <v>1554</v>
      </c>
      <c r="U7" s="1948"/>
      <c r="V7" s="1900"/>
    </row>
    <row r="8" s="1779" customFormat="1" customHeight="1" spans="1:22">
      <c r="A8" s="1821" t="s">
        <v>1555</v>
      </c>
      <c r="B8" s="1822" t="s">
        <v>1556</v>
      </c>
      <c r="C8" s="1823"/>
      <c r="D8" s="1824" t="s">
        <v>1557</v>
      </c>
      <c r="E8" s="1825" t="s">
        <v>1558</v>
      </c>
      <c r="F8" s="1826" t="s">
        <v>1559</v>
      </c>
      <c r="G8" s="1827"/>
      <c r="H8" s="1798"/>
      <c r="I8" s="1900"/>
      <c r="J8" s="1911"/>
      <c r="K8" s="1915"/>
      <c r="L8" s="1916" t="s">
        <v>1560</v>
      </c>
      <c r="M8" s="1917"/>
      <c r="N8" s="1803"/>
      <c r="O8" s="1918"/>
      <c r="P8" s="1918"/>
      <c r="Q8" s="1839">
        <v>365</v>
      </c>
      <c r="R8" s="1955">
        <f t="shared" ref="R8:R13" si="0">ROUND(M8*N8*O8*P8*Q8/10000,0)</f>
        <v>0</v>
      </c>
      <c r="S8" s="1948"/>
      <c r="T8" s="1948" t="s">
        <v>1561</v>
      </c>
      <c r="U8" s="1948"/>
      <c r="V8" s="1900"/>
    </row>
    <row r="9" s="1779" customFormat="1" customHeight="1" spans="1:22">
      <c r="A9" s="1821">
        <v>1</v>
      </c>
      <c r="B9" s="1822" t="s">
        <v>1562</v>
      </c>
      <c r="C9" s="1823"/>
      <c r="D9" s="1824">
        <f>ROUND(D6*E9,0)</f>
        <v>0</v>
      </c>
      <c r="E9" s="1828"/>
      <c r="F9" s="1829" t="s">
        <v>1563</v>
      </c>
      <c r="G9" s="1813"/>
      <c r="H9" s="1798"/>
      <c r="I9" s="1900"/>
      <c r="J9" s="1911"/>
      <c r="K9" s="1915"/>
      <c r="L9" s="1916" t="s">
        <v>1564</v>
      </c>
      <c r="M9" s="1917"/>
      <c r="N9" s="1803"/>
      <c r="O9" s="1918"/>
      <c r="P9" s="1918"/>
      <c r="Q9" s="1839">
        <v>365</v>
      </c>
      <c r="R9" s="1955">
        <f t="shared" si="0"/>
        <v>0</v>
      </c>
      <c r="S9" s="1948"/>
      <c r="T9" s="1948"/>
      <c r="U9" s="1948"/>
      <c r="V9" s="1900"/>
    </row>
    <row r="10" s="1779" customFormat="1" customHeight="1" spans="1:22">
      <c r="A10" s="1821">
        <v>2</v>
      </c>
      <c r="B10" s="1822" t="s">
        <v>1565</v>
      </c>
      <c r="C10" s="1823"/>
      <c r="D10" s="1824">
        <f>ROUND(D6*E10,0)</f>
        <v>0</v>
      </c>
      <c r="E10" s="1828"/>
      <c r="F10" s="1829" t="s">
        <v>1566</v>
      </c>
      <c r="G10" s="1813"/>
      <c r="H10" s="1798"/>
      <c r="I10" s="1900"/>
      <c r="J10" s="1911"/>
      <c r="K10" s="1915"/>
      <c r="L10" s="1916" t="s">
        <v>1567</v>
      </c>
      <c r="M10" s="1917"/>
      <c r="N10" s="1803"/>
      <c r="O10" s="1918"/>
      <c r="P10" s="1918"/>
      <c r="Q10" s="1839">
        <v>365</v>
      </c>
      <c r="R10" s="1955">
        <f t="shared" si="0"/>
        <v>0</v>
      </c>
      <c r="S10" s="1948"/>
      <c r="T10" s="1948"/>
      <c r="U10" s="1948"/>
      <c r="V10" s="1900"/>
    </row>
    <row r="11" s="1779" customFormat="1" customHeight="1" spans="1:22">
      <c r="A11" s="1821">
        <v>3</v>
      </c>
      <c r="B11" s="1822" t="s">
        <v>1568</v>
      </c>
      <c r="C11" s="1823"/>
      <c r="D11" s="1824">
        <f>D12+D14+D15+D16</f>
        <v>0</v>
      </c>
      <c r="E11" s="1830" t="e">
        <f>D11/D6</f>
        <v>#DIV/0!</v>
      </c>
      <c r="F11" s="1826"/>
      <c r="G11" s="1827"/>
      <c r="H11" s="1798"/>
      <c r="I11" s="1900"/>
      <c r="J11" s="1911"/>
      <c r="K11" s="1915"/>
      <c r="L11" s="1916" t="s">
        <v>1569</v>
      </c>
      <c r="M11" s="1917"/>
      <c r="N11" s="1803"/>
      <c r="O11" s="1918"/>
      <c r="P11" s="1918"/>
      <c r="Q11" s="1839">
        <v>365</v>
      </c>
      <c r="R11" s="1955">
        <f t="shared" si="0"/>
        <v>0</v>
      </c>
      <c r="S11" s="1948"/>
      <c r="T11" s="1948"/>
      <c r="U11" s="1948"/>
      <c r="V11" s="1900"/>
    </row>
    <row r="12" s="1779" customFormat="1" customHeight="1" spans="1:22">
      <c r="A12" s="1831" t="s">
        <v>1570</v>
      </c>
      <c r="B12" s="1832" t="s">
        <v>1571</v>
      </c>
      <c r="C12" s="1833"/>
      <c r="D12" s="1834">
        <f>ROUND(D13*1.2%*(1-30%),0)</f>
        <v>0</v>
      </c>
      <c r="E12" s="1835">
        <v>0.012</v>
      </c>
      <c r="F12" s="1826" t="s">
        <v>1572</v>
      </c>
      <c r="G12" s="1827"/>
      <c r="H12" s="1798"/>
      <c r="I12" s="1900"/>
      <c r="J12" s="1911"/>
      <c r="K12" s="1915"/>
      <c r="L12" s="1916" t="s">
        <v>1573</v>
      </c>
      <c r="M12" s="1917"/>
      <c r="N12" s="1803"/>
      <c r="O12" s="1918"/>
      <c r="P12" s="1918"/>
      <c r="Q12" s="1839">
        <v>365</v>
      </c>
      <c r="R12" s="1955">
        <f t="shared" si="0"/>
        <v>0</v>
      </c>
      <c r="S12" s="1948"/>
      <c r="T12" s="1948"/>
      <c r="U12" s="1948"/>
      <c r="V12" s="1900"/>
    </row>
    <row r="13" s="1779" customFormat="1" customHeight="1" spans="1:22">
      <c r="A13" s="1831"/>
      <c r="B13" s="1832"/>
      <c r="C13" s="1836" t="s">
        <v>1574</v>
      </c>
      <c r="D13" s="1837"/>
      <c r="E13" s="1838"/>
      <c r="F13" s="1826"/>
      <c r="G13" s="1827"/>
      <c r="H13" s="1798"/>
      <c r="I13" s="1900"/>
      <c r="J13" s="1911"/>
      <c r="K13" s="1915"/>
      <c r="L13" s="1916" t="s">
        <v>1575</v>
      </c>
      <c r="M13" s="1917"/>
      <c r="N13" s="1803"/>
      <c r="O13" s="1918"/>
      <c r="P13" s="1918"/>
      <c r="Q13" s="1839">
        <v>365</v>
      </c>
      <c r="R13" s="1955">
        <f t="shared" si="0"/>
        <v>0</v>
      </c>
      <c r="S13" s="1948"/>
      <c r="T13" s="1948"/>
      <c r="U13" s="1948"/>
      <c r="V13" s="1900"/>
    </row>
    <row r="14" s="1779" customFormat="1" customHeight="1" spans="1:22">
      <c r="A14" s="1831" t="s">
        <v>1576</v>
      </c>
      <c r="B14" s="1832" t="s">
        <v>1577</v>
      </c>
      <c r="C14" s="1833"/>
      <c r="D14" s="1834">
        <f>ROUND(E14*B5/10000,0)</f>
        <v>0</v>
      </c>
      <c r="E14" s="1839"/>
      <c r="F14" s="1826" t="s">
        <v>1578</v>
      </c>
      <c r="G14" s="1827"/>
      <c r="H14" s="1798"/>
      <c r="I14" s="1900"/>
      <c r="J14" s="1911"/>
      <c r="K14" s="1919"/>
      <c r="L14" s="1920" t="s">
        <v>1579</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1580</v>
      </c>
      <c r="B15" s="1832" t="s">
        <v>1581</v>
      </c>
      <c r="C15" s="1833"/>
      <c r="D15" s="1834">
        <f>ROUND(D6*E15,0)</f>
        <v>0</v>
      </c>
      <c r="E15" s="1835">
        <v>0.055</v>
      </c>
      <c r="F15" s="1826" t="s">
        <v>1582</v>
      </c>
      <c r="G15" s="1813"/>
      <c r="H15" s="1798"/>
      <c r="I15" s="1900"/>
      <c r="J15" s="1911">
        <v>2</v>
      </c>
      <c r="K15" s="1912" t="s">
        <v>1583</v>
      </c>
      <c r="L15" s="1916" t="s">
        <v>1584</v>
      </c>
      <c r="M15" s="1917" t="s">
        <v>1585</v>
      </c>
      <c r="N15" s="1917" t="s">
        <v>1586</v>
      </c>
      <c r="O15" s="1918" t="s">
        <v>1587</v>
      </c>
      <c r="P15" s="1918" t="s">
        <v>1549</v>
      </c>
      <c r="Q15" s="1803" t="s">
        <v>124</v>
      </c>
      <c r="R15" s="1957" t="s">
        <v>1550</v>
      </c>
      <c r="S15" s="1948"/>
      <c r="T15" s="1948"/>
      <c r="U15" s="1948"/>
      <c r="V15" s="1900"/>
    </row>
    <row r="16" s="1779" customFormat="1" customHeight="1" spans="1:22">
      <c r="A16" s="1831" t="s">
        <v>1588</v>
      </c>
      <c r="B16" s="1832" t="s">
        <v>1589</v>
      </c>
      <c r="C16" s="1833"/>
      <c r="D16" s="1840">
        <f>D6*E16</f>
        <v>0</v>
      </c>
      <c r="E16" s="1841"/>
      <c r="F16" s="1829" t="s">
        <v>1590</v>
      </c>
      <c r="G16" s="1813"/>
      <c r="H16" s="1798"/>
      <c r="I16" s="1900"/>
      <c r="J16" s="1911"/>
      <c r="K16" s="1915"/>
      <c r="L16" s="1916" t="s">
        <v>1591</v>
      </c>
      <c r="M16" s="1917"/>
      <c r="N16" s="1917"/>
      <c r="O16" s="1918"/>
      <c r="P16" s="1839">
        <v>365</v>
      </c>
      <c r="Q16" s="1803"/>
      <c r="R16" s="1957">
        <f>ROUND(M16*N16*O16*P16/10000,0)</f>
        <v>0</v>
      </c>
      <c r="S16" s="1948"/>
      <c r="T16" s="1948"/>
      <c r="U16" s="1948"/>
      <c r="V16" s="1900"/>
    </row>
    <row r="17" s="1779" customFormat="1" customHeight="1" spans="1:22">
      <c r="A17" s="1842">
        <v>4</v>
      </c>
      <c r="B17" s="1843" t="s">
        <v>1592</v>
      </c>
      <c r="C17" s="1844"/>
      <c r="D17" s="1845">
        <f>ROUND(D6*E17,0)</f>
        <v>0</v>
      </c>
      <c r="E17" s="1846"/>
      <c r="F17" s="1847" t="s">
        <v>1593</v>
      </c>
      <c r="G17" s="1813"/>
      <c r="H17" s="1798"/>
      <c r="I17" s="1900"/>
      <c r="J17" s="1911"/>
      <c r="K17" s="1915"/>
      <c r="L17" s="1916" t="s">
        <v>1594</v>
      </c>
      <c r="M17" s="1917"/>
      <c r="N17" s="1917"/>
      <c r="O17" s="1918"/>
      <c r="P17" s="1839">
        <v>365</v>
      </c>
      <c r="Q17" s="1803"/>
      <c r="R17" s="1957">
        <f>ROUND(M17*N17*O17*P17/10000,0)</f>
        <v>0</v>
      </c>
      <c r="S17" s="1948"/>
      <c r="T17" s="1948"/>
      <c r="U17" s="1948"/>
      <c r="V17" s="1900"/>
    </row>
    <row r="18" s="1779" customFormat="1" customHeight="1" spans="1:22">
      <c r="A18" s="1814" t="s">
        <v>1595</v>
      </c>
      <c r="B18" s="1815"/>
      <c r="C18" s="1815"/>
      <c r="D18" s="1848">
        <f>ROUND(D6*E18,0)</f>
        <v>0</v>
      </c>
      <c r="E18" s="1849"/>
      <c r="F18" s="1850" t="s">
        <v>1596</v>
      </c>
      <c r="G18" s="1813"/>
      <c r="H18" s="1798"/>
      <c r="I18" s="1900"/>
      <c r="J18" s="1911"/>
      <c r="K18" s="1915"/>
      <c r="L18" s="1916" t="s">
        <v>1597</v>
      </c>
      <c r="M18" s="1917"/>
      <c r="N18" s="1917"/>
      <c r="O18" s="1918"/>
      <c r="P18" s="1839">
        <v>365</v>
      </c>
      <c r="Q18" s="1803"/>
      <c r="R18" s="1957">
        <f>ROUND(M18*N18*O18*P18/10000,0)</f>
        <v>0</v>
      </c>
      <c r="S18" s="1948"/>
      <c r="T18" s="1948"/>
      <c r="U18" s="1948"/>
      <c r="V18" s="1900"/>
    </row>
    <row r="19" s="1779" customFormat="1" customHeight="1" spans="1:22">
      <c r="A19" s="1851" t="s">
        <v>1598</v>
      </c>
      <c r="B19" s="1811"/>
      <c r="C19" s="1811"/>
      <c r="D19" s="1811"/>
      <c r="E19" s="1811"/>
      <c r="F19" s="1812"/>
      <c r="G19" s="1827"/>
      <c r="H19" s="1798"/>
      <c r="I19" s="1900"/>
      <c r="J19" s="1911"/>
      <c r="K19" s="1919"/>
      <c r="L19" s="1920" t="s">
        <v>1579</v>
      </c>
      <c r="M19" s="1921"/>
      <c r="N19" s="1921">
        <f>SUM(N16:N18)</f>
        <v>0</v>
      </c>
      <c r="O19" s="1922"/>
      <c r="P19" s="1923" t="s">
        <v>1599</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1600</v>
      </c>
      <c r="L20" s="1916" t="s">
        <v>1601</v>
      </c>
      <c r="M20" s="1917" t="s">
        <v>1602</v>
      </c>
      <c r="N20" s="1924" t="s">
        <v>1603</v>
      </c>
      <c r="O20" s="1918" t="s">
        <v>1604</v>
      </c>
      <c r="P20" s="1839" t="s">
        <v>1549</v>
      </c>
      <c r="Q20" s="1803" t="s">
        <v>124</v>
      </c>
      <c r="R20" s="1957" t="s">
        <v>1550</v>
      </c>
      <c r="S20" s="1945"/>
      <c r="T20" s="1945"/>
      <c r="U20" s="1945"/>
      <c r="V20" s="1900"/>
    </row>
    <row r="21" s="1779" customFormat="1" customHeight="1" spans="1:22">
      <c r="A21" s="1814"/>
      <c r="B21" s="1815"/>
      <c r="C21" s="1822" t="s">
        <v>1605</v>
      </c>
      <c r="D21" s="1853" t="s">
        <v>1606</v>
      </c>
      <c r="E21" s="1823" t="s">
        <v>1607</v>
      </c>
      <c r="F21" s="1852"/>
      <c r="G21" s="1827"/>
      <c r="H21" s="1798"/>
      <c r="I21" s="1900"/>
      <c r="J21" s="1911"/>
      <c r="K21" s="1915"/>
      <c r="L21" s="1916" t="s">
        <v>1608</v>
      </c>
      <c r="M21" s="1917"/>
      <c r="N21" s="1917"/>
      <c r="O21" s="1918"/>
      <c r="P21" s="1839">
        <v>365</v>
      </c>
      <c r="Q21" s="1803"/>
      <c r="R21" s="1959">
        <f>ROUND(M21*N21*O21*P21/10000,0)</f>
        <v>0</v>
      </c>
      <c r="S21" s="1945"/>
      <c r="T21" s="1945"/>
      <c r="U21" s="1945"/>
      <c r="V21" s="1900"/>
    </row>
    <row r="22" s="1779" customFormat="1" customHeight="1" spans="1:22">
      <c r="A22" s="1814"/>
      <c r="B22" s="1815"/>
      <c r="C22" s="1854" t="s">
        <v>1609</v>
      </c>
      <c r="D22" s="1855" t="s">
        <v>1610</v>
      </c>
      <c r="E22" s="1856" t="s">
        <v>1611</v>
      </c>
      <c r="F22" s="1852"/>
      <c r="G22" s="1857"/>
      <c r="H22" s="1798"/>
      <c r="I22" s="1900"/>
      <c r="J22" s="1911"/>
      <c r="K22" s="1915"/>
      <c r="L22" s="1916" t="s">
        <v>1612</v>
      </c>
      <c r="M22" s="1917"/>
      <c r="N22" s="1917"/>
      <c r="O22" s="1918"/>
      <c r="P22" s="1839">
        <v>365</v>
      </c>
      <c r="Q22" s="1803"/>
      <c r="R22" s="1959">
        <f>ROUND(M22*N22*O22*P22/10000,0)</f>
        <v>0</v>
      </c>
      <c r="S22" s="1945"/>
      <c r="T22" s="1945"/>
      <c r="U22" s="1945"/>
      <c r="V22" s="1900"/>
    </row>
    <row r="23" s="1779" customFormat="1" customHeight="1" spans="1:22">
      <c r="A23" s="1858">
        <v>1</v>
      </c>
      <c r="B23" s="1859" t="s">
        <v>1613</v>
      </c>
      <c r="C23" s="1860">
        <f>D6</f>
        <v>0</v>
      </c>
      <c r="D23" s="1861">
        <f>C23*(1+D24)</f>
        <v>0</v>
      </c>
      <c r="E23" s="1862">
        <f>D23*(1+E24)</f>
        <v>0</v>
      </c>
      <c r="F23" s="1863"/>
      <c r="G23" s="1864"/>
      <c r="H23" s="1798"/>
      <c r="I23" s="1900"/>
      <c r="J23" s="1911"/>
      <c r="K23" s="1915"/>
      <c r="L23" s="1916" t="s">
        <v>1614</v>
      </c>
      <c r="M23" s="1917"/>
      <c r="N23" s="1917"/>
      <c r="O23" s="1918"/>
      <c r="P23" s="1839">
        <v>365</v>
      </c>
      <c r="Q23" s="1803"/>
      <c r="R23" s="1959">
        <f>ROUND(M23*N23*O23*P23/10000,0)</f>
        <v>0</v>
      </c>
      <c r="S23" s="1948"/>
      <c r="T23" s="1948"/>
      <c r="U23" s="1948"/>
      <c r="V23" s="1900"/>
    </row>
    <row r="24" s="1779" customFormat="1" customHeight="1" spans="1:22">
      <c r="A24" s="1865"/>
      <c r="B24" s="1866" t="s">
        <v>1615</v>
      </c>
      <c r="C24" s="1867"/>
      <c r="D24" s="1868"/>
      <c r="E24" s="1869"/>
      <c r="F24" s="1870"/>
      <c r="G24" s="1864"/>
      <c r="H24" s="1798"/>
      <c r="I24" s="1900"/>
      <c r="J24" s="1911"/>
      <c r="K24" s="1919"/>
      <c r="L24" s="1920" t="s">
        <v>1579</v>
      </c>
      <c r="M24" s="1921">
        <f>SUM(M21:M23)</f>
        <v>0</v>
      </c>
      <c r="N24" s="1921"/>
      <c r="O24" s="1922"/>
      <c r="P24" s="1923" t="s">
        <v>1599</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1616</v>
      </c>
      <c r="L25" s="1926"/>
      <c r="M25" s="1926"/>
      <c r="N25" s="1926"/>
      <c r="O25" s="1926"/>
      <c r="P25" s="1927"/>
      <c r="Q25" s="1960">
        <v>0</v>
      </c>
      <c r="R25" s="1958">
        <f>ROUND(R14*Q25,0)</f>
        <v>0</v>
      </c>
      <c r="S25" s="1948"/>
      <c r="T25" s="1948"/>
      <c r="U25" s="1948"/>
      <c r="V25" s="1934"/>
    </row>
    <row r="26" s="1780" customFormat="1" customHeight="1" spans="1:22">
      <c r="A26" s="1858">
        <v>2</v>
      </c>
      <c r="B26" s="1859" t="s">
        <v>1617</v>
      </c>
      <c r="C26" s="1860">
        <f>D7</f>
        <v>0</v>
      </c>
      <c r="D26" s="1861">
        <f>D23*D27</f>
        <v>0</v>
      </c>
      <c r="E26" s="1862">
        <f>E23*E27</f>
        <v>0</v>
      </c>
      <c r="F26" s="1863"/>
      <c r="G26" s="1864"/>
      <c r="H26" s="1798"/>
      <c r="I26" s="1900"/>
      <c r="J26" s="1928">
        <v>5</v>
      </c>
      <c r="K26" s="1929" t="s">
        <v>1618</v>
      </c>
      <c r="L26" s="1930"/>
      <c r="M26" s="1931"/>
      <c r="N26" s="1932" t="s">
        <v>457</v>
      </c>
      <c r="O26" s="1932" t="s">
        <v>1619</v>
      </c>
      <c r="P26" s="1933" t="s">
        <v>1620</v>
      </c>
      <c r="Q26" s="1933" t="s">
        <v>1621</v>
      </c>
      <c r="R26" s="1952" t="s">
        <v>1550</v>
      </c>
      <c r="S26" s="1961"/>
      <c r="T26" s="1961"/>
      <c r="U26" s="1961"/>
      <c r="V26" s="1934"/>
    </row>
    <row r="27" s="1779" customFormat="1" customHeight="1" spans="1:22">
      <c r="A27" s="1865"/>
      <c r="B27" s="1866" t="s">
        <v>1622</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1623</v>
      </c>
      <c r="F28" s="1870"/>
      <c r="G28" s="1857"/>
      <c r="H28" s="1872"/>
      <c r="I28" s="1934"/>
      <c r="J28" s="1940">
        <v>6</v>
      </c>
      <c r="K28" s="1941" t="s">
        <v>1624</v>
      </c>
      <c r="L28" s="1942" t="s">
        <v>1625</v>
      </c>
      <c r="M28" s="1943"/>
      <c r="N28" s="1942" t="s">
        <v>1626</v>
      </c>
      <c r="O28" s="1944"/>
      <c r="P28" s="1942" t="s">
        <v>1627</v>
      </c>
      <c r="Q28" s="1963">
        <v>0.015</v>
      </c>
      <c r="R28" s="1964"/>
      <c r="S28" s="1945"/>
      <c r="T28" s="1945"/>
      <c r="U28" s="1945"/>
      <c r="V28" s="1934"/>
    </row>
    <row r="29" s="1780" customFormat="1" customHeight="1" spans="1:22">
      <c r="A29" s="1858">
        <v>3</v>
      </c>
      <c r="B29" s="1859" t="s">
        <v>1628</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1622</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1629</v>
      </c>
      <c r="K31" s="1899"/>
      <c r="L31" s="1899"/>
      <c r="M31" s="1899"/>
      <c r="N31" s="1899"/>
      <c r="O31" s="1899"/>
      <c r="P31" s="1899"/>
      <c r="Q31" s="1899"/>
      <c r="R31" s="1947"/>
      <c r="S31" s="1945"/>
      <c r="T31" s="1948"/>
      <c r="U31" s="1948"/>
      <c r="V31" s="1934"/>
    </row>
    <row r="32" s="1780" customFormat="1" customHeight="1" spans="1:22">
      <c r="A32" s="1858">
        <v>4</v>
      </c>
      <c r="B32" s="1859" t="s">
        <v>1630</v>
      </c>
      <c r="C32" s="1860">
        <f>C23-C26-C29</f>
        <v>0</v>
      </c>
      <c r="D32" s="1861">
        <f>D23-D26-D29</f>
        <v>0</v>
      </c>
      <c r="E32" s="1862">
        <f>E23-E26-E29</f>
        <v>0</v>
      </c>
      <c r="F32" s="1863"/>
      <c r="G32" s="1857"/>
      <c r="H32" s="1798"/>
      <c r="I32" s="1900"/>
      <c r="J32" s="1901" t="s">
        <v>1528</v>
      </c>
      <c r="K32" s="1902"/>
      <c r="L32" s="1903" t="s">
        <v>1529</v>
      </c>
      <c r="M32" s="1903" t="s">
        <v>1530</v>
      </c>
      <c r="N32" s="1903" t="s">
        <v>1531</v>
      </c>
      <c r="O32" s="1903" t="s">
        <v>1532</v>
      </c>
      <c r="P32" s="1903" t="s">
        <v>1533</v>
      </c>
      <c r="Q32" s="1949" t="s">
        <v>1534</v>
      </c>
      <c r="R32" s="1965" t="s">
        <v>1535</v>
      </c>
      <c r="S32" s="1945"/>
      <c r="T32" s="1948"/>
      <c r="U32" s="1948"/>
      <c r="V32" s="1934"/>
    </row>
    <row r="33" s="1779" customFormat="1" customHeight="1" spans="1:22">
      <c r="A33" s="1858"/>
      <c r="B33" s="1859"/>
      <c r="C33" s="1860"/>
      <c r="D33" s="1875"/>
      <c r="E33" s="1833"/>
      <c r="F33" s="1863"/>
      <c r="G33" s="1857"/>
      <c r="H33" s="1872"/>
      <c r="I33" s="1934"/>
      <c r="J33" s="1904" t="s">
        <v>1536</v>
      </c>
      <c r="K33" s="1905"/>
      <c r="L33" s="1906"/>
      <c r="M33" s="1906"/>
      <c r="N33" s="1906"/>
      <c r="O33" s="1906"/>
      <c r="P33" s="1906"/>
      <c r="Q33" s="1951"/>
      <c r="R33" s="1966">
        <f>SUM(L33:Q33)</f>
        <v>0</v>
      </c>
      <c r="S33" s="1945"/>
      <c r="T33" s="1948"/>
      <c r="U33" s="1948"/>
      <c r="V33" s="1900"/>
    </row>
    <row r="34" s="1779" customFormat="1" customHeight="1" spans="1:22">
      <c r="A34" s="1858">
        <v>5</v>
      </c>
      <c r="B34" s="1859" t="s">
        <v>1631</v>
      </c>
      <c r="C34" s="1876"/>
      <c r="D34" s="1877"/>
      <c r="E34" s="1878"/>
      <c r="F34" s="1863"/>
      <c r="G34" s="1857"/>
      <c r="H34" s="1872"/>
      <c r="I34" s="1934"/>
      <c r="J34" s="1904" t="s">
        <v>1538</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1632</v>
      </c>
      <c r="C35" s="1879"/>
      <c r="D35" s="1880"/>
      <c r="E35" s="1881"/>
      <c r="F35" s="1863"/>
      <c r="G35" s="1882"/>
      <c r="H35" s="1798"/>
      <c r="I35" s="1934"/>
      <c r="J35" s="1908" t="s">
        <v>1540</v>
      </c>
      <c r="K35" s="1909"/>
      <c r="L35" s="1909"/>
      <c r="M35" s="1910"/>
      <c r="N35" s="1910"/>
      <c r="O35" s="1910"/>
      <c r="P35" s="1910"/>
      <c r="Q35" s="1910"/>
      <c r="R35" s="1968">
        <f>R40+R41+R43</f>
        <v>0</v>
      </c>
      <c r="S35" s="1945"/>
      <c r="T35" s="1948" t="s">
        <v>1541</v>
      </c>
      <c r="U35" s="1948"/>
      <c r="V35" s="1900"/>
    </row>
    <row r="36" s="1779" customFormat="1" customHeight="1" spans="1:22">
      <c r="A36" s="1858">
        <v>7</v>
      </c>
      <c r="B36" s="1883" t="s">
        <v>1633</v>
      </c>
      <c r="C36" s="1884"/>
      <c r="D36" s="1885"/>
      <c r="E36" s="1886"/>
      <c r="F36" s="1887">
        <f>C36+D36+E36</f>
        <v>0</v>
      </c>
      <c r="G36" s="1857"/>
      <c r="H36" s="1798"/>
      <c r="I36" s="1900"/>
      <c r="J36" s="1911">
        <v>1</v>
      </c>
      <c r="K36" s="1912" t="s">
        <v>1634</v>
      </c>
      <c r="L36" s="1913"/>
      <c r="M36" s="1914"/>
      <c r="N36" s="1914"/>
      <c r="O36" s="1914"/>
      <c r="P36" s="1914"/>
      <c r="Q36" s="1914"/>
      <c r="R36" s="1952" t="s">
        <v>1550</v>
      </c>
      <c r="S36" s="1945"/>
      <c r="T36" s="1948" t="s">
        <v>1551</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1554</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1561</v>
      </c>
      <c r="U38" s="1948"/>
      <c r="V38" s="1900"/>
    </row>
    <row r="39" s="1779" customFormat="1" customHeight="1" spans="1:22">
      <c r="A39" s="1858">
        <v>9</v>
      </c>
      <c r="B39" s="1859" t="s">
        <v>1635</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1636</v>
      </c>
      <c r="C40" s="1890" t="e">
        <f>C39+D39+E39</f>
        <v>#DIV/0!</v>
      </c>
      <c r="D40" s="1891"/>
      <c r="E40" s="1891"/>
      <c r="F40" s="1892"/>
      <c r="G40" s="1857"/>
      <c r="H40" s="1798"/>
      <c r="I40" s="1900"/>
      <c r="J40" s="1911"/>
      <c r="K40" s="1919"/>
      <c r="L40" s="1920" t="s">
        <v>1579</v>
      </c>
      <c r="M40" s="1921"/>
      <c r="N40" s="1921"/>
      <c r="O40" s="1922"/>
      <c r="P40" s="1922"/>
      <c r="Q40" s="1956"/>
      <c r="R40" s="1950">
        <f>SUM(R37:R39)</f>
        <v>0</v>
      </c>
      <c r="S40" s="1945"/>
      <c r="T40" s="1948"/>
      <c r="U40" s="1948"/>
      <c r="V40" s="1900"/>
    </row>
    <row r="41" s="1779" customFormat="1" customHeight="1" spans="1:22">
      <c r="A41" s="1893">
        <v>11</v>
      </c>
      <c r="B41" s="1894" t="s">
        <v>1637</v>
      </c>
      <c r="C41" s="1894" t="e">
        <f>ROUND(C40*10000/B4,0)</f>
        <v>#DIV/0!</v>
      </c>
      <c r="D41" s="1895"/>
      <c r="E41" s="1895"/>
      <c r="F41" s="1896"/>
      <c r="G41" s="1897"/>
      <c r="H41" s="1798"/>
      <c r="I41" s="1900"/>
      <c r="J41" s="1911">
        <v>2</v>
      </c>
      <c r="K41" s="1925" t="s">
        <v>1616</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1618</v>
      </c>
      <c r="L42" s="1930"/>
      <c r="M42" s="1931"/>
      <c r="N42" s="1932" t="s">
        <v>457</v>
      </c>
      <c r="O42" s="1932" t="s">
        <v>1619</v>
      </c>
      <c r="P42" s="1933" t="s">
        <v>1620</v>
      </c>
      <c r="Q42" s="1933" t="s">
        <v>1621</v>
      </c>
      <c r="R42" s="1952" t="s">
        <v>1550</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1624</v>
      </c>
      <c r="L44" s="1946" t="s">
        <v>1625</v>
      </c>
      <c r="M44" s="1943"/>
      <c r="N44" s="1946" t="s">
        <v>1626</v>
      </c>
      <c r="O44" s="1943"/>
      <c r="P44" s="1946" t="s">
        <v>1627</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1638</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279.5077</v>
      </c>
      <c r="C2" s="1760" t="s">
        <v>1639</v>
      </c>
      <c r="D2" s="1761" t="s">
        <v>1640</v>
      </c>
      <c r="E2" s="1762">
        <f>SUM(E6:E13)</f>
        <v>197.18</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1641</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1642</v>
      </c>
      <c r="B5" s="1768" t="s">
        <v>1643</v>
      </c>
      <c r="C5" s="1769"/>
      <c r="D5" s="1770"/>
      <c r="E5" s="1771" t="s">
        <v>1644</v>
      </c>
      <c r="F5" s="1772" t="s">
        <v>1645</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279.5077</v>
      </c>
      <c r="C6" s="1760" t="s">
        <v>1639</v>
      </c>
      <c r="D6" s="1764"/>
      <c r="E6" s="1774">
        <f>IF(OR(A6=0,F6="否"),0,'数据-取费表'!K6+'数据-取费表'!S6)</f>
        <v>197.18</v>
      </c>
      <c r="F6" s="1775" t="s">
        <v>1646</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1639</v>
      </c>
      <c r="D7" s="1764"/>
      <c r="E7" s="1774">
        <f>IF(OR(A7=0,F7="否"),0,'数据-取费表'!K7+'数据-取费表'!S7)</f>
        <v>0</v>
      </c>
      <c r="F7" s="1775" t="s">
        <v>1646</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1639</v>
      </c>
      <c r="D8" s="1764"/>
      <c r="E8" s="1774">
        <f>IF(OR(A8=0,F8="否"),0,'数据-取费表'!K8+'数据-取费表'!S8)</f>
        <v>0</v>
      </c>
      <c r="F8" s="1775" t="s">
        <v>1646</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1639</v>
      </c>
      <c r="D9" s="1764"/>
      <c r="E9" s="1774">
        <f>IF(OR(A9=0,F9="否"),0,'数据-取费表'!K9+'数据-取费表'!S9)</f>
        <v>0</v>
      </c>
      <c r="F9" s="1775" t="s">
        <v>1646</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1639</v>
      </c>
      <c r="D10" s="1764"/>
      <c r="E10" s="1774">
        <f>IF(OR(A10=0,F10="否"),0,'数据-取费表'!K10+'数据-取费表'!S10)</f>
        <v>0</v>
      </c>
      <c r="F10" s="1775" t="s">
        <v>1646</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1639</v>
      </c>
      <c r="D11" s="1764"/>
      <c r="E11" s="1774">
        <f>IF(OR(A11=0,F11="否"),0,'数据-取费表'!K11+'数据-取费表'!S11)</f>
        <v>0</v>
      </c>
      <c r="F11" s="1775" t="s">
        <v>1646</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1639</v>
      </c>
      <c r="D12" s="1764"/>
      <c r="E12" s="1774">
        <f>IF(OR(A12=0,F12="否"),0,'数据-取费表'!K12+'数据-取费表'!S12)</f>
        <v>0</v>
      </c>
      <c r="F12" s="1775" t="s">
        <v>1646</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1639</v>
      </c>
      <c r="D13" s="1778"/>
      <c r="E13" s="1774">
        <f>IF(OR(A13=0,F13="否"),0,'数据-取费表'!K13+'数据-取费表'!S13)</f>
        <v>0</v>
      </c>
      <c r="F13" s="1775" t="s">
        <v>1646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估价对象为北京市房地产，为所有。根据《国有土地使用证》[]，估价对象（分摊）出让国有建设用地使用权面积为0平方米，建筑面积为197.18平方米。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估价对象为北京市房地产,属开发建设的，该项目尚在开发建设中。根据《国有土地使用证》[]，估价对象（分摊）出让国有建设用地使用权面积为0平方米，规划建筑面积为197.18平方米。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2023年10月9日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197.18</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197.18</v>
      </c>
      <c r="D33" s="1167">
        <v>100</v>
      </c>
      <c r="E33" s="1170"/>
      <c r="F33" s="1553">
        <f>LOOKUP(E33,103:103,104:104)-LOOKUP(C33,103:103,104:104)+100</f>
        <v>101</v>
      </c>
      <c r="G33" s="1169"/>
      <c r="H33" s="1167">
        <f>LOOKUP(G33,103:103,104:104)-LOOKUP(C33,103:103,104:104)+100</f>
        <v>101</v>
      </c>
      <c r="I33" s="1169"/>
      <c r="J33" s="1167">
        <f>LOOKUP(I33,103:103,104:104)-LOOKUP(C33,103:103,104:104)+100</f>
        <v>101</v>
      </c>
      <c r="K33" s="1319"/>
      <c r="L33" s="1310"/>
      <c r="M33" s="1322"/>
      <c r="N33" s="1322"/>
      <c r="O33" s="1322"/>
      <c r="P33" s="1732"/>
      <c r="Q33" s="1599" t="str">
        <f t="shared" si="26"/>
        <v>项目建筑规模</v>
      </c>
      <c r="R33" s="1364" t="s">
        <v>1353</v>
      </c>
      <c r="S33" s="1365">
        <f t="shared" ref="S33:W33" si="40">F33</f>
        <v>101</v>
      </c>
      <c r="T33" s="1364" t="s">
        <v>1353</v>
      </c>
      <c r="U33" s="1365">
        <f t="shared" si="40"/>
        <v>101</v>
      </c>
      <c r="V33" s="1364" t="s">
        <v>1353</v>
      </c>
      <c r="W33" s="1365">
        <f t="shared" si="40"/>
        <v>101</v>
      </c>
      <c r="X33" s="1366"/>
      <c r="Y33" s="1324"/>
      <c r="Z33" s="1379" t="str">
        <f t="shared" si="28"/>
        <v>项目建筑规模</v>
      </c>
      <c r="AA33" s="1378">
        <f t="shared" si="29"/>
        <v>0.99009900990099</v>
      </c>
      <c r="AB33" s="1378">
        <f t="shared" si="30"/>
        <v>0.99009900990099</v>
      </c>
      <c r="AC33" s="1378">
        <f t="shared" si="31"/>
        <v>0.99009900990099</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1647</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1648</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197.18</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1649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1649</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1651</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1653</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1659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1662</v>
      </c>
      <c r="B37" s="1641" t="s">
        <v>1663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1659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1666</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1669</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1670</v>
      </c>
      <c r="B1" s="1125"/>
      <c r="C1" s="1126" t="s">
        <v>1671</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1679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1662</v>
      </c>
      <c r="B46" s="1227" t="s">
        <v>1681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1683</v>
      </c>
      <c r="B55" s="1253" t="s">
        <v>1684</v>
      </c>
      <c r="C55" s="1254" t="s">
        <v>1685</v>
      </c>
      <c r="D55" s="1255" t="s">
        <v>1686</v>
      </c>
      <c r="E55" s="1256" t="s">
        <v>1687</v>
      </c>
      <c r="F55" s="1514" t="s">
        <v>1688</v>
      </c>
      <c r="G55" s="1136" t="s">
        <v>1689</v>
      </c>
      <c r="H55" s="695"/>
      <c r="I55" s="1518" t="s">
        <v>1690</v>
      </c>
      <c r="J55" s="1519">
        <f>项目基本情况!F35</f>
        <v>0</v>
      </c>
      <c r="K55" s="1337" t="s">
        <v>1691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1692</v>
      </c>
      <c r="B56" s="1259" t="e">
        <f>C48</f>
        <v>#DIV/0!</v>
      </c>
      <c r="C56" s="1260">
        <v>1</v>
      </c>
      <c r="D56" s="1261">
        <v>1</v>
      </c>
      <c r="E56" s="1260">
        <f>'数据-汇总表'!E8+'数据-汇总表'!E9</f>
        <v>197.18</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1693</v>
      </c>
      <c r="B57" s="411" t="e">
        <f>ROUND($C$48*C57*D57,0)</f>
        <v>#DIV/0!</v>
      </c>
      <c r="C57" s="614">
        <f t="shared" ref="C57:C64" si="16">IF($C$55="北京市系数",I57,J57)</f>
        <v>0</v>
      </c>
      <c r="D57" s="1265">
        <v>0.25</v>
      </c>
      <c r="E57" s="1266"/>
      <c r="F57" s="1515" t="e">
        <f t="shared" si="15"/>
        <v>#DIV/0!</v>
      </c>
      <c r="G57" s="1267" t="s">
        <v>1694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1697</v>
      </c>
      <c r="B60" s="411" t="e">
        <f t="shared" si="17"/>
        <v>#DIV/0!</v>
      </c>
      <c r="C60" s="614">
        <f t="shared" si="16"/>
        <v>0</v>
      </c>
      <c r="D60" s="1265">
        <v>0.25</v>
      </c>
      <c r="E60" s="410">
        <f>'数据-汇总表'!E11</f>
        <v>0</v>
      </c>
      <c r="F60" s="1515" t="e">
        <f t="shared" si="15"/>
        <v>#DIV/0!</v>
      </c>
      <c r="G60" s="1271" t="s">
        <v>1698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1699</v>
      </c>
      <c r="B61" s="411" t="e">
        <f t="shared" si="17"/>
        <v>#DIV/0!</v>
      </c>
      <c r="C61" s="614">
        <f t="shared" si="16"/>
        <v>0</v>
      </c>
      <c r="D61" s="1265">
        <v>0.25</v>
      </c>
      <c r="E61" s="410">
        <f>'数据-汇总表'!E12</f>
        <v>0</v>
      </c>
      <c r="F61" s="1515" t="e">
        <f t="shared" si="15"/>
        <v>#DIV/0!</v>
      </c>
      <c r="G61" s="1272" t="s">
        <v>1700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1701</v>
      </c>
      <c r="B62" s="411" t="e">
        <f t="shared" si="17"/>
        <v>#DIV/0!</v>
      </c>
      <c r="C62" s="614">
        <f t="shared" si="16"/>
        <v>0</v>
      </c>
      <c r="D62" s="1265">
        <v>0.25</v>
      </c>
      <c r="E62" s="410">
        <f>'数据-汇总表'!E13</f>
        <v>0</v>
      </c>
      <c r="F62" s="1515" t="e">
        <f t="shared" si="15"/>
        <v>#DIV/0!</v>
      </c>
      <c r="G62" s="1272" t="s">
        <v>1702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1703</v>
      </c>
      <c r="B63" s="411" t="e">
        <f t="shared" si="17"/>
        <v>#DIV/0!</v>
      </c>
      <c r="C63" s="614">
        <f t="shared" si="16"/>
        <v>0</v>
      </c>
      <c r="D63" s="1265">
        <v>0.25</v>
      </c>
      <c r="E63" s="410">
        <f>'数据-汇总表'!E14</f>
        <v>0</v>
      </c>
      <c r="F63" s="1515" t="e">
        <f t="shared" si="15"/>
        <v>#DIV/0!</v>
      </c>
      <c r="G63" s="1271" t="s">
        <v>1694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1704</v>
      </c>
      <c r="B64" s="411" t="e">
        <f t="shared" si="17"/>
        <v>#DIV/0!</v>
      </c>
      <c r="C64" s="614">
        <f t="shared" si="16"/>
        <v>0</v>
      </c>
      <c r="D64" s="1265">
        <v>0.25</v>
      </c>
      <c r="E64" s="410">
        <f>'数据-汇总表'!E15</f>
        <v>0</v>
      </c>
      <c r="F64" s="1515" t="e">
        <f t="shared" si="15"/>
        <v>#DIV/0!</v>
      </c>
      <c r="G64" s="1273" t="s">
        <v>1698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1705</v>
      </c>
      <c r="B65" s="1276" t="s">
        <v>1706</v>
      </c>
      <c r="C65" s="1276" t="s">
        <v>1706</v>
      </c>
      <c r="D65" s="1276" t="s">
        <v>1706</v>
      </c>
      <c r="E65" s="1276">
        <f>IF(B46="楼面地价",SUM(E56:E64),'数据-汇总表'!D3)</f>
        <v>197.18</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1673</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1674</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1709</v>
      </c>
      <c r="D103" s="1403" t="s">
        <v>1710</v>
      </c>
      <c r="E103" s="1403" t="s">
        <v>1711</v>
      </c>
      <c r="F103" s="1403" t="s">
        <v>1712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1679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1670</v>
      </c>
      <c r="B1" s="1125"/>
      <c r="C1" s="1126" t="s">
        <v>1648</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1713</v>
      </c>
      <c r="D6" s="1149"/>
      <c r="E6" s="1150" t="s">
        <v>1713</v>
      </c>
      <c r="F6" s="1151"/>
      <c r="G6" s="1148" t="s">
        <v>1713</v>
      </c>
      <c r="H6" s="1149"/>
      <c r="I6" s="1148" t="s">
        <v>1713</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1649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1679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1662</v>
      </c>
      <c r="B41" s="1227" t="s">
        <v>1715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1683</v>
      </c>
      <c r="B50" s="1253" t="s">
        <v>1684</v>
      </c>
      <c r="C50" s="1254" t="s">
        <v>1685</v>
      </c>
      <c r="D50" s="1255" t="s">
        <v>1686</v>
      </c>
      <c r="E50" s="1256" t="s">
        <v>1687</v>
      </c>
      <c r="F50" s="1257" t="s">
        <v>1688</v>
      </c>
      <c r="G50" s="1136" t="s">
        <v>1689</v>
      </c>
      <c r="H50" s="695"/>
      <c r="I50" s="1336" t="s">
        <v>1716</v>
      </c>
      <c r="J50" s="1336">
        <f>项目基本情况!F35</f>
        <v>0</v>
      </c>
      <c r="K50" s="1337" t="s">
        <v>1691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1692</v>
      </c>
      <c r="B51" s="1259" t="e">
        <f>C43</f>
        <v>#DIV/0!</v>
      </c>
      <c r="C51" s="1260">
        <v>1</v>
      </c>
      <c r="D51" s="1261">
        <v>1</v>
      </c>
      <c r="E51" s="1260">
        <f>'数据-汇总表'!E8+'数据-汇总表'!E9</f>
        <v>197.18</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1693</v>
      </c>
      <c r="B52" s="411" t="e">
        <f>ROUND($C$43*C52*D52,0)</f>
        <v>#DIV/0!</v>
      </c>
      <c r="C52" s="614">
        <f t="shared" ref="C52:C60" si="16">IF($C$50="北京市系数",I52,J52)</f>
        <v>0</v>
      </c>
      <c r="D52" s="1265">
        <v>0.25</v>
      </c>
      <c r="E52" s="1266"/>
      <c r="F52" s="1262" t="e">
        <f t="shared" si="15"/>
        <v>#DIV/0!</v>
      </c>
      <c r="G52" s="1267" t="s">
        <v>1694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1697</v>
      </c>
      <c r="B56" s="411" t="e">
        <f t="shared" si="17"/>
        <v>#DIV/0!</v>
      </c>
      <c r="C56" s="614">
        <f t="shared" si="16"/>
        <v>0</v>
      </c>
      <c r="D56" s="1265">
        <v>0.25</v>
      </c>
      <c r="E56" s="410">
        <f>'数据-汇总表'!E11</f>
        <v>0</v>
      </c>
      <c r="F56" s="1262" t="e">
        <f t="shared" si="15"/>
        <v>#DIV/0!</v>
      </c>
      <c r="G56" s="1271" t="s">
        <v>1698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1699</v>
      </c>
      <c r="B57" s="411" t="e">
        <f t="shared" si="17"/>
        <v>#DIV/0!</v>
      </c>
      <c r="C57" s="614">
        <f t="shared" si="16"/>
        <v>0</v>
      </c>
      <c r="D57" s="1265">
        <v>0.25</v>
      </c>
      <c r="E57" s="410">
        <f>'数据-汇总表'!E12</f>
        <v>0</v>
      </c>
      <c r="F57" s="1262" t="e">
        <f t="shared" si="15"/>
        <v>#DIV/0!</v>
      </c>
      <c r="G57" s="1272" t="s">
        <v>1700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1701</v>
      </c>
      <c r="B58" s="411" t="e">
        <f t="shared" si="17"/>
        <v>#DIV/0!</v>
      </c>
      <c r="C58" s="614">
        <f t="shared" si="16"/>
        <v>0</v>
      </c>
      <c r="D58" s="1265">
        <v>0.25</v>
      </c>
      <c r="E58" s="410">
        <f>'数据-汇总表'!E13</f>
        <v>0</v>
      </c>
      <c r="F58" s="1262" t="e">
        <f t="shared" si="15"/>
        <v>#DIV/0!</v>
      </c>
      <c r="G58" s="1272" t="s">
        <v>1702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1703</v>
      </c>
      <c r="B59" s="411" t="e">
        <f t="shared" si="17"/>
        <v>#DIV/0!</v>
      </c>
      <c r="C59" s="614">
        <f t="shared" si="16"/>
        <v>0</v>
      </c>
      <c r="D59" s="1265">
        <v>0.25</v>
      </c>
      <c r="E59" s="410">
        <f>'数据-汇总表'!E14</f>
        <v>0</v>
      </c>
      <c r="F59" s="1262" t="e">
        <f t="shared" si="15"/>
        <v>#DIV/0!</v>
      </c>
      <c r="G59" s="1271" t="s">
        <v>1694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1704</v>
      </c>
      <c r="B60" s="411" t="e">
        <f t="shared" si="17"/>
        <v>#DIV/0!</v>
      </c>
      <c r="C60" s="614">
        <f t="shared" si="16"/>
        <v>0</v>
      </c>
      <c r="D60" s="1265">
        <v>0.25</v>
      </c>
      <c r="E60" s="410">
        <f>'数据-汇总表'!E15</f>
        <v>0</v>
      </c>
      <c r="F60" s="1262" t="e">
        <f t="shared" si="15"/>
        <v>#DIV/0!</v>
      </c>
      <c r="G60" s="1273" t="s">
        <v>1698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1705</v>
      </c>
      <c r="B61" s="1276" t="s">
        <v>1706</v>
      </c>
      <c r="C61" s="1276" t="s">
        <v>1706</v>
      </c>
      <c r="D61" s="1276" t="s">
        <v>1706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1649</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1673</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1674</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1709</v>
      </c>
      <c r="D95" s="1403" t="s">
        <v>1710</v>
      </c>
      <c r="E95" s="1403" t="s">
        <v>1711</v>
      </c>
      <c r="F95" s="1403" t="s">
        <v>1712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1679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1718</v>
      </c>
      <c r="C1" s="996" t="s">
        <v>1719</v>
      </c>
      <c r="D1" s="997"/>
      <c r="E1" s="997"/>
      <c r="F1" s="997"/>
      <c r="G1" s="997"/>
      <c r="H1" s="997"/>
      <c r="I1" s="997"/>
      <c r="J1" s="997"/>
      <c r="K1" s="997"/>
      <c r="L1" s="997"/>
      <c r="M1" s="997"/>
      <c r="N1" s="997"/>
      <c r="O1" s="997"/>
      <c r="P1" s="997"/>
      <c r="Q1" s="997"/>
      <c r="R1" s="997"/>
      <c r="S1" s="1079"/>
      <c r="T1" s="995" t="s">
        <v>1720</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1727</v>
      </c>
      <c r="B17" s="1030" t="s">
        <v>1728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1729</v>
      </c>
      <c r="E19" s="1040"/>
      <c r="F19" s="1040"/>
      <c r="G19" s="1040"/>
      <c r="H19" s="1041"/>
      <c r="I19" s="1038"/>
      <c r="J19" s="1038"/>
      <c r="K19" s="1038"/>
      <c r="L19" s="1038"/>
      <c r="M19" s="1038"/>
      <c r="N19" s="1038"/>
      <c r="O19" s="1038"/>
      <c r="P19" s="1038"/>
      <c r="Q19" s="1038"/>
      <c r="R19" s="1106"/>
      <c r="S19" s="1037"/>
    </row>
    <row r="20" ht="16.35" spans="1:19">
      <c r="A20" s="1042" t="s">
        <v>1730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1733</v>
      </c>
      <c r="B23" s="1051" t="s">
        <v>457</v>
      </c>
      <c r="C23" s="1051" t="s">
        <v>1720</v>
      </c>
      <c r="D23" s="1051" t="str">
        <f>B5</f>
        <v>修正项2</v>
      </c>
      <c r="E23" s="1051" t="s">
        <v>1720</v>
      </c>
      <c r="F23" s="1051" t="str">
        <f>B7</f>
        <v>修正项3</v>
      </c>
      <c r="G23" s="1051" t="s">
        <v>1720</v>
      </c>
      <c r="H23" s="1051" t="str">
        <f>B9</f>
        <v>修正项4</v>
      </c>
      <c r="I23" s="1051" t="s">
        <v>1720</v>
      </c>
      <c r="J23" s="1051" t="str">
        <f>B11</f>
        <v>修正项5</v>
      </c>
      <c r="K23" s="1051" t="s">
        <v>1720</v>
      </c>
      <c r="L23" s="1051" t="str">
        <f>B13</f>
        <v>修正项6</v>
      </c>
      <c r="M23" s="1051" t="s">
        <v>1720</v>
      </c>
      <c r="N23" s="1051" t="str">
        <f>B15</f>
        <v>修正项7</v>
      </c>
      <c r="O23" s="1051" t="s">
        <v>1720</v>
      </c>
      <c r="P23" s="1051" t="str">
        <f>B17</f>
        <v>楼层</v>
      </c>
      <c r="Q23" s="1051" t="s">
        <v>1720</v>
      </c>
      <c r="R23" s="1109" t="s">
        <v>1734</v>
      </c>
      <c r="S23" s="1051" t="s">
        <v>1735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1737</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1738</v>
      </c>
      <c r="D2" s="976" t="s">
        <v>1739</v>
      </c>
      <c r="E2" s="978">
        <f ca="1">SUMIF(E6:E13,"&lt;&gt;#ref!",E6:E13)</f>
        <v>560</v>
      </c>
      <c r="F2" s="975"/>
      <c r="G2" s="975"/>
      <c r="H2" s="975"/>
      <c r="I2" s="975"/>
      <c r="J2" s="975"/>
      <c r="K2" s="975"/>
      <c r="L2" s="975"/>
      <c r="M2" s="975"/>
      <c r="N2" s="975"/>
      <c r="O2" s="975"/>
      <c r="P2" s="975"/>
    </row>
    <row r="3" ht="15.6" spans="1:16">
      <c r="A3" s="976" t="s">
        <v>1740</v>
      </c>
      <c r="B3" s="977">
        <f ca="1">ROUND(B2*10000/E2,0)</f>
        <v>0</v>
      </c>
      <c r="C3" s="976" t="s">
        <v>1741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1742</v>
      </c>
      <c r="B5" s="981" t="s">
        <v>1743</v>
      </c>
      <c r="C5" s="982"/>
      <c r="D5" s="975"/>
      <c r="E5" s="983" t="s">
        <v>1744</v>
      </c>
      <c r="F5" s="975"/>
      <c r="G5" s="975"/>
      <c r="H5" s="975"/>
      <c r="I5" s="975"/>
      <c r="J5" s="975"/>
      <c r="K5" s="975"/>
      <c r="L5" s="975"/>
      <c r="M5" s="975"/>
      <c r="N5" s="975"/>
      <c r="O5" s="975"/>
      <c r="P5" s="975"/>
    </row>
    <row r="6" ht="15.6" spans="1:16">
      <c r="A6" s="984" t="s">
        <v>1745</v>
      </c>
      <c r="B6" s="977">
        <f ca="1">SUMIF(INDIRECT("'"&amp;A6&amp;"'"&amp;"!A:A"),"总价",INDIRECT("'"&amp;A6&amp;"'"&amp;"!B:B"))</f>
        <v>0</v>
      </c>
      <c r="C6" s="976" t="s">
        <v>1738</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1738</v>
      </c>
      <c r="D8" s="975"/>
      <c r="E8" s="978" t="e">
        <f ca="1" t="shared" si="0"/>
        <v>#REF!</v>
      </c>
      <c r="F8" s="975"/>
      <c r="G8" s="975"/>
      <c r="H8" s="975"/>
      <c r="I8" s="975"/>
      <c r="J8" s="975"/>
      <c r="K8" s="975"/>
      <c r="L8" s="975"/>
      <c r="M8" s="975"/>
      <c r="N8" s="975"/>
      <c r="O8" s="975"/>
      <c r="P8" s="975"/>
    </row>
    <row r="9" ht="15.6" spans="1:16">
      <c r="A9" s="984"/>
      <c r="B9" s="977" t="e">
        <f ca="1" t="shared" si="1"/>
        <v>#REF!</v>
      </c>
      <c r="C9" s="976" t="s">
        <v>1738</v>
      </c>
      <c r="D9" s="975"/>
      <c r="E9" s="978" t="e">
        <f ca="1" t="shared" si="0"/>
        <v>#REF!</v>
      </c>
      <c r="F9" s="975"/>
      <c r="G9" s="975"/>
      <c r="H9" s="975"/>
      <c r="I9" s="975"/>
      <c r="J9" s="975"/>
      <c r="K9" s="975"/>
      <c r="L9" s="975"/>
      <c r="M9" s="975"/>
      <c r="N9" s="975"/>
      <c r="O9" s="975"/>
      <c r="P9" s="975"/>
    </row>
    <row r="10" ht="15.6" spans="1:16">
      <c r="A10" s="984"/>
      <c r="B10" s="977" t="e">
        <f ca="1" t="shared" si="1"/>
        <v>#REF!</v>
      </c>
      <c r="C10" s="976" t="s">
        <v>1738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1746</v>
      </c>
      <c r="B1" s="391"/>
      <c r="C1" s="394" t="s">
        <v>1337</v>
      </c>
      <c r="D1" s="575">
        <f>SUM(D33:D34,D37:D42)</f>
        <v>560</v>
      </c>
      <c r="E1" s="576"/>
      <c r="F1" s="576"/>
      <c r="G1" s="576"/>
      <c r="H1" s="576"/>
      <c r="I1" s="576"/>
      <c r="J1" s="576"/>
      <c r="K1" s="568"/>
      <c r="L1" s="788" t="s">
        <v>1747</v>
      </c>
      <c r="M1" s="789">
        <f>SUMPRODUCT((区片价!B5:B9=I2)*(区片价!C3:G3=E2)*(区片价!C5:G9))</f>
        <v>0</v>
      </c>
      <c r="N1" s="790">
        <f>SUMPRODUCT((因素修正幅度!B5:B9=I2)*(因素修正幅度!C3:G3=E2)*(因素修正幅度!C5:G9))</f>
        <v>0</v>
      </c>
      <c r="O1" s="569"/>
      <c r="P1" s="569"/>
      <c r="Q1" s="568"/>
      <c r="R1" s="883" t="s">
        <v>1748</v>
      </c>
      <c r="S1" s="883" t="s">
        <v>1749</v>
      </c>
      <c r="T1" s="883" t="s">
        <v>1750</v>
      </c>
      <c r="U1" s="883" t="s">
        <v>1751</v>
      </c>
      <c r="V1" s="883" t="s">
        <v>1752</v>
      </c>
      <c r="W1" s="884"/>
      <c r="X1" s="884"/>
      <c r="Y1" s="884"/>
      <c r="Z1" s="884"/>
      <c r="AA1" s="884"/>
      <c r="AB1" s="884"/>
      <c r="AC1" s="897"/>
      <c r="AD1" s="898"/>
      <c r="AE1" s="898"/>
      <c r="AF1" s="898"/>
      <c r="AG1" s="898"/>
      <c r="AH1" s="898"/>
      <c r="AI1" s="898"/>
      <c r="AJ1" s="907"/>
    </row>
    <row r="2" ht="15.6" spans="1:36">
      <c r="A2" s="394" t="s">
        <v>987</v>
      </c>
      <c r="B2" s="398">
        <f>C30</f>
        <v>0</v>
      </c>
      <c r="C2" s="577" t="s">
        <v>988</v>
      </c>
      <c r="D2" s="578" t="s">
        <v>1753</v>
      </c>
      <c r="E2" s="579" t="s">
        <v>650</v>
      </c>
      <c r="F2" s="578" t="s">
        <v>1754</v>
      </c>
      <c r="G2" s="580">
        <f>IF(E2="商业",项目基本情况!B37,IF(E2="办公",项目基本情况!C37,IF(E2="住宅",项目基本情况!D37,IF(E2="工业",项目基本情况!E37,项目基本情况!F37))))</f>
        <v>0</v>
      </c>
      <c r="H2" s="578" t="s">
        <v>1755</v>
      </c>
      <c r="I2" s="580">
        <f>IF(E2="商业",项目基本情况!B38,IF(E2="办公",项目基本情况!C38,IF(E2="住宅",项目基本情况!D38,IF(E2="工业",项目基本情况!E38,项目基本情况!F38))))</f>
        <v>0</v>
      </c>
      <c r="J2" s="791"/>
      <c r="K2" s="568"/>
      <c r="L2" s="792" t="s">
        <v>1756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1757</v>
      </c>
      <c r="E3" s="581" t="s">
        <v>1758</v>
      </c>
      <c r="F3" s="582" t="s">
        <v>1759</v>
      </c>
      <c r="G3" s="583">
        <f>IF(F3="宗地容积率",'数据-汇总表'!I4,IF(F3="估价对象容积率",'数据-汇总表'!I6,'数据-汇总表'!I7))</f>
        <v>2.5</v>
      </c>
      <c r="H3" s="584" t="s">
        <v>1760</v>
      </c>
      <c r="I3" s="794"/>
      <c r="J3" s="791" t="s">
        <v>1761</v>
      </c>
      <c r="K3" s="568"/>
      <c r="L3" s="792" t="s">
        <v>1762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1764</v>
      </c>
      <c r="C5" s="590">
        <f>ROUND(IF(E2="商业",C6*C7*C17+C20,(IF(E2="住宅",C6*C13*C17+C20,IF(E2="办公",C6*C12*C17+C20,C6+C20)))),0)</f>
        <v>0</v>
      </c>
      <c r="D5" s="591">
        <f>ROUND(C6*C17+C20,0)</f>
        <v>0</v>
      </c>
      <c r="E5" s="591"/>
      <c r="F5" s="592"/>
      <c r="G5" s="593"/>
      <c r="H5" s="593"/>
      <c r="I5" s="593"/>
      <c r="J5" s="796"/>
      <c r="K5" s="797"/>
      <c r="L5" s="792" t="s">
        <v>1765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1766</v>
      </c>
      <c r="C6" s="596">
        <f>SUMIF(L1:L12,G2,M1:M12)</f>
        <v>0</v>
      </c>
      <c r="D6" s="597"/>
      <c r="E6" s="598"/>
      <c r="F6" s="598"/>
      <c r="G6" s="599"/>
      <c r="H6" s="599"/>
      <c r="I6" s="599"/>
      <c r="J6" s="798"/>
      <c r="K6" s="799"/>
      <c r="L6" s="792" t="s">
        <v>1767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1768</v>
      </c>
      <c r="B7" s="601" t="s">
        <v>1769</v>
      </c>
      <c r="C7" s="602">
        <f>IF(C8="不临65条商业街",1,ROUND(1+(1.6*E8+1.2*E9+0.8*E10+0.4*E11)*C9,4))</f>
        <v>1</v>
      </c>
      <c r="D7" s="603" t="s">
        <v>1770</v>
      </c>
      <c r="E7" s="604"/>
      <c r="F7" s="605"/>
      <c r="G7" s="606"/>
      <c r="H7" s="606"/>
      <c r="I7" s="606"/>
      <c r="J7" s="800"/>
      <c r="K7" s="799"/>
      <c r="L7" s="792" t="s">
        <v>1771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1772</v>
      </c>
      <c r="X7" s="889">
        <f>G2</f>
        <v>0</v>
      </c>
      <c r="Y7" s="889" t="s">
        <v>1773</v>
      </c>
      <c r="Z7" s="901">
        <f>G3</f>
        <v>2.5</v>
      </c>
      <c r="AA7" s="884"/>
      <c r="AB7" s="884"/>
      <c r="AC7" s="897"/>
      <c r="AD7" s="898"/>
      <c r="AE7" s="898"/>
      <c r="AF7" s="898"/>
      <c r="AG7" s="898"/>
      <c r="AH7" s="898"/>
      <c r="AI7" s="898"/>
      <c r="AJ7" s="907"/>
    </row>
    <row r="8" ht="25.2" spans="1:36">
      <c r="A8" s="607"/>
      <c r="B8" s="584" t="s">
        <v>1774</v>
      </c>
      <c r="C8" s="608" t="s">
        <v>1775</v>
      </c>
      <c r="D8" s="609" t="s">
        <v>1776</v>
      </c>
      <c r="E8" s="610" t="e">
        <f>ROUND(C11/E7,4)</f>
        <v>#DIV/0!</v>
      </c>
      <c r="F8" s="611" t="s">
        <v>1777</v>
      </c>
      <c r="G8" s="612"/>
      <c r="H8" s="612"/>
      <c r="I8" s="612"/>
      <c r="J8" s="801"/>
      <c r="K8" s="568"/>
      <c r="L8" s="792" t="s">
        <v>1778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1779</v>
      </c>
      <c r="X8" s="891"/>
      <c r="Y8" s="902" t="s">
        <v>1780</v>
      </c>
      <c r="Z8" s="902" t="s">
        <v>1781</v>
      </c>
      <c r="AA8" s="902" t="s">
        <v>1782</v>
      </c>
      <c r="AB8" s="902" t="s">
        <v>1783</v>
      </c>
      <c r="AC8" s="902" t="s">
        <v>1784</v>
      </c>
      <c r="AD8" s="902" t="s">
        <v>1785</v>
      </c>
      <c r="AE8" s="902" t="s">
        <v>1786</v>
      </c>
      <c r="AF8" s="902" t="s">
        <v>1787</v>
      </c>
      <c r="AG8" s="902" t="s">
        <v>1788</v>
      </c>
      <c r="AH8" s="902" t="s">
        <v>1789</v>
      </c>
      <c r="AI8" s="902" t="s">
        <v>1790</v>
      </c>
      <c r="AJ8" s="902" t="s">
        <v>1791</v>
      </c>
    </row>
    <row r="9" ht="15" spans="1:36">
      <c r="A9" s="607"/>
      <c r="B9" s="584" t="s">
        <v>1792</v>
      </c>
      <c r="C9" s="613">
        <f>SUMIF(修正!C71:C138,C8,修正!E71:E138)</f>
        <v>0</v>
      </c>
      <c r="D9" s="614" t="s">
        <v>1793</v>
      </c>
      <c r="E9" s="614" t="e">
        <f>ROUND(C11/E7,4)</f>
        <v>#DIV/0!</v>
      </c>
      <c r="F9" s="611" t="s">
        <v>1794</v>
      </c>
      <c r="G9" s="612"/>
      <c r="H9" s="612"/>
      <c r="I9" s="612"/>
      <c r="J9" s="801"/>
      <c r="K9" s="568"/>
      <c r="L9" s="792" t="s">
        <v>1795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1797</v>
      </c>
      <c r="C10" s="614">
        <f>SUMIF(修正!C71:C138,C8,修正!F71:F138)</f>
        <v>0</v>
      </c>
      <c r="D10" s="614" t="s">
        <v>1798</v>
      </c>
      <c r="E10" s="614" t="e">
        <f>ROUND(C11/E7,4)</f>
        <v>#DIV/0!</v>
      </c>
      <c r="F10" s="611" t="s">
        <v>1799</v>
      </c>
      <c r="G10" s="612"/>
      <c r="H10" s="612"/>
      <c r="I10" s="612"/>
      <c r="J10" s="801"/>
      <c r="K10" s="568"/>
      <c r="L10" s="792" t="s">
        <v>1800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1801</v>
      </c>
      <c r="C11" s="617">
        <f>C10/4</f>
        <v>0</v>
      </c>
      <c r="D11" s="617" t="s">
        <v>1802</v>
      </c>
      <c r="E11" s="617" t="e">
        <f>ROUND(C11/E7,4)</f>
        <v>#DIV/0!</v>
      </c>
      <c r="F11" s="618" t="s">
        <v>1803</v>
      </c>
      <c r="G11" s="619"/>
      <c r="H11" s="619"/>
      <c r="I11" s="619"/>
      <c r="J11" s="802"/>
      <c r="K11" s="568"/>
      <c r="L11" s="792" t="s">
        <v>1804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1805</v>
      </c>
      <c r="B12" s="620" t="s">
        <v>1806</v>
      </c>
      <c r="C12" s="621"/>
      <c r="D12" s="622" t="s">
        <v>1807</v>
      </c>
      <c r="E12" s="623" t="s">
        <v>1808</v>
      </c>
      <c r="F12" s="624"/>
      <c r="G12" s="625"/>
      <c r="H12" s="625"/>
      <c r="I12" s="625"/>
      <c r="J12" s="803"/>
      <c r="K12" s="568"/>
      <c r="L12" s="804" t="s">
        <v>1809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1810</v>
      </c>
      <c r="B13" s="626" t="s">
        <v>1811</v>
      </c>
      <c r="C13" s="602">
        <f>ROUND(C16*D16*E16*F16*G16*H16*I16*J16,4)</f>
        <v>0</v>
      </c>
      <c r="D13" s="627" t="s">
        <v>1812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1813</v>
      </c>
      <c r="C14" s="632" t="s">
        <v>1814</v>
      </c>
      <c r="D14" s="633" t="s">
        <v>1815</v>
      </c>
      <c r="E14" s="634" t="s">
        <v>1816</v>
      </c>
      <c r="F14" s="635" t="s">
        <v>1817</v>
      </c>
      <c r="G14" s="635" t="s">
        <v>1817</v>
      </c>
      <c r="H14" s="635" t="s">
        <v>1817</v>
      </c>
      <c r="I14" s="635" t="s">
        <v>1817</v>
      </c>
      <c r="J14" s="635" t="s">
        <v>1817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1819</v>
      </c>
      <c r="B17" s="646" t="s">
        <v>1820</v>
      </c>
      <c r="C17" s="647">
        <f>ROUND(IF(OR(E2="工业",E2="公共服务"),1,IF(AND(E18=0,E19=0),1,IF(AND(E18=J24,E19=G19),0.8,IF(E19=0,1+E17*(-0.2),1+E17*G17*(-0.2))))),4)</f>
        <v>1</v>
      </c>
      <c r="D17" s="648" t="s">
        <v>1821</v>
      </c>
      <c r="E17" s="647">
        <f>ROUND(G18/I18,2)</f>
        <v>0</v>
      </c>
      <c r="F17" s="648" t="s">
        <v>1822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1823</v>
      </c>
      <c r="E18" s="653"/>
      <c r="F18" s="654" t="s">
        <v>1824</v>
      </c>
      <c r="G18" s="651">
        <f>ROUND(1-(1/(POWER(1+G24,E18))),4)</f>
        <v>0</v>
      </c>
      <c r="H18" s="654" t="s">
        <v>1825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1826</v>
      </c>
      <c r="E19" s="658"/>
      <c r="F19" s="659" t="s">
        <v>1827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1828</v>
      </c>
      <c r="B20" s="661" t="s">
        <v>1829</v>
      </c>
      <c r="C20" s="662">
        <f>ROUND(IF(F21="与级别开发程度一致",0,(G21-E21)/C21),0)</f>
        <v>0</v>
      </c>
      <c r="D20" s="663" t="s">
        <v>1830</v>
      </c>
      <c r="E20" s="664"/>
      <c r="F20" s="665" t="s">
        <v>1831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1836</v>
      </c>
      <c r="E23" s="684">
        <v>44197</v>
      </c>
      <c r="F23" s="683" t="s">
        <v>1837</v>
      </c>
      <c r="G23" s="685">
        <f>'数据-取费表'!B2</f>
        <v>45208</v>
      </c>
      <c r="H23" s="686" t="s">
        <v>1838</v>
      </c>
      <c r="I23" s="825" t="str">
        <f>IF(H23="季度增幅（自定义）",SUMIF(N25:N28,E2,O25:O28),"")</f>
        <v/>
      </c>
      <c r="J23" s="826" t="s">
        <v>1839</v>
      </c>
      <c r="K23" s="822"/>
      <c r="L23" s="827" t="s">
        <v>1840</v>
      </c>
      <c r="M23" s="828">
        <f>ROUND(SUMIF(地价!B2:G2,E2,地价!B16:G16),0)</f>
        <v>350</v>
      </c>
      <c r="N23" s="829" t="s">
        <v>1841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1842</v>
      </c>
      <c r="C24" s="689">
        <f>ROUND(POWER(1+G24,J24-I24)*(POWER(1+G24,I24)-1)/(POWER(1+G24,J24)-1),4)</f>
        <v>0.8998</v>
      </c>
      <c r="D24" s="690" t="s">
        <v>1843</v>
      </c>
      <c r="E24" s="691">
        <f>存贷款利率!E24/100</f>
        <v>0.0435</v>
      </c>
      <c r="F24" s="690" t="s">
        <v>1844</v>
      </c>
      <c r="G24" s="692">
        <f>SUMIF(M30:Q30,E2,M33:Q33)</f>
        <v>0.055</v>
      </c>
      <c r="H24" s="690" t="s">
        <v>1845</v>
      </c>
      <c r="I24" s="832">
        <f>SUMIF('数据-取费表'!C6:C15,E2,'数据-取费表'!F6:F15)/COUNTIF('数据-取费表'!C6:C15,E2)</f>
        <v>29.52</v>
      </c>
      <c r="J24" s="833">
        <f>IF(E2="住宅",70,IF(E2="商业",40,50))</f>
        <v>40</v>
      </c>
      <c r="K24" s="822"/>
      <c r="L24" s="834" t="s">
        <v>1846</v>
      </c>
      <c r="M24" s="835">
        <f>ROUND(SUMPRODUCT((地价!A4:A16=YEAR(G23)&amp;"-"&amp;ROUNDUP(MONTH(G23)/3,0))*(地价!B2:G2=E2)*(地价!B4:G16)),0)</f>
        <v>0</v>
      </c>
      <c r="N24" s="836" t="s">
        <v>1847</v>
      </c>
      <c r="O24" s="837" t="s">
        <v>1848</v>
      </c>
      <c r="P24" s="838" t="s">
        <v>1849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1850</v>
      </c>
      <c r="C25" s="695">
        <f>IF(B25="容积率修正",IF(G3&lt;10,D26,J26),C27)</f>
        <v>0</v>
      </c>
      <c r="D25" s="696"/>
      <c r="E25" s="696"/>
      <c r="F25" s="696"/>
      <c r="G25" s="696"/>
      <c r="H25" s="696"/>
      <c r="I25" s="696"/>
      <c r="J25" s="839"/>
      <c r="K25" s="822"/>
      <c r="L25" s="823"/>
      <c r="M25" s="823"/>
      <c r="N25" s="840" t="s">
        <v>1851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1852</v>
      </c>
      <c r="B26" s="698" t="s">
        <v>1853</v>
      </c>
      <c r="C26" s="699" t="s">
        <v>1854</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1855</v>
      </c>
      <c r="J26" s="843" t="str">
        <f>IF(G3&gt;=10,D115,"——")</f>
        <v>——</v>
      </c>
      <c r="K26" s="822"/>
      <c r="L26" s="823"/>
      <c r="M26" s="823"/>
      <c r="N26" s="840" t="s">
        <v>1856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1857</v>
      </c>
      <c r="B27" s="701" t="s">
        <v>1858</v>
      </c>
      <c r="C27" s="702">
        <f>ROUND(IF(I3&lt;6,SUMPRODUCT((B106:B110=I3)*(C105:N105=G2)*(C106:N110)),SUMIF(C105:N105,G2,C112:N112)),4)</f>
        <v>0</v>
      </c>
      <c r="D27" s="703"/>
      <c r="E27" s="703"/>
      <c r="F27" s="704"/>
      <c r="G27" s="705"/>
      <c r="H27" s="706"/>
      <c r="I27" s="844"/>
      <c r="J27" s="845"/>
      <c r="K27" s="568"/>
      <c r="L27" s="569"/>
      <c r="M27" s="569"/>
      <c r="N27" s="840" t="s">
        <v>1859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1860</v>
      </c>
      <c r="B28" s="681" t="s">
        <v>1861</v>
      </c>
      <c r="C28" s="682">
        <f>SUMIF(A47:A101,E2,B47:B101)</f>
        <v>1</v>
      </c>
      <c r="D28" s="707"/>
      <c r="E28" s="708"/>
      <c r="F28" s="708"/>
      <c r="G28" s="708"/>
      <c r="H28" s="708"/>
      <c r="I28" s="708"/>
      <c r="J28" s="846"/>
      <c r="K28" s="822"/>
      <c r="L28" s="823"/>
      <c r="M28" s="823"/>
      <c r="N28" s="847" t="s">
        <v>1862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1863</v>
      </c>
      <c r="B29" s="709" t="s">
        <v>1864</v>
      </c>
      <c r="C29" s="710"/>
      <c r="D29" s="606"/>
      <c r="E29" s="606"/>
      <c r="F29" s="711"/>
      <c r="G29" s="606"/>
      <c r="H29" s="606"/>
      <c r="I29" s="606"/>
      <c r="J29" s="800"/>
      <c r="K29" s="568"/>
      <c r="L29" s="569"/>
      <c r="M29" s="569"/>
      <c r="N29" s="850" t="s">
        <v>1865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1866</v>
      </c>
      <c r="C30" s="713">
        <f>IF(B25="容积率修正",E33+SUM(E37:E42),SUM(V2:V16)+SUM(E37:E42))</f>
        <v>0</v>
      </c>
      <c r="D30" s="714"/>
      <c r="E30" s="703"/>
      <c r="F30" s="715"/>
      <c r="G30" s="703"/>
      <c r="H30" s="703"/>
      <c r="I30" s="703"/>
      <c r="J30" s="853"/>
      <c r="K30" s="568"/>
      <c r="L30" s="854" t="s">
        <v>1753</v>
      </c>
      <c r="M30" s="855" t="s">
        <v>1867</v>
      </c>
      <c r="N30" s="855" t="s">
        <v>1868</v>
      </c>
      <c r="O30" s="855" t="s">
        <v>1869</v>
      </c>
      <c r="P30" s="855" t="s">
        <v>1870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1871</v>
      </c>
      <c r="C31" s="717">
        <f>E34+SUM(I37:I42)</f>
        <v>0</v>
      </c>
      <c r="D31" s="718"/>
      <c r="E31" s="719"/>
      <c r="F31" s="720"/>
      <c r="G31" s="719"/>
      <c r="H31" s="719"/>
      <c r="I31" s="719"/>
      <c r="J31" s="856"/>
      <c r="K31" s="568"/>
      <c r="L31" s="857" t="s">
        <v>1872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1873</v>
      </c>
      <c r="C32" s="723" t="s">
        <v>1874</v>
      </c>
      <c r="D32" s="723" t="s">
        <v>560</v>
      </c>
      <c r="E32" s="724" t="s">
        <v>1875</v>
      </c>
      <c r="F32" s="725"/>
      <c r="G32" s="629"/>
      <c r="H32" s="629"/>
      <c r="I32" s="629"/>
      <c r="J32" s="806"/>
      <c r="K32" s="568"/>
      <c r="L32" s="858" t="s">
        <v>1844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1876</v>
      </c>
      <c r="C33" s="728">
        <f>ROUND(C5*C22*C23*C24*C25*C28,0)</f>
        <v>0</v>
      </c>
      <c r="D33" s="729">
        <f>560</f>
        <v>560</v>
      </c>
      <c r="E33" s="730">
        <f>ROUND(C33*D33/10000,0)</f>
        <v>0</v>
      </c>
      <c r="F33" s="731" t="s">
        <v>1877</v>
      </c>
      <c r="G33" s="732"/>
      <c r="H33" s="732"/>
      <c r="I33" s="732"/>
      <c r="J33" s="860"/>
      <c r="K33" s="568"/>
      <c r="L33" s="861" t="s">
        <v>1878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1879</v>
      </c>
      <c r="C34" s="671">
        <f>ROUND(IF(E2="工业",C33*M42,IF(B25="楼层修正",SUM(V2:V16)*M41*10000/D34,C33*M41)),0)</f>
        <v>0</v>
      </c>
      <c r="D34" s="735"/>
      <c r="E34" s="730">
        <f>ROUND(IF(B25="楼层修正",SUM(V2:V16)*M40,C34*D34/10000),0)</f>
        <v>0</v>
      </c>
      <c r="F34" s="736" t="s">
        <v>1880</v>
      </c>
      <c r="G34" s="737"/>
      <c r="H34" s="737"/>
      <c r="I34" s="737"/>
      <c r="J34" s="863"/>
      <c r="K34" s="568"/>
      <c r="L34" s="861" t="s">
        <v>1881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1882</v>
      </c>
      <c r="C35" s="740" t="s">
        <v>1883</v>
      </c>
      <c r="D35" s="629"/>
      <c r="E35" s="741"/>
      <c r="F35" s="741"/>
      <c r="G35" s="627" t="s">
        <v>1880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1874</v>
      </c>
      <c r="D36" s="744" t="s">
        <v>560</v>
      </c>
      <c r="E36" s="744" t="s">
        <v>1875</v>
      </c>
      <c r="F36" s="575" t="s">
        <v>1884</v>
      </c>
      <c r="G36" s="745" t="s">
        <v>1874</v>
      </c>
      <c r="H36" s="745" t="s">
        <v>560</v>
      </c>
      <c r="I36" s="745" t="s">
        <v>1875</v>
      </c>
      <c r="J36" s="445"/>
      <c r="K36" s="865" t="s">
        <v>1885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1886</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1888</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1889</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1890</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1891</v>
      </c>
      <c r="M40" s="872"/>
      <c r="Z40" s="752"/>
      <c r="AA40" s="752"/>
      <c r="AB40" s="752"/>
      <c r="AC40" s="752"/>
      <c r="AD40" s="752"/>
      <c r="AE40" s="752"/>
      <c r="AF40" s="752"/>
      <c r="AG40" s="752"/>
      <c r="AH40" s="752"/>
      <c r="AI40" s="752"/>
      <c r="AJ40" s="752"/>
    </row>
    <row r="41" s="568" customFormat="1" spans="1:36">
      <c r="A41" s="749"/>
      <c r="B41" s="632" t="s">
        <v>1892</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1893</v>
      </c>
      <c r="M41" s="874">
        <v>0.25</v>
      </c>
      <c r="Z41" s="752"/>
      <c r="AA41" s="752"/>
      <c r="AB41" s="752"/>
      <c r="AC41" s="752"/>
      <c r="AD41" s="752"/>
      <c r="AE41" s="752"/>
      <c r="AF41" s="752"/>
      <c r="AG41" s="752"/>
      <c r="AH41" s="752"/>
      <c r="AI41" s="752"/>
      <c r="AJ41" s="752"/>
    </row>
    <row r="42" s="568" customFormat="1" ht="13.95" spans="1:36">
      <c r="A42" s="733"/>
      <c r="B42" s="750" t="s">
        <v>1894</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1895</v>
      </c>
      <c r="C44" s="575">
        <f>ROUND(POWER(1+E44,H44-G44)*(POWER(1+E44,G44)-1)/(POWER(1+E44,H44)-1),4)</f>
        <v>0</v>
      </c>
      <c r="D44" s="614" t="s">
        <v>1844</v>
      </c>
      <c r="E44" s="754">
        <f>G24</f>
        <v>0.055</v>
      </c>
      <c r="F44" s="614" t="s">
        <v>1845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1898</v>
      </c>
      <c r="B49" s="768" t="s">
        <v>1899</v>
      </c>
      <c r="C49" s="768" t="s">
        <v>1900</v>
      </c>
      <c r="D49" s="768" t="s">
        <v>1901</v>
      </c>
      <c r="E49" s="769" t="s">
        <v>1902</v>
      </c>
      <c r="F49" s="770" t="s">
        <v>1903</v>
      </c>
      <c r="G49" s="768" t="s">
        <v>1720</v>
      </c>
      <c r="H49" s="771" t="s">
        <v>1904</v>
      </c>
      <c r="I49" s="768" t="s">
        <v>1905</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1907</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1908</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1909</v>
      </c>
      <c r="B53" s="781" t="s">
        <v>1910</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1911</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1912</v>
      </c>
      <c r="B55" s="782" t="s">
        <v>1913</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1914</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1915</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1916</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1898</v>
      </c>
      <c r="B60" s="768"/>
      <c r="C60" s="768" t="s">
        <v>1900</v>
      </c>
      <c r="D60" s="768" t="s">
        <v>1901</v>
      </c>
      <c r="E60" s="769" t="s">
        <v>1902</v>
      </c>
      <c r="F60" s="770" t="s">
        <v>1918</v>
      </c>
      <c r="G60" s="768" t="s">
        <v>1720</v>
      </c>
      <c r="H60" s="771" t="s">
        <v>1904</v>
      </c>
      <c r="I60" s="768" t="s">
        <v>1905</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1919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1909</v>
      </c>
      <c r="B64" s="781" t="s">
        <v>1910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1912</v>
      </c>
      <c r="B66" s="782" t="s">
        <v>1913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1898</v>
      </c>
      <c r="B71" s="768"/>
      <c r="C71" s="768" t="s">
        <v>1900</v>
      </c>
      <c r="D71" s="768" t="s">
        <v>1901</v>
      </c>
      <c r="E71" s="769" t="s">
        <v>1902</v>
      </c>
      <c r="F71" s="770" t="s">
        <v>1918</v>
      </c>
      <c r="G71" s="768" t="s">
        <v>1720</v>
      </c>
      <c r="H71" s="771" t="s">
        <v>1904</v>
      </c>
      <c r="I71" s="768" t="s">
        <v>1905</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1912</v>
      </c>
      <c r="B78" s="782" t="s">
        <v>1913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1924</v>
      </c>
      <c r="B81" s="762">
        <f>1+E83</f>
        <v>1</v>
      </c>
      <c r="C81" s="764"/>
      <c r="D81" s="764"/>
      <c r="E81" s="765"/>
      <c r="F81" s="766"/>
      <c r="G81" s="760"/>
      <c r="H81" s="760"/>
      <c r="I81" s="760"/>
      <c r="J81" s="759"/>
      <c r="K81" s="759"/>
      <c r="L81" s="759"/>
      <c r="M81" s="759"/>
      <c r="N81" s="759"/>
      <c r="Z81" s="572"/>
      <c r="AA81" s="570"/>
      <c r="AG81" s="574"/>
      <c r="AK81" s="570"/>
    </row>
    <row r="82" ht="25.2" spans="1:37">
      <c r="A82" s="767" t="s">
        <v>1898</v>
      </c>
      <c r="B82" s="768"/>
      <c r="C82" s="768" t="s">
        <v>1900</v>
      </c>
      <c r="D82" s="768" t="s">
        <v>1901</v>
      </c>
      <c r="E82" s="769" t="s">
        <v>1902</v>
      </c>
      <c r="F82" s="770" t="s">
        <v>1918</v>
      </c>
      <c r="G82" s="768" t="s">
        <v>1720</v>
      </c>
      <c r="H82" s="771" t="s">
        <v>1904</v>
      </c>
      <c r="I82" s="768" t="s">
        <v>1905</v>
      </c>
      <c r="J82" s="879" t="s">
        <v>1414</v>
      </c>
      <c r="K82" s="879" t="s">
        <v>1415</v>
      </c>
      <c r="L82" s="879" t="s">
        <v>1416</v>
      </c>
      <c r="M82" s="879" t="s">
        <v>1417</v>
      </c>
      <c r="N82" s="879" t="s">
        <v>1418</v>
      </c>
      <c r="Z82" s="572"/>
      <c r="AA82" s="570"/>
      <c r="AG82" s="574"/>
      <c r="AK82" s="570"/>
    </row>
    <row r="83" ht="39.6" spans="1:37">
      <c r="A83" s="767" t="s">
        <v>1925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1912</v>
      </c>
      <c r="B89" s="782" t="s">
        <v>1926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1898</v>
      </c>
      <c r="B92" s="926"/>
      <c r="C92" s="926" t="s">
        <v>1900</v>
      </c>
      <c r="D92" s="926" t="s">
        <v>1901</v>
      </c>
      <c r="E92" s="895" t="s">
        <v>1902</v>
      </c>
      <c r="F92" s="927" t="s">
        <v>1918</v>
      </c>
      <c r="G92" s="926" t="s">
        <v>1720</v>
      </c>
      <c r="H92" s="928" t="s">
        <v>1904</v>
      </c>
      <c r="I92" s="926" t="s">
        <v>1905</v>
      </c>
      <c r="J92" s="964" t="s">
        <v>1414</v>
      </c>
      <c r="K92" s="964" t="s">
        <v>1415</v>
      </c>
      <c r="L92" s="964" t="s">
        <v>1416</v>
      </c>
      <c r="M92" s="964" t="s">
        <v>1417</v>
      </c>
      <c r="N92" s="964" t="s">
        <v>1418</v>
      </c>
    </row>
    <row r="93" ht="24" spans="1:14">
      <c r="A93" s="780" t="s">
        <v>1928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1909</v>
      </c>
      <c r="B96" s="934" t="s">
        <v>1910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1912</v>
      </c>
      <c r="B98" s="935" t="s">
        <v>1913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1929</v>
      </c>
      <c r="B103" s="939"/>
      <c r="C103" s="939"/>
      <c r="D103" s="939"/>
      <c r="E103" s="939"/>
      <c r="F103" s="939"/>
      <c r="G103" s="939"/>
      <c r="H103" s="939"/>
      <c r="I103" s="939"/>
      <c r="J103" s="939"/>
      <c r="K103" s="939"/>
      <c r="L103" s="939"/>
      <c r="M103" s="939"/>
      <c r="N103" s="939"/>
    </row>
    <row r="104" spans="1:14">
      <c r="A104" s="940" t="s">
        <v>1930</v>
      </c>
      <c r="B104" s="940" t="s">
        <v>1931</v>
      </c>
      <c r="C104" s="941" t="s">
        <v>1932</v>
      </c>
      <c r="D104" s="942"/>
      <c r="E104" s="942"/>
      <c r="F104" s="942"/>
      <c r="G104" s="942"/>
      <c r="H104" s="942"/>
      <c r="I104" s="942"/>
      <c r="J104" s="965"/>
      <c r="K104" s="966"/>
      <c r="L104" s="966"/>
      <c r="M104" s="966"/>
      <c r="N104" s="966"/>
    </row>
    <row r="105" spans="1:14">
      <c r="A105" s="940"/>
      <c r="B105" s="940"/>
      <c r="C105" s="940" t="s">
        <v>1780</v>
      </c>
      <c r="D105" s="940" t="s">
        <v>1781</v>
      </c>
      <c r="E105" s="940" t="s">
        <v>1782</v>
      </c>
      <c r="F105" s="940" t="s">
        <v>1783</v>
      </c>
      <c r="G105" s="940" t="s">
        <v>1784</v>
      </c>
      <c r="H105" s="940" t="s">
        <v>1785</v>
      </c>
      <c r="I105" s="940" t="s">
        <v>1786</v>
      </c>
      <c r="J105" s="940" t="s">
        <v>1787</v>
      </c>
      <c r="K105" s="940" t="s">
        <v>1788</v>
      </c>
      <c r="L105" s="940" t="s">
        <v>1789</v>
      </c>
      <c r="M105" s="940" t="s">
        <v>1790</v>
      </c>
      <c r="N105" s="940" t="s">
        <v>1791</v>
      </c>
    </row>
    <row r="106" spans="1:14">
      <c r="A106" s="943" t="s">
        <v>1933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1935</v>
      </c>
      <c r="B116" s="950">
        <f>G3</f>
        <v>2.5</v>
      </c>
      <c r="C116" s="951" t="s">
        <v>1936</v>
      </c>
      <c r="D116" s="952">
        <f>SUMPRODUCT((A118:A122=F116)*(B117:M117=H116)*B118:M122)</f>
        <v>0</v>
      </c>
      <c r="E116" s="578" t="s">
        <v>1753</v>
      </c>
      <c r="F116" s="953" t="str">
        <f>E2</f>
        <v>商业</v>
      </c>
      <c r="G116" s="578" t="s">
        <v>1754</v>
      </c>
      <c r="H116" s="953">
        <f>G2</f>
        <v>0</v>
      </c>
      <c r="I116" s="578"/>
      <c r="J116" s="967"/>
      <c r="K116" s="967"/>
      <c r="L116" s="967"/>
      <c r="M116" s="967"/>
      <c r="N116" s="948"/>
    </row>
    <row r="117" spans="1:14">
      <c r="A117" s="954"/>
      <c r="B117" s="955" t="s">
        <v>1937</v>
      </c>
      <c r="C117" s="955" t="s">
        <v>1938</v>
      </c>
      <c r="D117" s="955" t="s">
        <v>1939</v>
      </c>
      <c r="E117" s="956" t="s">
        <v>1940</v>
      </c>
      <c r="F117" s="956" t="s">
        <v>1941</v>
      </c>
      <c r="G117" s="956" t="s">
        <v>1942</v>
      </c>
      <c r="H117" s="957" t="s">
        <v>1943</v>
      </c>
      <c r="I117" s="957" t="s">
        <v>1944</v>
      </c>
      <c r="J117" s="968" t="s">
        <v>1945</v>
      </c>
      <c r="K117" s="968" t="s">
        <v>1946</v>
      </c>
      <c r="L117" s="968" t="s">
        <v>1947</v>
      </c>
      <c r="M117" s="969" t="s">
        <v>1948</v>
      </c>
      <c r="N117" s="948"/>
    </row>
    <row r="118" spans="1:14">
      <c r="A118" s="958" t="s">
        <v>1867</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1868</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1869</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1870</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1952</v>
      </c>
      <c r="B18" s="518"/>
      <c r="C18" s="519"/>
      <c r="D18" s="519"/>
      <c r="E18" s="518"/>
      <c r="F18" s="519"/>
      <c r="G18" s="519"/>
    </row>
    <row r="19" customHeight="1" spans="1:7">
      <c r="A19" s="517" t="s">
        <v>1953</v>
      </c>
      <c r="B19" s="520" t="s">
        <v>1954</v>
      </c>
      <c r="C19" s="520" t="s">
        <v>1955</v>
      </c>
      <c r="D19" s="521"/>
      <c r="E19" s="517" t="s">
        <v>1956</v>
      </c>
      <c r="F19" s="522"/>
      <c r="G19" s="522"/>
    </row>
    <row r="20" customHeight="1" spans="1:7">
      <c r="A20" s="523" t="s">
        <v>650</v>
      </c>
      <c r="B20" s="524" t="s">
        <v>1957</v>
      </c>
      <c r="C20" s="525" t="s">
        <v>1758</v>
      </c>
      <c r="D20" s="526"/>
      <c r="E20" s="527">
        <v>1</v>
      </c>
      <c r="F20" s="528" t="s">
        <v>1958</v>
      </c>
      <c r="G20" s="528"/>
    </row>
    <row r="21" customHeight="1" spans="1:7">
      <c r="A21" s="529"/>
      <c r="B21" s="530"/>
      <c r="C21" s="531" t="s">
        <v>1959</v>
      </c>
      <c r="D21" s="532"/>
      <c r="E21" s="533">
        <v>1</v>
      </c>
      <c r="F21" s="528" t="s">
        <v>1960</v>
      </c>
      <c r="G21" s="528"/>
    </row>
    <row r="22" customHeight="1" spans="1:7">
      <c r="A22" s="529"/>
      <c r="B22" s="530"/>
      <c r="C22" s="531" t="s">
        <v>1961</v>
      </c>
      <c r="D22" s="532"/>
      <c r="E22" s="533">
        <v>0.9</v>
      </c>
      <c r="F22" s="528" t="s">
        <v>1962</v>
      </c>
      <c r="G22" s="528"/>
    </row>
    <row r="23" customHeight="1" spans="1:7">
      <c r="A23" s="529"/>
      <c r="B23" s="530"/>
      <c r="C23" s="531" t="s">
        <v>1963</v>
      </c>
      <c r="D23" s="532"/>
      <c r="E23" s="533">
        <v>0.9</v>
      </c>
      <c r="F23" s="528" t="s">
        <v>1964</v>
      </c>
      <c r="G23" s="528"/>
    </row>
    <row r="24" customHeight="1" spans="1:7">
      <c r="A24" s="529"/>
      <c r="B24" s="530"/>
      <c r="C24" s="531" t="s">
        <v>1965</v>
      </c>
      <c r="D24" s="532"/>
      <c r="E24" s="533">
        <v>0.8</v>
      </c>
      <c r="F24" s="528" t="s">
        <v>1966</v>
      </c>
      <c r="G24" s="528"/>
    </row>
    <row r="25" customHeight="1" spans="1:7">
      <c r="A25" s="534"/>
      <c r="B25" s="535"/>
      <c r="C25" s="536" t="s">
        <v>1967</v>
      </c>
      <c r="D25" s="537"/>
      <c r="E25" s="538">
        <v>0.8</v>
      </c>
      <c r="F25" s="528" t="s">
        <v>1968</v>
      </c>
      <c r="G25" s="528"/>
    </row>
    <row r="26" customHeight="1" spans="1:7">
      <c r="A26" s="539" t="s">
        <v>547</v>
      </c>
      <c r="B26" s="540" t="s">
        <v>1957</v>
      </c>
      <c r="C26" s="541" t="s">
        <v>1969</v>
      </c>
      <c r="D26" s="542"/>
      <c r="E26" s="543">
        <v>1</v>
      </c>
      <c r="F26" s="528" t="s">
        <v>1970</v>
      </c>
      <c r="G26" s="528"/>
    </row>
    <row r="27" customHeight="1" spans="1:7">
      <c r="A27" s="544" t="s">
        <v>280</v>
      </c>
      <c r="B27" s="524" t="s">
        <v>280</v>
      </c>
      <c r="C27" s="525" t="s">
        <v>1971</v>
      </c>
      <c r="D27" s="526"/>
      <c r="E27" s="527">
        <v>1</v>
      </c>
      <c r="F27" s="528" t="s">
        <v>1972</v>
      </c>
      <c r="G27" s="528"/>
    </row>
    <row r="28" customHeight="1" spans="1:7">
      <c r="A28" s="545"/>
      <c r="B28" s="530"/>
      <c r="C28" s="531" t="s">
        <v>1973</v>
      </c>
      <c r="D28" s="532"/>
      <c r="E28" s="533">
        <v>1</v>
      </c>
      <c r="F28" s="528" t="s">
        <v>1974</v>
      </c>
      <c r="G28" s="528"/>
    </row>
    <row r="29" customHeight="1" spans="1:7">
      <c r="A29" s="545"/>
      <c r="B29" s="530"/>
      <c r="C29" s="531" t="s">
        <v>1975</v>
      </c>
      <c r="D29" s="532"/>
      <c r="E29" s="533">
        <v>0.8</v>
      </c>
      <c r="F29" s="528" t="s">
        <v>1976</v>
      </c>
      <c r="G29" s="528"/>
    </row>
    <row r="30" customHeight="1" spans="1:7">
      <c r="A30" s="545"/>
      <c r="B30" s="530"/>
      <c r="C30" s="531" t="s">
        <v>1977</v>
      </c>
      <c r="D30" s="532"/>
      <c r="E30" s="533">
        <v>0.8</v>
      </c>
      <c r="F30" s="528" t="s">
        <v>1978</v>
      </c>
      <c r="G30" s="528"/>
    </row>
    <row r="31" customHeight="1" spans="1:7">
      <c r="A31" s="545"/>
      <c r="B31" s="530"/>
      <c r="C31" s="531" t="s">
        <v>1979</v>
      </c>
      <c r="D31" s="532"/>
      <c r="E31" s="533">
        <v>0.8</v>
      </c>
      <c r="F31" s="528" t="s">
        <v>1980</v>
      </c>
      <c r="G31" s="528"/>
    </row>
    <row r="32" customHeight="1" spans="1:7">
      <c r="A32" s="545"/>
      <c r="B32" s="530"/>
      <c r="C32" s="531" t="s">
        <v>1981</v>
      </c>
      <c r="D32" s="532"/>
      <c r="E32" s="533">
        <v>0.7</v>
      </c>
      <c r="F32" s="528" t="s">
        <v>1982</v>
      </c>
      <c r="G32" s="528"/>
    </row>
    <row r="33" customHeight="1" spans="1:7">
      <c r="A33" s="545"/>
      <c r="B33" s="530"/>
      <c r="C33" s="531" t="s">
        <v>1983</v>
      </c>
      <c r="D33" s="532"/>
      <c r="E33" s="533">
        <v>0.8</v>
      </c>
      <c r="F33" s="528" t="s">
        <v>1984</v>
      </c>
      <c r="G33" s="528"/>
    </row>
    <row r="34" customHeight="1" spans="1:7">
      <c r="A34" s="545"/>
      <c r="B34" s="530"/>
      <c r="C34" s="531" t="s">
        <v>1985</v>
      </c>
      <c r="D34" s="532"/>
      <c r="E34" s="533">
        <v>0.6</v>
      </c>
      <c r="F34" s="528" t="s">
        <v>1986</v>
      </c>
      <c r="G34" s="528"/>
    </row>
    <row r="35" customHeight="1" spans="1:7">
      <c r="A35" s="545"/>
      <c r="B35" s="530"/>
      <c r="C35" s="531" t="s">
        <v>1987</v>
      </c>
      <c r="D35" s="532"/>
      <c r="E35" s="533">
        <v>0.2</v>
      </c>
      <c r="F35" s="528" t="s">
        <v>1988</v>
      </c>
      <c r="G35" s="528"/>
    </row>
    <row r="36" customHeight="1" spans="1:7">
      <c r="A36" s="545"/>
      <c r="B36" s="530"/>
      <c r="C36" s="531" t="s">
        <v>1989</v>
      </c>
      <c r="D36" s="532"/>
      <c r="E36" s="533">
        <v>0.2</v>
      </c>
      <c r="F36" s="528" t="s">
        <v>1990</v>
      </c>
      <c r="G36" s="528"/>
    </row>
    <row r="37" customHeight="1" spans="1:7">
      <c r="A37" s="545"/>
      <c r="B37" s="546" t="s">
        <v>1991</v>
      </c>
      <c r="C37" s="531" t="s">
        <v>1992</v>
      </c>
      <c r="D37" s="532"/>
      <c r="E37" s="533">
        <v>0.6</v>
      </c>
      <c r="F37" s="528" t="s">
        <v>1993</v>
      </c>
      <c r="G37" s="528"/>
    </row>
    <row r="38" customHeight="1" spans="1:7">
      <c r="A38" s="545"/>
      <c r="B38" s="530"/>
      <c r="C38" s="531" t="s">
        <v>1994</v>
      </c>
      <c r="D38" s="532"/>
      <c r="E38" s="533">
        <v>0.6</v>
      </c>
      <c r="F38" s="528" t="s">
        <v>1995</v>
      </c>
      <c r="G38" s="528"/>
    </row>
    <row r="39" customHeight="1" spans="1:7">
      <c r="A39" s="547"/>
      <c r="B39" s="535"/>
      <c r="C39" s="536" t="s">
        <v>1996</v>
      </c>
      <c r="D39" s="537"/>
      <c r="E39" s="538">
        <v>0.6</v>
      </c>
      <c r="F39" s="528" t="s">
        <v>1997</v>
      </c>
      <c r="G39" s="528"/>
    </row>
    <row r="40" customHeight="1" spans="1:7">
      <c r="A40" s="539" t="s">
        <v>412</v>
      </c>
      <c r="B40" s="540" t="s">
        <v>412</v>
      </c>
      <c r="C40" s="541" t="s">
        <v>1998</v>
      </c>
      <c r="D40" s="542"/>
      <c r="E40" s="543">
        <v>1</v>
      </c>
      <c r="F40" s="528" t="s">
        <v>1999</v>
      </c>
      <c r="G40" s="528"/>
    </row>
    <row r="41" customHeight="1" spans="1:7">
      <c r="A41" s="523" t="s">
        <v>408</v>
      </c>
      <c r="B41" s="524" t="s">
        <v>2000</v>
      </c>
      <c r="C41" s="525" t="s">
        <v>2001</v>
      </c>
      <c r="D41" s="526"/>
      <c r="E41" s="527">
        <v>1</v>
      </c>
      <c r="F41" s="528" t="s">
        <v>2002</v>
      </c>
      <c r="G41" s="528"/>
    </row>
    <row r="42" customHeight="1" spans="1:7">
      <c r="A42" s="529"/>
      <c r="B42" s="530"/>
      <c r="C42" s="531" t="s">
        <v>2003</v>
      </c>
      <c r="D42" s="532"/>
      <c r="E42" s="533">
        <v>1</v>
      </c>
      <c r="F42" s="528" t="s">
        <v>2004</v>
      </c>
      <c r="G42" s="528"/>
    </row>
    <row r="43" customHeight="1" spans="1:7">
      <c r="A43" s="529"/>
      <c r="B43" s="548"/>
      <c r="C43" s="531" t="s">
        <v>2005</v>
      </c>
      <c r="D43" s="532"/>
      <c r="E43" s="533">
        <v>1.5</v>
      </c>
      <c r="F43" s="528" t="s">
        <v>2006</v>
      </c>
      <c r="G43" s="528"/>
    </row>
    <row r="44" customHeight="1" spans="1:7">
      <c r="A44" s="529"/>
      <c r="B44" s="549" t="s">
        <v>280</v>
      </c>
      <c r="C44" s="531" t="s">
        <v>1949</v>
      </c>
      <c r="D44" s="532"/>
      <c r="E44" s="533">
        <v>2</v>
      </c>
      <c r="F44" s="528" t="s">
        <v>2007</v>
      </c>
      <c r="G44" s="528"/>
    </row>
    <row r="45" customHeight="1" spans="1:7">
      <c r="A45" s="529"/>
      <c r="B45" s="546" t="s">
        <v>2008</v>
      </c>
      <c r="C45" s="531" t="s">
        <v>2009</v>
      </c>
      <c r="D45" s="532"/>
      <c r="E45" s="533">
        <v>1</v>
      </c>
      <c r="F45" s="528" t="s">
        <v>2010</v>
      </c>
      <c r="G45" s="528"/>
    </row>
    <row r="46" customHeight="1" spans="1:7">
      <c r="A46" s="529"/>
      <c r="B46" s="530"/>
      <c r="C46" s="531" t="s">
        <v>2011</v>
      </c>
      <c r="D46" s="532"/>
      <c r="E46" s="533">
        <v>1</v>
      </c>
      <c r="F46" s="528" t="s">
        <v>2012</v>
      </c>
      <c r="G46" s="528"/>
    </row>
    <row r="47" customHeight="1" spans="1:7">
      <c r="A47" s="529"/>
      <c r="B47" s="530"/>
      <c r="C47" s="531" t="s">
        <v>2013</v>
      </c>
      <c r="D47" s="532"/>
      <c r="E47" s="533">
        <v>1</v>
      </c>
      <c r="F47" s="528" t="s">
        <v>2014</v>
      </c>
      <c r="G47" s="528"/>
    </row>
    <row r="48" customHeight="1" spans="1:7">
      <c r="A48" s="529"/>
      <c r="B48" s="530"/>
      <c r="C48" s="531" t="s">
        <v>2015</v>
      </c>
      <c r="D48" s="532"/>
      <c r="E48" s="533">
        <v>1</v>
      </c>
      <c r="F48" s="528" t="s">
        <v>2016</v>
      </c>
      <c r="G48" s="528"/>
    </row>
    <row r="49" customHeight="1" spans="1:7">
      <c r="A49" s="529"/>
      <c r="B49" s="530"/>
      <c r="C49" s="531" t="s">
        <v>2017</v>
      </c>
      <c r="D49" s="532"/>
      <c r="E49" s="533">
        <v>1</v>
      </c>
      <c r="F49" s="528" t="s">
        <v>2018</v>
      </c>
      <c r="G49" s="528"/>
    </row>
    <row r="50" customHeight="1" spans="1:7">
      <c r="A50" s="529"/>
      <c r="B50" s="530"/>
      <c r="C50" s="531" t="s">
        <v>2019</v>
      </c>
      <c r="D50" s="532"/>
      <c r="E50" s="533">
        <v>1</v>
      </c>
      <c r="F50" s="528" t="s">
        <v>2020</v>
      </c>
      <c r="G50" s="528"/>
    </row>
    <row r="51" customHeight="1" spans="1:7">
      <c r="A51" s="534"/>
      <c r="B51" s="535"/>
      <c r="C51" s="536" t="s">
        <v>2021</v>
      </c>
      <c r="D51" s="537"/>
      <c r="E51" s="538">
        <v>1</v>
      </c>
      <c r="F51" s="528" t="s">
        <v>2022</v>
      </c>
      <c r="G51" s="528"/>
    </row>
    <row r="52" customHeight="1" spans="1:7">
      <c r="A52" s="550"/>
      <c r="B52" s="550"/>
      <c r="C52" s="550"/>
      <c r="D52" s="550"/>
      <c r="E52" s="550"/>
      <c r="F52" s="550"/>
      <c r="G52" s="550"/>
    </row>
    <row r="54" customHeight="1" spans="1:7">
      <c r="A54" s="551"/>
      <c r="B54" s="515" t="s">
        <v>2023</v>
      </c>
      <c r="C54" s="515" t="s">
        <v>2023</v>
      </c>
      <c r="D54" s="515" t="s">
        <v>2023</v>
      </c>
      <c r="E54" s="517" t="s">
        <v>2023</v>
      </c>
      <c r="F54" s="517" t="s">
        <v>2024</v>
      </c>
      <c r="G54" s="517" t="s">
        <v>2023</v>
      </c>
    </row>
    <row r="55" customHeight="1" spans="1:7">
      <c r="A55" s="552"/>
      <c r="B55" s="517" t="s">
        <v>650</v>
      </c>
      <c r="C55" s="517" t="s">
        <v>650</v>
      </c>
      <c r="D55" s="517" t="s">
        <v>650</v>
      </c>
      <c r="E55" s="515" t="s">
        <v>547</v>
      </c>
      <c r="F55" s="515" t="s">
        <v>408</v>
      </c>
      <c r="G55" s="515" t="s">
        <v>1653</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4.4" spans="1:6">
      <c r="A72" s="549"/>
      <c r="B72" s="549"/>
      <c r="C72" s="549" t="s">
        <v>1775</v>
      </c>
      <c r="D72" s="549"/>
      <c r="E72" s="549" t="s">
        <v>124</v>
      </c>
      <c r="F72" s="549" t="s">
        <v>124</v>
      </c>
    </row>
    <row r="73" ht="14.4"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4.4"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36" spans="1:6">
      <c r="A84" s="549">
        <v>12</v>
      </c>
      <c r="B84" s="530"/>
      <c r="C84" s="515" t="s">
        <v>2056</v>
      </c>
      <c r="D84" s="515" t="s">
        <v>2057</v>
      </c>
      <c r="E84" s="549">
        <v>0.1</v>
      </c>
      <c r="F84" s="549">
        <v>15</v>
      </c>
    </row>
    <row r="85" ht="24" spans="1:6">
      <c r="A85" s="549">
        <v>13</v>
      </c>
      <c r="B85" s="530"/>
      <c r="C85" s="515" t="s">
        <v>2058</v>
      </c>
      <c r="D85" s="515" t="s">
        <v>2059</v>
      </c>
      <c r="E85" s="549">
        <v>0.1</v>
      </c>
      <c r="F85" s="549">
        <v>15</v>
      </c>
    </row>
    <row r="86" ht="24" spans="1:6">
      <c r="A86" s="549">
        <v>14</v>
      </c>
      <c r="B86" s="530"/>
      <c r="C86" s="515" t="s">
        <v>2060</v>
      </c>
      <c r="D86" s="515" t="s">
        <v>2061</v>
      </c>
      <c r="E86" s="549">
        <v>0.1</v>
      </c>
      <c r="F86" s="549">
        <v>15</v>
      </c>
    </row>
    <row r="87" ht="24"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4.4"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4.4" spans="1:6">
      <c r="A92" s="549">
        <v>20</v>
      </c>
      <c r="B92" s="530"/>
      <c r="C92" s="515" t="s">
        <v>2073</v>
      </c>
      <c r="D92" s="515" t="s">
        <v>2074</v>
      </c>
      <c r="E92" s="549">
        <v>0.15</v>
      </c>
      <c r="F92" s="549">
        <v>20</v>
      </c>
    </row>
    <row r="93" ht="24" spans="1:6">
      <c r="A93" s="549">
        <v>21</v>
      </c>
      <c r="B93" s="530"/>
      <c r="C93" s="515" t="s">
        <v>2075</v>
      </c>
      <c r="D93" s="515" t="s">
        <v>2076</v>
      </c>
      <c r="E93" s="549">
        <v>0.15</v>
      </c>
      <c r="F93" s="549">
        <v>20</v>
      </c>
    </row>
    <row r="94" ht="24"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24" spans="1:6">
      <c r="A96" s="549">
        <v>24</v>
      </c>
      <c r="B96" s="530"/>
      <c r="C96" s="515" t="s">
        <v>2081</v>
      </c>
      <c r="D96" s="515" t="s">
        <v>2082</v>
      </c>
      <c r="E96" s="549">
        <v>0.1</v>
      </c>
      <c r="F96" s="549">
        <v>15</v>
      </c>
    </row>
    <row r="97" ht="24" spans="1:6">
      <c r="A97" s="549">
        <v>25</v>
      </c>
      <c r="B97" s="530"/>
      <c r="C97" s="515" t="s">
        <v>2083</v>
      </c>
      <c r="D97" s="515" t="s">
        <v>2084</v>
      </c>
      <c r="E97" s="549">
        <v>0.1</v>
      </c>
      <c r="F97" s="549">
        <v>15</v>
      </c>
    </row>
    <row r="98" ht="36"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24" spans="1:6">
      <c r="A100" s="549">
        <v>28</v>
      </c>
      <c r="B100" s="530"/>
      <c r="C100" s="515" t="s">
        <v>2089</v>
      </c>
      <c r="D100" s="515" t="s">
        <v>2090</v>
      </c>
      <c r="E100" s="549">
        <v>0.1</v>
      </c>
      <c r="F100" s="549">
        <v>15</v>
      </c>
    </row>
    <row r="101" ht="24" spans="1:6">
      <c r="A101" s="549">
        <v>29</v>
      </c>
      <c r="B101" s="530"/>
      <c r="C101" s="515" t="s">
        <v>2091</v>
      </c>
      <c r="D101" s="515" t="s">
        <v>2092</v>
      </c>
      <c r="E101" s="549">
        <v>0.1</v>
      </c>
      <c r="F101" s="549">
        <v>15</v>
      </c>
    </row>
    <row r="102" ht="24"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36"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36" spans="1:6">
      <c r="A107" s="549">
        <v>35</v>
      </c>
      <c r="B107" s="546" t="s">
        <v>2103</v>
      </c>
      <c r="C107" s="549" t="s">
        <v>2104</v>
      </c>
      <c r="D107" s="515" t="s">
        <v>2105</v>
      </c>
      <c r="E107" s="549">
        <v>0.15</v>
      </c>
      <c r="F107" s="549">
        <v>20</v>
      </c>
    </row>
    <row r="108" ht="24" spans="1:6">
      <c r="A108" s="549">
        <v>36</v>
      </c>
      <c r="B108" s="530"/>
      <c r="C108" s="549" t="s">
        <v>2106</v>
      </c>
      <c r="D108" s="515" t="s">
        <v>2107</v>
      </c>
      <c r="E108" s="549">
        <v>0.15</v>
      </c>
      <c r="F108" s="549">
        <v>20</v>
      </c>
    </row>
    <row r="109" ht="24" spans="1:6">
      <c r="A109" s="549">
        <v>37</v>
      </c>
      <c r="B109" s="530"/>
      <c r="C109" s="549" t="s">
        <v>2108</v>
      </c>
      <c r="D109" s="515" t="s">
        <v>2109</v>
      </c>
      <c r="E109" s="549">
        <v>0.15</v>
      </c>
      <c r="F109" s="549">
        <v>20</v>
      </c>
    </row>
    <row r="110" ht="24"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24" spans="1:6">
      <c r="A113" s="549">
        <v>41</v>
      </c>
      <c r="B113" s="549" t="s">
        <v>2116</v>
      </c>
      <c r="C113" s="549" t="s">
        <v>2117</v>
      </c>
      <c r="D113" s="515" t="s">
        <v>2118</v>
      </c>
      <c r="E113" s="549">
        <v>0.1</v>
      </c>
      <c r="F113" s="549">
        <v>15</v>
      </c>
    </row>
    <row r="114" ht="24"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24"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24" spans="1:6">
      <c r="A120" s="549">
        <v>48</v>
      </c>
      <c r="B120" s="546" t="s">
        <v>2133</v>
      </c>
      <c r="C120" s="549" t="s">
        <v>2134</v>
      </c>
      <c r="D120" s="515" t="s">
        <v>2135</v>
      </c>
      <c r="E120" s="549">
        <v>0.1</v>
      </c>
      <c r="F120" s="549">
        <v>15</v>
      </c>
    </row>
    <row r="121" ht="24"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24" spans="1:6">
      <c r="A126" s="549">
        <v>54</v>
      </c>
      <c r="B126" s="549" t="s">
        <v>2148</v>
      </c>
      <c r="C126" s="549" t="s">
        <v>2149</v>
      </c>
      <c r="D126" s="515" t="s">
        <v>2150</v>
      </c>
      <c r="E126" s="549">
        <v>0.1</v>
      </c>
      <c r="F126" s="549">
        <v>15</v>
      </c>
    </row>
    <row r="127" ht="24" spans="1:6">
      <c r="A127" s="549">
        <v>55</v>
      </c>
      <c r="B127" s="549" t="s">
        <v>2151</v>
      </c>
      <c r="C127" s="549" t="s">
        <v>2152</v>
      </c>
      <c r="D127" s="515" t="s">
        <v>2153</v>
      </c>
      <c r="E127" s="549">
        <v>0.1</v>
      </c>
      <c r="F127" s="549">
        <v>15</v>
      </c>
    </row>
    <row r="128" ht="24"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24" spans="1:6">
      <c r="A131" s="549">
        <v>59</v>
      </c>
      <c r="B131" s="549"/>
      <c r="C131" s="549" t="s">
        <v>2161</v>
      </c>
      <c r="D131" s="515" t="s">
        <v>2162</v>
      </c>
      <c r="E131" s="549">
        <v>0.1</v>
      </c>
      <c r="F131" s="549">
        <v>15</v>
      </c>
    </row>
    <row r="132" ht="24" spans="1:6">
      <c r="A132" s="549">
        <v>60</v>
      </c>
      <c r="B132" s="546" t="s">
        <v>2163</v>
      </c>
      <c r="C132" s="549" t="s">
        <v>2164</v>
      </c>
      <c r="D132" s="515" t="s">
        <v>2165</v>
      </c>
      <c r="E132" s="549">
        <v>0.1</v>
      </c>
      <c r="F132" s="549">
        <v>15</v>
      </c>
    </row>
    <row r="133" ht="24"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24" spans="1:6">
      <c r="A135" s="549">
        <v>63</v>
      </c>
      <c r="B135" s="549" t="s">
        <v>2171</v>
      </c>
      <c r="C135" s="549" t="s">
        <v>2172</v>
      </c>
      <c r="D135" s="515" t="s">
        <v>2173</v>
      </c>
      <c r="E135" s="549">
        <v>0.1</v>
      </c>
      <c r="F135" s="549">
        <v>15</v>
      </c>
    </row>
    <row r="136" ht="24" spans="1:6">
      <c r="A136" s="549">
        <v>64</v>
      </c>
      <c r="B136" s="549"/>
      <c r="C136" s="549" t="s">
        <v>2174</v>
      </c>
      <c r="D136" s="515" t="s">
        <v>2175</v>
      </c>
      <c r="E136" s="549">
        <v>0.1</v>
      </c>
      <c r="F136" s="549">
        <v>15</v>
      </c>
    </row>
    <row r="137" ht="24" spans="1:6">
      <c r="A137" s="549">
        <v>65</v>
      </c>
      <c r="B137" s="549" t="s">
        <v>2176</v>
      </c>
      <c r="C137" s="549" t="s">
        <v>2177</v>
      </c>
      <c r="D137" s="515" t="s">
        <v>2178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2191</v>
      </c>
      <c r="B1" s="391"/>
      <c r="C1" s="392"/>
      <c r="D1" s="392"/>
      <c r="E1" s="392"/>
      <c r="F1" s="392"/>
      <c r="G1" s="393"/>
    </row>
    <row r="2" s="382" customFormat="1" ht="18" customHeight="1" spans="1:7">
      <c r="A2" s="394" t="s">
        <v>2192</v>
      </c>
      <c r="B2" s="395">
        <f ca="1">C52</f>
        <v>27842</v>
      </c>
      <c r="C2" s="396" t="s">
        <v>1518</v>
      </c>
      <c r="D2" s="393"/>
      <c r="E2" s="393"/>
      <c r="F2" s="393"/>
      <c r="G2" s="393"/>
    </row>
    <row r="3" s="382" customFormat="1" ht="18" customHeight="1" spans="1:7">
      <c r="A3" s="397" t="s">
        <v>2193</v>
      </c>
      <c r="B3" s="398">
        <f ca="1">ROUND(B2*10000/'数据-汇总表'!E3,0)</f>
        <v>1412009</v>
      </c>
      <c r="C3" s="396" t="s">
        <v>1663</v>
      </c>
      <c r="D3" s="393"/>
      <c r="E3" s="393"/>
      <c r="F3" s="393"/>
      <c r="G3" s="393"/>
    </row>
    <row r="4" s="383" customFormat="1" ht="15.6" spans="1:7">
      <c r="A4" s="399" t="s">
        <v>2194</v>
      </c>
      <c r="B4" s="400"/>
      <c r="C4" s="400"/>
      <c r="D4" s="400"/>
      <c r="E4" s="400"/>
      <c r="F4" s="400"/>
      <c r="G4" s="401"/>
    </row>
    <row r="5" s="384" customFormat="1" ht="13.5" customHeight="1" spans="1:7">
      <c r="A5" s="402" t="s">
        <v>992</v>
      </c>
      <c r="B5" s="403" t="s">
        <v>2195</v>
      </c>
      <c r="C5" s="404">
        <f>C6+C7+C8</f>
        <v>20610</v>
      </c>
      <c r="D5" s="404" t="s">
        <v>2196</v>
      </c>
      <c r="E5" s="405" t="s">
        <v>2197</v>
      </c>
      <c r="F5" s="405" t="s">
        <v>2198</v>
      </c>
      <c r="G5" s="406"/>
    </row>
    <row r="6" s="384" customFormat="1" ht="13.5" customHeight="1" spans="1:7">
      <c r="A6" s="407" t="s">
        <v>996</v>
      </c>
      <c r="B6" s="408" t="s">
        <v>2199</v>
      </c>
      <c r="C6" s="409">
        <v>20000</v>
      </c>
      <c r="D6" s="410"/>
      <c r="E6" s="411"/>
      <c r="F6" s="411"/>
      <c r="G6" s="412"/>
    </row>
    <row r="7" s="384" customFormat="1" ht="13.5" customHeight="1" spans="1:7">
      <c r="A7" s="407" t="s">
        <v>998</v>
      </c>
      <c r="B7" s="408" t="s">
        <v>2200</v>
      </c>
      <c r="C7" s="413">
        <f>ROUND(C6*F7,0)</f>
        <v>610</v>
      </c>
      <c r="D7" s="413"/>
      <c r="E7" s="411"/>
      <c r="F7" s="414">
        <f>'数据-取费表'!B48+'数据-取费表'!B49</f>
        <v>0.0305</v>
      </c>
      <c r="G7" s="412"/>
    </row>
    <row r="8" s="385" customFormat="1" spans="1:7">
      <c r="A8" s="407" t="s">
        <v>1000</v>
      </c>
      <c r="B8" s="408" t="s">
        <v>2201</v>
      </c>
      <c r="C8" s="413" t="str">
        <f>IF(G8="已包含在土地购买价格中","0",'数据-取费表'!B29)</f>
        <v>0</v>
      </c>
      <c r="D8" s="415"/>
      <c r="E8" s="413"/>
      <c r="F8" s="414"/>
      <c r="G8" s="416" t="s">
        <v>2202</v>
      </c>
    </row>
    <row r="9" s="384" customFormat="1" ht="13.5" customHeight="1" spans="1:7">
      <c r="A9" s="417" t="s">
        <v>1002</v>
      </c>
      <c r="B9" s="418" t="s">
        <v>2203</v>
      </c>
      <c r="C9" s="419">
        <f>ROUND(D9*E9/10000,0)</f>
        <v>0</v>
      </c>
      <c r="D9" s="420">
        <f>'数据-汇总表'!E5</f>
        <v>0</v>
      </c>
      <c r="E9" s="419">
        <f>'数据-取费表'!B27</f>
        <v>160</v>
      </c>
      <c r="F9" s="414"/>
      <c r="G9" s="421"/>
    </row>
    <row r="10" s="384" customFormat="1" ht="13.5" customHeight="1" spans="1:7">
      <c r="A10" s="417" t="s">
        <v>1005</v>
      </c>
      <c r="B10" s="418" t="s">
        <v>2204</v>
      </c>
      <c r="C10" s="419">
        <f>ROUND(D10*E10/10000,0)</f>
        <v>4</v>
      </c>
      <c r="D10" s="420">
        <f>'数据-汇总表'!E6</f>
        <v>197.18</v>
      </c>
      <c r="E10" s="419">
        <f>'数据-取费表'!B28</f>
        <v>200</v>
      </c>
      <c r="F10" s="414"/>
      <c r="G10" s="421"/>
    </row>
    <row r="11" s="384" customFormat="1" ht="13.5" hidden="1" customHeight="1" spans="1:7">
      <c r="A11" s="422" t="s">
        <v>1007</v>
      </c>
      <c r="B11" s="408" t="s">
        <v>2205</v>
      </c>
      <c r="C11" s="404"/>
      <c r="D11" s="423"/>
      <c r="E11" s="411"/>
      <c r="F11" s="411"/>
      <c r="G11" s="412"/>
    </row>
    <row r="12" s="384" customFormat="1" ht="13.5" hidden="1" customHeight="1" spans="1:7">
      <c r="A12" s="422" t="s">
        <v>1009</v>
      </c>
      <c r="B12" s="408" t="s">
        <v>2206</v>
      </c>
      <c r="C12" s="404">
        <v>0</v>
      </c>
      <c r="D12" s="423"/>
      <c r="E12" s="424"/>
      <c r="F12" s="414">
        <v>0.0305</v>
      </c>
      <c r="G12" s="412"/>
    </row>
    <row r="13" s="384" customFormat="1" ht="13.5" hidden="1" customHeight="1" spans="1:7">
      <c r="A13" s="422" t="s">
        <v>1010</v>
      </c>
      <c r="B13" s="408" t="s">
        <v>2207</v>
      </c>
      <c r="C13" s="404"/>
      <c r="D13" s="423"/>
      <c r="E13" s="411"/>
      <c r="F13" s="411"/>
      <c r="G13" s="412"/>
    </row>
    <row r="14" s="384" customFormat="1" ht="13.5" hidden="1" customHeight="1" spans="1:7">
      <c r="A14" s="422" t="s">
        <v>1012</v>
      </c>
      <c r="B14" s="408" t="s">
        <v>2201</v>
      </c>
      <c r="C14" s="404"/>
      <c r="D14" s="423"/>
      <c r="E14" s="411"/>
      <c r="F14" s="411"/>
      <c r="G14" s="412" t="s">
        <v>2208</v>
      </c>
    </row>
    <row r="15" s="384" customFormat="1" ht="13.5" hidden="1" customHeight="1" spans="1:7">
      <c r="A15" s="422" t="s">
        <v>1014</v>
      </c>
      <c r="B15" s="408" t="s">
        <v>2209</v>
      </c>
      <c r="C15" s="413"/>
      <c r="D15" s="423"/>
      <c r="E15" s="411"/>
      <c r="F15" s="411"/>
      <c r="G15" s="412" t="s">
        <v>2210</v>
      </c>
    </row>
    <row r="16" s="384" customFormat="1" ht="13.5" hidden="1" customHeight="1" spans="1:7">
      <c r="A16" s="422" t="s">
        <v>1017</v>
      </c>
      <c r="B16" s="408" t="s">
        <v>2201</v>
      </c>
      <c r="C16" s="413"/>
      <c r="D16" s="423"/>
      <c r="E16" s="411"/>
      <c r="F16" s="411"/>
      <c r="G16" s="412"/>
    </row>
    <row r="17" s="384" customFormat="1" ht="13.5" hidden="1" customHeight="1" spans="1:7">
      <c r="A17" s="422" t="s">
        <v>1018</v>
      </c>
      <c r="B17" s="408" t="s">
        <v>2211</v>
      </c>
      <c r="C17" s="425"/>
      <c r="D17" s="426"/>
      <c r="E17" s="425"/>
      <c r="F17" s="425"/>
      <c r="G17" s="412" t="s">
        <v>2210</v>
      </c>
    </row>
    <row r="18" s="384" customFormat="1" ht="13.5" hidden="1" customHeight="1" spans="1:7">
      <c r="A18" s="422" t="s">
        <v>1020</v>
      </c>
      <c r="B18" s="408" t="s">
        <v>2212</v>
      </c>
      <c r="C18" s="413">
        <v>0</v>
      </c>
      <c r="D18" s="423"/>
      <c r="E18" s="411"/>
      <c r="F18" s="414">
        <v>0.0305</v>
      </c>
      <c r="G18" s="412" t="s">
        <v>2213</v>
      </c>
    </row>
    <row r="19" s="385" customFormat="1" ht="13.5" customHeight="1" spans="1:7">
      <c r="A19" s="427" t="s">
        <v>1768</v>
      </c>
      <c r="B19" s="403" t="s">
        <v>2214</v>
      </c>
      <c r="C19" s="404">
        <f>IF(G19="已包含在土地取得成本中","0",ROUND(D19*E19/10000,0))</f>
        <v>4</v>
      </c>
      <c r="D19" s="428">
        <f>'数据-汇总表'!E3</f>
        <v>197.18</v>
      </c>
      <c r="E19" s="404">
        <f>'数据-取费表'!B31</f>
        <v>200</v>
      </c>
      <c r="F19" s="429"/>
      <c r="G19" s="416" t="s">
        <v>2215</v>
      </c>
    </row>
    <row r="20" s="384" customFormat="1" ht="13.5" customHeight="1" spans="1:7">
      <c r="A20" s="427" t="s">
        <v>1805</v>
      </c>
      <c r="B20" s="403" t="s">
        <v>2216</v>
      </c>
      <c r="C20" s="430">
        <f>ROUND((C5+C19)*F20,0)</f>
        <v>412</v>
      </c>
      <c r="D20" s="430"/>
      <c r="E20" s="430"/>
      <c r="F20" s="431">
        <f>'数据-取费表'!B37</f>
        <v>0.02</v>
      </c>
      <c r="G20" s="432" t="s">
        <v>2217</v>
      </c>
    </row>
    <row r="21" s="384" customFormat="1" ht="13.5" customHeight="1" spans="1:7">
      <c r="A21" s="427" t="s">
        <v>1810</v>
      </c>
      <c r="B21" s="403" t="s">
        <v>2218</v>
      </c>
      <c r="C21" s="433">
        <f>F21</f>
        <v>0.02</v>
      </c>
      <c r="D21" s="434" t="s">
        <v>2219</v>
      </c>
      <c r="E21" s="430"/>
      <c r="F21" s="431">
        <f>'数据-取费表'!B38</f>
        <v>0.02</v>
      </c>
      <c r="G21" s="435" t="s">
        <v>2220</v>
      </c>
    </row>
    <row r="22" s="384" customFormat="1" ht="13.5" customHeight="1" spans="1:7">
      <c r="A22" s="427" t="s">
        <v>1819</v>
      </c>
      <c r="B22" s="403" t="s">
        <v>2221</v>
      </c>
      <c r="C22" s="436">
        <f ca="1">ROUND(SUM(C23:C25),0)</f>
        <v>1461</v>
      </c>
      <c r="D22" s="433">
        <f ca="1">C26</f>
        <v>0.0007</v>
      </c>
      <c r="E22" s="434" t="s">
        <v>2219</v>
      </c>
      <c r="F22" s="437">
        <f ca="1">'数据-取费表'!B40</f>
        <v>0.0345</v>
      </c>
      <c r="G22" s="432" t="str">
        <f>IF('数据-取费表'!B22&lt;=1,"单利计息","复利计息")</f>
        <v>复利计息</v>
      </c>
    </row>
    <row r="23" s="384" customFormat="1" ht="13.5" customHeight="1" spans="1:7">
      <c r="A23" s="438" t="s">
        <v>996</v>
      </c>
      <c r="B23" s="408" t="s">
        <v>2222</v>
      </c>
      <c r="C23" s="439">
        <f ca="1">ROUND(IF('数据-取费表'!B22&lt;=1,C5*F22*'数据-取费表'!B23,C5*(POWER((1+F22),'数据-取费表'!B23)-1)),0)</f>
        <v>1447</v>
      </c>
      <c r="D23" s="440"/>
      <c r="E23" s="440"/>
      <c r="F23" s="441"/>
      <c r="G23" s="442" t="s">
        <v>2223</v>
      </c>
    </row>
    <row r="24" s="384" customFormat="1" ht="13.5" customHeight="1" spans="1:7">
      <c r="A24" s="438" t="s">
        <v>998</v>
      </c>
      <c r="B24" s="408" t="s">
        <v>2224</v>
      </c>
      <c r="C24" s="439">
        <f ca="1">ROUND(IF('数据-取费表'!B22&lt;=1,C19*F22*('数据-取费表'!B19/2+'数据-取费表'!B21),C19*(POWER((1+F22),('数据-取费表'!B19/2+'数据-取费表'!B21))-1)),0)</f>
        <v>0</v>
      </c>
      <c r="D24" s="440"/>
      <c r="E24" s="440"/>
      <c r="F24" s="441"/>
      <c r="G24" s="442" t="s">
        <v>2225</v>
      </c>
    </row>
    <row r="25" s="384" customFormat="1" ht="24" spans="1:7">
      <c r="A25" s="438" t="s">
        <v>1000</v>
      </c>
      <c r="B25" s="408" t="s">
        <v>2226</v>
      </c>
      <c r="C25" s="439">
        <f ca="1">ROUND(IF('数据-取费表'!B22&lt;=1,C20*F22*'数据-取费表'!B23/2,C20*(POWER((1+F22),'数据-取费表'!B23/2)-1)),0)</f>
        <v>14</v>
      </c>
      <c r="D25" s="440"/>
      <c r="E25" s="443"/>
      <c r="F25" s="441"/>
      <c r="G25" s="444" t="s">
        <v>2227</v>
      </c>
    </row>
    <row r="26" s="384" customFormat="1" spans="1:7">
      <c r="A26" s="438" t="s">
        <v>1040</v>
      </c>
      <c r="B26" s="408" t="s">
        <v>2228</v>
      </c>
      <c r="C26" s="440">
        <f ca="1">ROUND(IF('数据-取费表'!B22&lt;=1,F21*F22*'数据-取费表'!B23/2,F21*(POWER((1+F22),'数据-取费表'!B23/2)-1)),4)</f>
        <v>0.0007</v>
      </c>
      <c r="D26" s="440"/>
      <c r="E26" s="443"/>
      <c r="F26" s="441"/>
      <c r="G26" s="445"/>
    </row>
    <row r="27" s="384" customFormat="1" ht="26.4" spans="1:7">
      <c r="A27" s="427" t="s">
        <v>1828</v>
      </c>
      <c r="B27" s="446" t="s">
        <v>2229</v>
      </c>
      <c r="C27" s="447">
        <f>C28</f>
        <v>3154</v>
      </c>
      <c r="D27" s="433">
        <f>C29</f>
        <v>0.003</v>
      </c>
      <c r="E27" s="434" t="s">
        <v>2219</v>
      </c>
      <c r="F27" s="448">
        <f>'数据-取费表'!Q16</f>
        <v>0.15</v>
      </c>
      <c r="G27" s="449" t="s">
        <v>2230</v>
      </c>
    </row>
    <row r="28" s="384" customFormat="1" ht="13.5" customHeight="1" spans="1:7">
      <c r="A28" s="438" t="s">
        <v>996</v>
      </c>
      <c r="B28" s="450" t="s">
        <v>2231</v>
      </c>
      <c r="C28" s="451">
        <f>ROUND((C5+C19+C20)*F27*'数据-取费表'!B21/'数据-取费表'!B20,0)</f>
        <v>3154</v>
      </c>
      <c r="D28" s="433"/>
      <c r="E28" s="434"/>
      <c r="F28" s="448"/>
      <c r="G28" s="449"/>
    </row>
    <row r="29" s="384" customFormat="1" ht="13.5" customHeight="1" spans="1:7">
      <c r="A29" s="438" t="s">
        <v>998</v>
      </c>
      <c r="B29" s="450" t="s">
        <v>2232</v>
      </c>
      <c r="C29" s="440">
        <f>ROUND(C21*F27*'数据-取费表'!B21/'数据-取费表'!B20,4)</f>
        <v>0.003</v>
      </c>
      <c r="D29" s="433"/>
      <c r="E29" s="434"/>
      <c r="F29" s="448"/>
      <c r="G29" s="449"/>
    </row>
    <row r="30" s="384" customFormat="1" ht="13.5" customHeight="1" spans="1:7">
      <c r="A30" s="427" t="s">
        <v>2233</v>
      </c>
      <c r="B30" s="403" t="s">
        <v>2234</v>
      </c>
      <c r="C30" s="433">
        <f>F30</f>
        <v>0.055</v>
      </c>
      <c r="D30" s="434" t="s">
        <v>2235</v>
      </c>
      <c r="E30" s="443"/>
      <c r="F30" s="437">
        <f>'数据-取费表'!B41</f>
        <v>0.055</v>
      </c>
      <c r="G30" s="435" t="s">
        <v>2236</v>
      </c>
    </row>
    <row r="31" ht="16.5" customHeight="1" spans="1:7">
      <c r="A31" s="452">
        <v>1</v>
      </c>
      <c r="B31" s="403" t="s">
        <v>2237</v>
      </c>
      <c r="C31" s="404">
        <f ca="1">ROUND((C5+C19+C20+C22+C27)/(1-C21-D22-D27-C30/(1+'数据-取费表'!B42)),0)</f>
        <v>27752</v>
      </c>
      <c r="D31" s="453"/>
      <c r="E31" s="404"/>
      <c r="F31" s="454"/>
      <c r="G31" s="435" t="s">
        <v>2238</v>
      </c>
    </row>
    <row r="32" s="383" customFormat="1" ht="15.6" spans="1:7">
      <c r="A32" s="455" t="s">
        <v>2239</v>
      </c>
      <c r="B32" s="456"/>
      <c r="C32" s="456"/>
      <c r="D32" s="456"/>
      <c r="E32" s="456"/>
      <c r="F32" s="456"/>
      <c r="G32" s="457"/>
    </row>
    <row r="33" s="384" customFormat="1" ht="13.5" customHeight="1" spans="1:7">
      <c r="A33" s="402" t="s">
        <v>992</v>
      </c>
      <c r="B33" s="403" t="s">
        <v>2240</v>
      </c>
      <c r="C33" s="458">
        <f>SUM(C34:C38)</f>
        <v>77</v>
      </c>
      <c r="D33" s="430"/>
      <c r="E33" s="405"/>
      <c r="F33" s="443"/>
      <c r="G33" s="435"/>
    </row>
    <row r="34" s="386" customFormat="1" ht="13.5" customHeight="1" spans="1:7">
      <c r="A34" s="438" t="s">
        <v>996</v>
      </c>
      <c r="B34" s="408" t="s">
        <v>2241</v>
      </c>
      <c r="C34" s="413">
        <f>IF(F34=100%,'数据-取费表'!M16-SUMIF('数据-取费表'!C:C,"公共配套",'数据-取费表'!M:M),'数据-取费表'!O16-SUMIF('数据-取费表'!C:C,"公共配套",'数据-取费表'!O:O))</f>
        <v>69</v>
      </c>
      <c r="D34" s="410"/>
      <c r="E34" s="413"/>
      <c r="F34" s="459">
        <f>IF('数据-取费表'!B24=0,1,'数据-取费表'!N16)</f>
        <v>1</v>
      </c>
      <c r="G34" s="412" t="s">
        <v>2242</v>
      </c>
    </row>
    <row r="35" ht="13.5" customHeight="1" spans="1:7">
      <c r="A35" s="438" t="s">
        <v>998</v>
      </c>
      <c r="B35" s="408" t="s">
        <v>2243</v>
      </c>
      <c r="C35" s="413">
        <f>ROUND(C34*F35,0)</f>
        <v>3</v>
      </c>
      <c r="D35" s="413"/>
      <c r="E35" s="413"/>
      <c r="F35" s="460">
        <f>'数据-取费表'!B33</f>
        <v>0.05</v>
      </c>
      <c r="G35" s="412" t="s">
        <v>2244</v>
      </c>
    </row>
    <row r="36" ht="24" spans="1:7">
      <c r="A36" s="438" t="s">
        <v>1000</v>
      </c>
      <c r="B36" s="408" t="s">
        <v>2245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2246</v>
      </c>
    </row>
    <row r="37" s="386" customFormat="1" ht="13.5" customHeight="1" spans="1:7">
      <c r="A37" s="438" t="s">
        <v>1040</v>
      </c>
      <c r="B37" s="408" t="s">
        <v>2247</v>
      </c>
      <c r="C37" s="451">
        <f>ROUND(E37*D37*F34/10000,0)</f>
        <v>4</v>
      </c>
      <c r="D37" s="410">
        <f>'数据-汇总表'!E3</f>
        <v>197.18</v>
      </c>
      <c r="E37" s="451">
        <f>'数据-取费表'!B35</f>
        <v>200</v>
      </c>
      <c r="F37" s="460"/>
      <c r="G37" s="462" t="s">
        <v>2248</v>
      </c>
    </row>
    <row r="38" ht="13.5" customHeight="1" spans="1:7">
      <c r="A38" s="438" t="s">
        <v>1062</v>
      </c>
      <c r="B38" s="408" t="s">
        <v>2206</v>
      </c>
      <c r="C38" s="413">
        <f>ROUND(C34*F38,0)</f>
        <v>1</v>
      </c>
      <c r="D38" s="413"/>
      <c r="E38" s="413"/>
      <c r="F38" s="460">
        <f>'数据-取费表'!B36</f>
        <v>0.015</v>
      </c>
      <c r="G38" s="412" t="s">
        <v>2244</v>
      </c>
    </row>
    <row r="39" s="384" customFormat="1" ht="13.5" customHeight="1" spans="1:7">
      <c r="A39" s="427" t="s">
        <v>1768</v>
      </c>
      <c r="B39" s="403" t="s">
        <v>2216</v>
      </c>
      <c r="C39" s="430">
        <f>ROUND(C33*F20,0)</f>
        <v>2</v>
      </c>
      <c r="D39" s="430"/>
      <c r="E39" s="430"/>
      <c r="F39" s="431"/>
      <c r="G39" s="432" t="s">
        <v>2249</v>
      </c>
    </row>
    <row r="40" s="384" customFormat="1" ht="13.5" customHeight="1" spans="1:7">
      <c r="A40" s="427" t="s">
        <v>1805</v>
      </c>
      <c r="B40" s="403" t="s">
        <v>2218</v>
      </c>
      <c r="C40" s="463">
        <f>F21</f>
        <v>0.02</v>
      </c>
      <c r="D40" s="434" t="s">
        <v>2250</v>
      </c>
      <c r="E40" s="430"/>
      <c r="F40" s="431"/>
      <c r="G40" s="435" t="s">
        <v>2251</v>
      </c>
    </row>
    <row r="41" s="384" customFormat="1" ht="13.5" customHeight="1" spans="1:7">
      <c r="A41" s="427" t="s">
        <v>1810</v>
      </c>
      <c r="B41" s="403" t="s">
        <v>2221</v>
      </c>
      <c r="C41" s="430">
        <f ca="1">ROUND(SUM(C42:C43),0)</f>
        <v>3</v>
      </c>
      <c r="D41" s="433">
        <f ca="1">C44</f>
        <v>0.0007</v>
      </c>
      <c r="E41" s="434" t="s">
        <v>2250</v>
      </c>
      <c r="F41" s="437"/>
      <c r="G41" s="432" t="str">
        <f>IF('数据-取费表'!B22&lt;=1,"单利计息","复利计息")</f>
        <v>复利计息</v>
      </c>
    </row>
    <row r="42" ht="13.5" customHeight="1" spans="1:7">
      <c r="A42" s="438" t="s">
        <v>996</v>
      </c>
      <c r="B42" s="408" t="s">
        <v>2222</v>
      </c>
      <c r="C42" s="440">
        <f ca="1">ROUND(IF('数据-取费表'!B22&lt;=1,C33*F22*'数据-取费表'!B21/2,C33*(POWER((1+F22),'数据-取费表'!B21/2)-1)),0)</f>
        <v>3</v>
      </c>
      <c r="D42" s="440"/>
      <c r="E42" s="440"/>
      <c r="F42" s="441"/>
      <c r="G42" s="464" t="s">
        <v>2252</v>
      </c>
    </row>
    <row r="43" ht="13.5" customHeight="1" spans="1:7">
      <c r="A43" s="438" t="s">
        <v>998</v>
      </c>
      <c r="B43" s="408" t="s">
        <v>2224</v>
      </c>
      <c r="C43" s="440">
        <f ca="1">ROUND(IF('数据-取费表'!B22&lt;=1,C39*F22*'数据-取费表'!B21/2,C39*(POWER((1+F22),'数据-取费表'!B21/2)-1)),0)</f>
        <v>0</v>
      </c>
      <c r="D43" s="440"/>
      <c r="E43" s="440"/>
      <c r="F43" s="441"/>
      <c r="G43" s="465"/>
    </row>
    <row r="44" ht="13.5" customHeight="1" spans="1:7">
      <c r="A44" s="438" t="s">
        <v>1000</v>
      </c>
      <c r="B44" s="408" t="s">
        <v>2226</v>
      </c>
      <c r="C44" s="440">
        <f ca="1">ROUND(IF('数据-取费表'!B22&lt;=1,C40*F22*'数据-取费表'!B21/2,C40*(POWER((1+F22),'数据-取费表'!B21/2)-1)),4)</f>
        <v>0.0007</v>
      </c>
      <c r="D44" s="440"/>
      <c r="E44" s="440"/>
      <c r="F44" s="441"/>
      <c r="G44" s="466"/>
    </row>
    <row r="45" s="384" customFormat="1" ht="13.5" customHeight="1" spans="1:7">
      <c r="A45" s="427" t="s">
        <v>1819</v>
      </c>
      <c r="B45" s="446" t="s">
        <v>2229</v>
      </c>
      <c r="C45" s="447">
        <f>C46</f>
        <v>12</v>
      </c>
      <c r="D45" s="433">
        <f>C47</f>
        <v>0.003</v>
      </c>
      <c r="E45" s="434" t="s">
        <v>2250</v>
      </c>
      <c r="F45" s="448"/>
      <c r="G45" s="449" t="s">
        <v>2253</v>
      </c>
    </row>
    <row r="46" s="384" customFormat="1" ht="13.5" customHeight="1" spans="1:7">
      <c r="A46" s="438" t="s">
        <v>996</v>
      </c>
      <c r="B46" s="450" t="s">
        <v>2254</v>
      </c>
      <c r="C46" s="451">
        <f>ROUND((C33+C39)*F27,0)</f>
        <v>12</v>
      </c>
      <c r="D46" s="467"/>
      <c r="E46" s="434"/>
      <c r="F46" s="448"/>
      <c r="G46" s="449"/>
    </row>
    <row r="47" s="384" customFormat="1" ht="13.5" customHeight="1" spans="1:7">
      <c r="A47" s="438" t="s">
        <v>998</v>
      </c>
      <c r="B47" s="450" t="s">
        <v>2255</v>
      </c>
      <c r="C47" s="440">
        <f>ROUND(C40*F27,4)</f>
        <v>0.003</v>
      </c>
      <c r="D47" s="467"/>
      <c r="E47" s="434"/>
      <c r="F47" s="448"/>
      <c r="G47" s="449"/>
    </row>
    <row r="48" s="384" customFormat="1" ht="13.5" customHeight="1" spans="1:7">
      <c r="A48" s="427" t="s">
        <v>1828</v>
      </c>
      <c r="B48" s="403" t="s">
        <v>2234</v>
      </c>
      <c r="C48" s="463">
        <f>F30</f>
        <v>0.055</v>
      </c>
      <c r="D48" s="434" t="s">
        <v>2256</v>
      </c>
      <c r="E48" s="430"/>
      <c r="F48" s="437"/>
      <c r="G48" s="435" t="s">
        <v>2257</v>
      </c>
    </row>
    <row r="49" ht="16.5" customHeight="1" spans="1:7">
      <c r="A49" s="427" t="s">
        <v>2233</v>
      </c>
      <c r="B49" s="403" t="s">
        <v>2258</v>
      </c>
      <c r="C49" s="430">
        <f ca="1">ROUND((C33+C39+C41+C45)/(1-C40-D41-D45-C48/(1+'数据-取费表'!B42)),0)</f>
        <v>102</v>
      </c>
      <c r="D49" s="430"/>
      <c r="E49" s="430"/>
      <c r="F49" s="468"/>
      <c r="G49" s="435" t="s">
        <v>2259</v>
      </c>
    </row>
    <row r="50" s="386" customFormat="1" ht="24" spans="1:7">
      <c r="A50" s="427" t="s">
        <v>2260</v>
      </c>
      <c r="B50" s="403" t="s">
        <v>2261</v>
      </c>
      <c r="C50" s="430"/>
      <c r="D50" s="430"/>
      <c r="E50" s="430"/>
      <c r="F50" s="468">
        <f>IF('数据-取费表'!B24=0,'数据-取费表'!N16,1)</f>
        <v>0.88</v>
      </c>
      <c r="G50" s="449" t="s">
        <v>2262</v>
      </c>
    </row>
    <row r="51" ht="16.5" customHeight="1" spans="1:7">
      <c r="A51" s="427" t="s">
        <v>2263</v>
      </c>
      <c r="B51" s="403" t="s">
        <v>2264</v>
      </c>
      <c r="C51" s="430">
        <f ca="1">ROUND(C49*F50,0)</f>
        <v>90</v>
      </c>
      <c r="D51" s="430"/>
      <c r="E51" s="430"/>
      <c r="F51" s="468"/>
      <c r="G51" s="435" t="s">
        <v>2265</v>
      </c>
    </row>
    <row r="52" s="383" customFormat="1" ht="16.35" spans="1:7">
      <c r="A52" s="469" t="s">
        <v>2266</v>
      </c>
      <c r="B52" s="470"/>
      <c r="C52" s="471">
        <f ca="1">C31+C51</f>
        <v>27842</v>
      </c>
      <c r="D52" s="470"/>
      <c r="E52" s="470"/>
      <c r="F52" s="470"/>
      <c r="G52" s="472"/>
    </row>
    <row r="55" ht="15" spans="2:3">
      <c r="B55" s="473" t="s">
        <v>2267</v>
      </c>
      <c r="C55" s="474"/>
    </row>
    <row r="56" spans="2:3">
      <c r="B56" s="475" t="s">
        <v>2268</v>
      </c>
      <c r="C56" s="476">
        <f ca="1">ROUND(C51/C52,3)</f>
        <v>0.003</v>
      </c>
    </row>
    <row r="57" spans="2:3">
      <c r="B57" s="475" t="s">
        <v>2269</v>
      </c>
      <c r="C57" s="477">
        <f ca="1">1-C56</f>
        <v>0.997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650</v>
      </c>
      <c r="D3" s="356" t="s">
        <v>547</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1.5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1.5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1.5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1.5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1.5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1.5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1.5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2656</v>
      </c>
      <c r="B1" s="313"/>
    </row>
    <row r="2" ht="15.15" spans="1:2">
      <c r="A2" s="313"/>
      <c r="B2" s="313"/>
    </row>
    <row r="3" ht="15.15" spans="1:7">
      <c r="A3" s="313"/>
      <c r="B3" s="313"/>
      <c r="C3" s="314" t="s">
        <v>650</v>
      </c>
      <c r="D3" s="314" t="s">
        <v>547</v>
      </c>
      <c r="E3" s="314" t="s">
        <v>412</v>
      </c>
      <c r="F3" s="314" t="s">
        <v>408</v>
      </c>
      <c r="G3" s="314" t="s">
        <v>280</v>
      </c>
    </row>
    <row r="4" ht="15.1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5.1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5.1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5.1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5.1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5.1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5.1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5.1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5.1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5.1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5.1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5.1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5.1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650</v>
      </c>
      <c r="C4" s="306" t="s">
        <v>547</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5.15" spans="2:30">
      <c r="B2" s="228"/>
      <c r="C2" s="229"/>
      <c r="D2" s="230" t="s">
        <v>2670</v>
      </c>
      <c r="E2" s="231" t="s">
        <v>650</v>
      </c>
      <c r="F2" s="231" t="s">
        <v>547</v>
      </c>
      <c r="G2" s="231" t="s">
        <v>412</v>
      </c>
      <c r="H2" s="231" t="s">
        <v>408</v>
      </c>
      <c r="I2" s="231" t="s">
        <v>280</v>
      </c>
      <c r="J2" s="254"/>
      <c r="K2" s="230" t="s">
        <v>2670</v>
      </c>
      <c r="L2" s="231" t="s">
        <v>650</v>
      </c>
      <c r="M2" s="231" t="s">
        <v>547</v>
      </c>
      <c r="N2" s="231" t="s">
        <v>412</v>
      </c>
      <c r="O2" s="231" t="s">
        <v>408</v>
      </c>
      <c r="P2" s="231" t="s">
        <v>280</v>
      </c>
      <c r="Q2" s="254"/>
      <c r="R2" s="230" t="s">
        <v>2670</v>
      </c>
      <c r="S2" s="231" t="s">
        <v>650</v>
      </c>
      <c r="T2" s="231" t="s">
        <v>547</v>
      </c>
      <c r="U2" s="231" t="s">
        <v>412</v>
      </c>
      <c r="V2" s="231" t="s">
        <v>408</v>
      </c>
      <c r="W2" s="231" t="s">
        <v>280</v>
      </c>
      <c r="X2" s="254"/>
      <c r="Y2" s="230" t="s">
        <v>2670</v>
      </c>
      <c r="Z2" s="231" t="s">
        <v>650</v>
      </c>
      <c r="AA2" s="231" t="s">
        <v>547</v>
      </c>
      <c r="AB2" s="231" t="s">
        <v>412</v>
      </c>
      <c r="AC2" s="231" t="s">
        <v>408</v>
      </c>
      <c r="AD2" s="231" t="s">
        <v>280</v>
      </c>
    </row>
    <row r="3" s="218" customFormat="1" ht="13.2"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2684</v>
      </c>
    </row>
    <row r="19" s="223" customFormat="1" spans="9:9">
      <c r="I19" s="272" t="s">
        <v>1623</v>
      </c>
    </row>
    <row r="20" s="223" customFormat="1"/>
    <row r="21" s="224" customFormat="1" ht="13.2"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5.15" spans="2:30">
      <c r="B22" s="228"/>
      <c r="C22" s="229"/>
      <c r="D22" s="230" t="s">
        <v>2670</v>
      </c>
      <c r="E22" s="231" t="s">
        <v>650</v>
      </c>
      <c r="F22" s="231" t="s">
        <v>547</v>
      </c>
      <c r="G22" s="231" t="s">
        <v>412</v>
      </c>
      <c r="H22" s="231"/>
      <c r="I22" s="231" t="s">
        <v>280</v>
      </c>
      <c r="J22" s="254"/>
      <c r="K22" s="230" t="s">
        <v>2670</v>
      </c>
      <c r="L22" s="231" t="s">
        <v>650</v>
      </c>
      <c r="M22" s="231" t="s">
        <v>547</v>
      </c>
      <c r="N22" s="231" t="s">
        <v>412</v>
      </c>
      <c r="O22" s="231"/>
      <c r="P22" s="231" t="s">
        <v>280</v>
      </c>
      <c r="Q22" s="254"/>
      <c r="R22" s="230" t="s">
        <v>2670</v>
      </c>
      <c r="S22" s="231" t="s">
        <v>650</v>
      </c>
      <c r="T22" s="231" t="s">
        <v>547</v>
      </c>
      <c r="U22" s="231" t="s">
        <v>412</v>
      </c>
      <c r="V22" s="231"/>
      <c r="W22" s="231" t="s">
        <v>280</v>
      </c>
      <c r="X22" s="254"/>
      <c r="Y22" s="230" t="s">
        <v>2670</v>
      </c>
      <c r="Z22" s="231" t="s">
        <v>650</v>
      </c>
      <c r="AA22" s="231" t="s">
        <v>547</v>
      </c>
      <c r="AB22" s="231" t="s">
        <v>412</v>
      </c>
      <c r="AC22" s="231"/>
      <c r="AD22" s="231" t="s">
        <v>280</v>
      </c>
    </row>
    <row r="23" s="218" customFormat="1" ht="13.2"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2687</v>
      </c>
      <c r="C1" s="85"/>
      <c r="D1" s="85"/>
      <c r="E1" s="85"/>
      <c r="F1" s="85"/>
      <c r="G1" s="74" t="s">
        <v>2688</v>
      </c>
      <c r="N1" s="74" t="s">
        <v>2667</v>
      </c>
      <c r="S1" s="74" t="s">
        <v>2689</v>
      </c>
      <c r="X1" s="158" t="s">
        <v>2668</v>
      </c>
      <c r="AD1" s="158" t="s">
        <v>2669</v>
      </c>
    </row>
    <row r="2" s="75" customFormat="1" ht="15.15" spans="2:34">
      <c r="B2" s="86" t="s">
        <v>2690</v>
      </c>
      <c r="C2" s="86" t="s">
        <v>2691</v>
      </c>
      <c r="D2" s="87" t="s">
        <v>547</v>
      </c>
      <c r="E2" s="87" t="s">
        <v>412</v>
      </c>
      <c r="F2" s="86" t="s">
        <v>2692</v>
      </c>
      <c r="G2" s="88"/>
      <c r="I2" s="86" t="s">
        <v>2690</v>
      </c>
      <c r="J2" s="87" t="s">
        <v>1957</v>
      </c>
      <c r="K2" s="87" t="s">
        <v>412</v>
      </c>
      <c r="L2" s="86" t="s">
        <v>2692</v>
      </c>
      <c r="N2" s="86" t="s">
        <v>2690</v>
      </c>
      <c r="O2" s="87" t="s">
        <v>1957</v>
      </c>
      <c r="P2" s="87" t="s">
        <v>412</v>
      </c>
      <c r="Q2" s="86" t="s">
        <v>2692</v>
      </c>
      <c r="S2" s="86" t="s">
        <v>2690</v>
      </c>
      <c r="T2" s="87" t="s">
        <v>1957</v>
      </c>
      <c r="U2" s="87" t="s">
        <v>412</v>
      </c>
      <c r="V2" s="86" t="s">
        <v>2692</v>
      </c>
      <c r="X2" s="86" t="s">
        <v>2690</v>
      </c>
      <c r="Y2" s="86" t="s">
        <v>2691</v>
      </c>
      <c r="Z2" s="87" t="s">
        <v>547</v>
      </c>
      <c r="AA2" s="87" t="s">
        <v>412</v>
      </c>
      <c r="AB2" s="86" t="s">
        <v>2692</v>
      </c>
      <c r="AD2" s="86" t="s">
        <v>2690</v>
      </c>
      <c r="AE2" s="86" t="s">
        <v>2691</v>
      </c>
      <c r="AF2" s="87" t="s">
        <v>547</v>
      </c>
      <c r="AG2" s="87" t="s">
        <v>412</v>
      </c>
      <c r="AH2" s="86" t="s">
        <v>2692</v>
      </c>
    </row>
    <row r="3" s="76" customFormat="1" ht="14.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2771</v>
      </c>
      <c r="G91" s="192"/>
      <c r="N91" s="192"/>
      <c r="S91" s="192"/>
    </row>
    <row r="92" s="82" customFormat="1" spans="1:19">
      <c r="A92" s="82" t="s">
        <v>2772</v>
      </c>
      <c r="G92" s="192"/>
      <c r="N92" s="192"/>
      <c r="S92" s="192"/>
    </row>
    <row r="93" s="82" customFormat="1" spans="1:22">
      <c r="A93" s="82" t="s">
        <v>2773</v>
      </c>
      <c r="G93" s="192"/>
      <c r="I93" s="204"/>
      <c r="J93" s="204"/>
      <c r="K93" s="204"/>
      <c r="L93" s="204"/>
      <c r="N93" s="205"/>
      <c r="O93" s="204"/>
      <c r="P93" s="204"/>
      <c r="Q93" s="204"/>
      <c r="S93" s="205"/>
      <c r="T93" s="204"/>
      <c r="U93" s="204"/>
      <c r="V93" s="204"/>
    </row>
    <row r="94" s="82" customFormat="1" spans="1:19">
      <c r="A94" s="82" t="s">
        <v>2774</v>
      </c>
      <c r="G94" s="192"/>
      <c r="N94" s="192"/>
      <c r="S94" s="192"/>
    </row>
    <row r="101" ht="13.95"/>
    <row r="102"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197.18</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57"/>
      <c r="C23" s="1757"/>
      <c r="D23" s="1757"/>
    </row>
    <row r="24" spans="1:4">
      <c r="A24" s="3636"/>
      <c r="B24" s="1757"/>
      <c r="C24" s="1757"/>
      <c r="D24" s="1757"/>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45211</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2023-10-12T03:20:36Z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