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不动产收益法" sheetId="15" r:id="rId20"/>
    <sheet name="酒店收入计算" sheetId="57" r:id="rId21"/>
    <sheet name="不动产比较法-住宅" sheetId="21" r:id="rId22"/>
    <sheet name="剩余法-现房" sheetId="43" r:id="rId23"/>
    <sheet name="比较法-工业" sheetId="40" r:id="rId24"/>
    <sheet name="基准地价" sheetId="46" r:id="rId25"/>
    <sheet name="修正" sheetId="49" state="hidden" r:id="rId26"/>
    <sheet name="区片价" sheetId="48" state="hidden" r:id="rId27"/>
    <sheet name="容积率修正" sheetId="45" state="hidden" r:id="rId28"/>
    <sheet name="因素修正幅度" sheetId="56" state="hidden" r:id="rId29"/>
    <sheet name="基准地价（汇总）" sheetId="67" r:id="rId30"/>
    <sheet name="收益还原法" sheetId="44" r:id="rId31"/>
    <sheet name="地价" sheetId="59" r:id="rId32"/>
    <sheet name="成本逼近法" sheetId="11" r:id="rId33"/>
    <sheet name="不动产比较法-商业" sheetId="33" r:id="rId34"/>
    <sheet name="不动产比较法-办公" sheetId="34" r:id="rId35"/>
    <sheet name="不动产比较法-工业" sheetId="37" r:id="rId36"/>
    <sheet name="不动产比较法-车位" sheetId="35" r:id="rId37"/>
    <sheet name="不动产比较法-仓储" sheetId="36" r:id="rId38"/>
    <sheet name="典型户型修正" sheetId="31" r:id="rId39"/>
    <sheet name="存贷款利率" sheetId="65" state="hidden" r:id="rId40"/>
  </sheets>
  <definedNames>
    <definedName name="_xlnm._FilterDatabase" localSheetId="23"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6" i="57" l="1"/>
  <c r="C40" i="39" l="1"/>
  <c r="C12" i="39"/>
  <c r="F19" i="6" l="1"/>
  <c r="B6" i="4"/>
  <c r="D3" i="4"/>
  <c r="D7" i="59" l="1"/>
  <c r="AH5" i="59" l="1"/>
  <c r="AG5" i="59"/>
  <c r="AE5" i="59"/>
  <c r="AF5" i="59" s="1"/>
  <c r="AD5" i="59"/>
  <c r="Q5" i="59"/>
  <c r="P5" i="59"/>
  <c r="O5" i="59"/>
  <c r="N5" i="59"/>
  <c r="I3" i="59" l="1"/>
  <c r="L3" i="59"/>
  <c r="K3" i="59"/>
  <c r="J3" i="59"/>
  <c r="AE6" i="59" l="1"/>
  <c r="AF6" i="59" s="1"/>
  <c r="AG6" i="59"/>
  <c r="AH6" i="59"/>
  <c r="AD6" i="59"/>
  <c r="Q6" i="59" l="1"/>
  <c r="AB5" i="59" s="1"/>
  <c r="P6" i="59"/>
  <c r="AA5" i="59" s="1"/>
  <c r="O6" i="59"/>
  <c r="Y5" i="59" s="1"/>
  <c r="Z5" i="59" s="1"/>
  <c r="N6" i="59"/>
  <c r="X5" i="59" s="1"/>
  <c r="N7" i="59" l="1"/>
  <c r="Q7" i="59"/>
  <c r="P7" i="59"/>
  <c r="O7" i="59"/>
  <c r="K59" i="15" l="1"/>
  <c r="P62" i="15" s="1"/>
  <c r="P75" i="15" l="1"/>
  <c r="Q74" i="44" l="1"/>
  <c r="Q61" i="44"/>
  <c r="Q60" i="44"/>
  <c r="Q53" i="44"/>
  <c r="J51" i="44"/>
  <c r="J52" i="44" s="1"/>
  <c r="M48" i="44"/>
  <c r="A16" i="55" l="1"/>
  <c r="A15" i="55"/>
  <c r="A14" i="55"/>
  <c r="A11" i="55"/>
  <c r="A10" i="55"/>
  <c r="A9" i="55"/>
  <c r="A8" i="55"/>
  <c r="A6" i="54"/>
  <c r="A8" i="54"/>
  <c r="A7" i="54"/>
  <c r="A28" i="51"/>
  <c r="A27" i="51"/>
  <c r="D5" i="46" l="1"/>
  <c r="Q8" i="59" l="1"/>
  <c r="AB6" i="59" s="1"/>
  <c r="O8" i="59"/>
  <c r="Y6" i="59" s="1"/>
  <c r="Z6" i="59" s="1"/>
  <c r="N9" i="59"/>
  <c r="O9" i="59"/>
  <c r="P9" i="59"/>
  <c r="Q9" i="59"/>
  <c r="N8" i="59"/>
  <c r="X6" i="59" s="1"/>
  <c r="P8" i="59"/>
  <c r="AA6" i="59" s="1"/>
  <c r="B10" i="59"/>
  <c r="C10" i="59"/>
  <c r="D10" i="59" s="1"/>
  <c r="E10" i="59"/>
  <c r="F10" i="59"/>
  <c r="B12" i="67"/>
  <c r="E8" i="67"/>
  <c r="F8" i="67"/>
  <c r="F9" i="67"/>
  <c r="E11" i="67"/>
  <c r="F13" i="67"/>
  <c r="E14" i="67"/>
  <c r="B10" i="67"/>
  <c r="B9" i="67"/>
  <c r="E13" i="67"/>
  <c r="E9" i="67"/>
  <c r="F12" i="67"/>
  <c r="F14" i="67"/>
  <c r="E12" i="67"/>
  <c r="B13" i="67"/>
  <c r="F10" i="67"/>
  <c r="B8" i="67"/>
  <c r="B14" i="67"/>
  <c r="B11" i="67"/>
  <c r="E10" i="67"/>
  <c r="F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10" i="59" l="1"/>
  <c r="U10" i="59"/>
  <c r="T10" i="59"/>
  <c r="S10" i="59"/>
  <c r="B9" i="59" l="1"/>
  <c r="B8" i="59" s="1"/>
  <c r="B6" i="59" s="1"/>
  <c r="E9" i="59"/>
  <c r="E8" i="59" s="1"/>
  <c r="E6" i="59" s="1"/>
  <c r="C9" i="59"/>
  <c r="F9" i="59"/>
  <c r="F8" i="59" s="1"/>
  <c r="F6" i="59" s="1"/>
  <c r="F5" i="59" l="1"/>
  <c r="V6" i="59"/>
  <c r="E5" i="59"/>
  <c r="U6" i="59"/>
  <c r="B5" i="59"/>
  <c r="S6" i="59"/>
  <c r="D9" i="59"/>
  <c r="C8"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AB20" i="59"/>
  <c r="AA20" i="59"/>
  <c r="Y20" i="59"/>
  <c r="X20" i="59"/>
  <c r="D8" i="59" l="1"/>
  <c r="S2" i="31"/>
  <c r="M2" i="31"/>
  <c r="N2" i="31"/>
  <c r="O2" i="31"/>
  <c r="P2" i="31"/>
  <c r="Q2" i="31"/>
  <c r="R2" i="31"/>
  <c r="C6" i="59" l="1"/>
  <c r="C3" i="65"/>
  <c r="C1" i="65"/>
  <c r="N1" i="65" s="1"/>
  <c r="N7" i="65"/>
  <c r="C5" i="59" l="1"/>
  <c r="D5" i="59" s="1"/>
  <c r="T6" i="59"/>
  <c r="D6" i="59"/>
  <c r="H1" i="65"/>
  <c r="B76" i="63"/>
  <c r="N3" i="65"/>
  <c r="J3" i="65"/>
  <c r="I6" i="65"/>
  <c r="N6" i="65"/>
  <c r="J4" i="65"/>
  <c r="J7" i="65"/>
  <c r="I7" i="65"/>
  <c r="I4" i="65"/>
  <c r="I3" i="65"/>
  <c r="N4" i="65"/>
  <c r="J6" i="65"/>
  <c r="N5" i="65"/>
  <c r="J5" i="65"/>
  <c r="I5"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F20" i="59" s="1"/>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Q15" i="59"/>
  <c r="F16" i="59" s="1"/>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Q11" i="59"/>
  <c r="F12" i="59" s="1"/>
  <c r="P11" i="59"/>
  <c r="O11" i="59"/>
  <c r="C12" i="59" s="1"/>
  <c r="N11" i="59"/>
  <c r="B12" i="59" s="1"/>
  <c r="D11" i="59"/>
  <c r="X3" i="59" l="1"/>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P47" i="59" l="1"/>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T42" i="59" l="1"/>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I23" i="57"/>
  <c r="D20" i="57"/>
  <c r="I19" i="57"/>
  <c r="I18" i="57"/>
  <c r="I17" i="57"/>
  <c r="I20" i="57" s="1"/>
  <c r="E15" i="57"/>
  <c r="I14" i="57"/>
  <c r="I13" i="57"/>
  <c r="I12" i="57"/>
  <c r="I15" i="57" s="1"/>
  <c r="I9" i="57"/>
  <c r="I8" i="57"/>
  <c r="I7" i="57"/>
  <c r="I5" i="57"/>
  <c r="I4" i="57"/>
  <c r="I3" i="57"/>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AA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J29" i="39"/>
  <c r="AC29" i="39" s="1"/>
  <c r="AB21" i="39"/>
  <c r="U21" i="39"/>
  <c r="AB33" i="36"/>
  <c r="AA11" i="36"/>
  <c r="AA14" i="35"/>
  <c r="S14" i="35"/>
  <c r="G99" i="37"/>
  <c r="F33" i="37" s="1"/>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AA37" i="39" l="1"/>
  <c r="U39" i="39"/>
  <c r="AB19" i="39"/>
  <c r="I10" i="57"/>
  <c r="I21" i="57" s="1"/>
  <c r="D1" i="57" s="1"/>
  <c r="AB25" i="39"/>
  <c r="S23" i="39"/>
  <c r="U27" i="39"/>
  <c r="W27" i="39"/>
  <c r="S33" i="39"/>
  <c r="AB17" i="39"/>
  <c r="S17" i="39"/>
  <c r="U34" i="39"/>
  <c r="AB44" i="39"/>
  <c r="AC43" i="39"/>
  <c r="AC33" i="39"/>
  <c r="AB29" i="39"/>
  <c r="AB16" i="39"/>
  <c r="C18" i="9"/>
  <c r="A30" i="64"/>
  <c r="A30" i="51"/>
  <c r="C110" i="9"/>
  <c r="C10" i="15"/>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J17" i="44"/>
  <c r="F39" i="44"/>
  <c r="M25" i="44"/>
  <c r="M26" i="15"/>
  <c r="F15" i="44"/>
  <c r="F16" i="15"/>
  <c r="L48" i="44"/>
  <c r="M10" i="44"/>
  <c r="F42" i="15"/>
  <c r="J36" i="15"/>
  <c r="M29" i="44"/>
  <c r="M8" i="44"/>
  <c r="F10" i="44"/>
  <c r="F36" i="15"/>
  <c r="M26" i="44"/>
  <c r="F28" i="44"/>
  <c r="F40" i="15"/>
  <c r="M28" i="44"/>
  <c r="M22" i="15"/>
  <c r="F7" i="15"/>
  <c r="L48" i="15"/>
  <c r="F40" i="44"/>
  <c r="F8" i="44"/>
  <c r="M8" i="15"/>
  <c r="L47" i="15"/>
  <c r="M23" i="15"/>
  <c r="M31" i="44"/>
  <c r="M6" i="15"/>
  <c r="F9" i="44"/>
  <c r="F8" i="15"/>
  <c r="L49" i="44"/>
  <c r="F11" i="44"/>
  <c r="F37" i="15"/>
  <c r="M9" i="15"/>
  <c r="F43" i="15"/>
  <c r="M27" i="15"/>
  <c r="F38" i="15"/>
  <c r="F45" i="44"/>
  <c r="M11" i="44"/>
  <c r="M30" i="44"/>
  <c r="F18" i="44"/>
  <c r="M29" i="15"/>
  <c r="F9" i="15"/>
  <c r="F43" i="44"/>
  <c r="F13" i="15"/>
  <c r="M24" i="44"/>
  <c r="F26" i="15"/>
  <c r="M28" i="15"/>
  <c r="F38" i="44"/>
  <c r="M24" i="15"/>
  <c r="J15" i="15"/>
  <c r="E10" i="57" l="1"/>
  <c r="C27" i="57"/>
  <c r="C31" i="57" s="1"/>
  <c r="G3" i="46"/>
  <c r="H22" i="46" s="1"/>
  <c r="C13" i="39"/>
  <c r="AB11" i="46"/>
  <c r="AB13" i="46" s="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Q72" i="15"/>
  <c r="F50" i="15"/>
  <c r="F63" i="15"/>
  <c r="F67" i="15"/>
  <c r="M7" i="15"/>
  <c r="F49" i="15"/>
  <c r="F70" i="15"/>
  <c r="L56" i="15"/>
  <c r="J57" i="15"/>
  <c r="J55" i="15" s="1"/>
  <c r="J58" i="15" s="1"/>
  <c r="Q51" i="15" s="1"/>
  <c r="F65" i="15"/>
  <c r="G66" i="36"/>
  <c r="J18" i="36"/>
  <c r="AE8" i="1"/>
  <c r="AE7" i="1"/>
  <c r="M17" i="15"/>
  <c r="M19" i="44"/>
  <c r="F33" i="44"/>
  <c r="F31" i="15"/>
  <c r="F58" i="15"/>
  <c r="C15" i="12"/>
  <c r="F46" i="44"/>
  <c r="C16" i="15"/>
  <c r="C18" i="44"/>
  <c r="AE6" i="1"/>
  <c r="C30" i="57" l="1"/>
  <c r="C32" i="57"/>
  <c r="F13" i="39"/>
  <c r="H13" i="39"/>
  <c r="J13" i="39"/>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12" i="11"/>
  <c r="C12" i="11" s="1"/>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C48" i="15"/>
  <c r="AB12" i="39"/>
  <c r="C20" i="11"/>
  <c r="C21" i="11" s="1"/>
  <c r="C22" i="11" s="1"/>
  <c r="C23" i="11" s="1"/>
  <c r="B2" i="11" s="1"/>
  <c r="AC12" i="40"/>
  <c r="W12" i="40"/>
  <c r="E46" i="37"/>
  <c r="F46" i="37" s="1"/>
  <c r="C48" i="33"/>
  <c r="C49" i="33"/>
  <c r="B3" i="33" s="1"/>
  <c r="B2" i="33" s="1"/>
  <c r="D21" i="12"/>
  <c r="F33" i="12"/>
  <c r="F7" i="67"/>
  <c r="L52" i="44"/>
  <c r="F41" i="15"/>
  <c r="F68" i="15" l="1"/>
  <c r="C34" i="12"/>
  <c r="D33" i="12" s="1"/>
  <c r="C21" i="12"/>
  <c r="E26" i="57"/>
  <c r="E39" i="57" s="1"/>
  <c r="AB13" i="39"/>
  <c r="U13" i="39"/>
  <c r="AC13" i="39"/>
  <c r="W13" i="39"/>
  <c r="AA13" i="39"/>
  <c r="S13" i="39"/>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B3" i="11"/>
  <c r="C19" i="44"/>
  <c r="E7" i="67"/>
  <c r="C17" i="15"/>
  <c r="U6" i="1" l="1"/>
  <c r="E40" i="57"/>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D16" i="12"/>
  <c r="F6" i="15"/>
  <c r="B7" i="67"/>
  <c r="C6" i="15" l="1"/>
  <c r="C5" i="15" s="1"/>
  <c r="C32" i="15" s="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3" i="12"/>
  <c r="D22" i="12"/>
  <c r="C16" i="44"/>
  <c r="C14" i="15"/>
  <c r="C38" i="15" l="1"/>
  <c r="C22" i="12"/>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M23" i="44"/>
  <c r="F35"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C26" i="15"/>
  <c r="C29" i="15" s="1"/>
  <c r="J59" i="15" s="1"/>
  <c r="J60" i="15" s="1"/>
  <c r="C23" i="12"/>
  <c r="C19" i="43"/>
  <c r="C22" i="43" s="1"/>
  <c r="C21" i="43" s="1"/>
  <c r="K67" i="40"/>
  <c r="L65" i="40"/>
  <c r="K72" i="39"/>
  <c r="L70" i="39"/>
  <c r="Q49" i="15" l="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C10" i="12"/>
  <c r="C46" i="15"/>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L46" i="15"/>
  <c r="B2" i="15" s="1"/>
  <c r="Q76" i="15"/>
  <c r="Q58" i="15"/>
  <c r="Q63" i="15" s="1"/>
  <c r="E54" i="39"/>
  <c r="F54" i="39" s="1"/>
  <c r="E53" i="39"/>
  <c r="F53" i="39" s="1"/>
  <c r="E48" i="40"/>
  <c r="F48" i="40" s="1"/>
  <c r="E49" i="40"/>
  <c r="F49" i="40" s="1"/>
  <c r="C50" i="39"/>
  <c r="C49" i="39"/>
  <c r="I54" i="39"/>
  <c r="J54" i="39" s="1"/>
  <c r="C45" i="40"/>
  <c r="C44" i="40"/>
  <c r="I49" i="40"/>
  <c r="J49" i="40" s="1"/>
  <c r="B3" i="15" l="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8" i="12" l="1"/>
  <c r="C6" i="12" s="1"/>
  <c r="F68" i="39"/>
  <c r="B2" i="39" s="1"/>
  <c r="F63" i="40"/>
  <c r="B2" i="40" s="1"/>
  <c r="C19" i="9"/>
  <c r="C24" i="12" l="1"/>
  <c r="C29" i="12"/>
  <c r="L43" i="9"/>
  <c r="B3" i="40"/>
  <c r="B4" i="40"/>
  <c r="B5" i="40"/>
  <c r="B3" i="39"/>
  <c r="B4" i="39"/>
  <c r="B5" i="39"/>
  <c r="C20" i="9"/>
  <c r="C21" i="9"/>
  <c r="C28" i="12" l="1"/>
  <c r="C26" i="12" s="1"/>
  <c r="C31" i="12" s="1"/>
  <c r="C30" i="12" s="1"/>
  <c r="C35" i="12"/>
  <c r="C33" i="12" s="1"/>
  <c r="C45" i="9"/>
  <c r="H14" i="66" s="1"/>
  <c r="B7" i="66" s="1"/>
  <c r="C36" i="12" l="1"/>
  <c r="B2" i="12" s="1"/>
  <c r="B3" i="12" s="1"/>
  <c r="D7" i="66"/>
  <c r="C7" i="66"/>
  <c r="D19" i="9"/>
  <c r="D20" i="9"/>
  <c r="B4" i="12" l="1"/>
  <c r="L44" i="9"/>
  <c r="G19" i="9"/>
  <c r="G22" i="9" s="1"/>
  <c r="D22" i="9"/>
  <c r="B5" i="12"/>
  <c r="G20" i="9"/>
  <c r="C32" i="9"/>
  <c r="D45" i="9"/>
  <c r="E45" i="9"/>
  <c r="O40" i="9"/>
  <c r="F45" i="9"/>
  <c r="D21" i="9"/>
  <c r="N43" i="9" l="1"/>
  <c r="G21" i="9"/>
  <c r="O38" i="9"/>
  <c r="C33" i="9"/>
  <c r="C35" i="9"/>
  <c r="F42" i="9" s="1"/>
  <c r="C42" i="9"/>
  <c r="C34" i="9"/>
  <c r="O43" i="9"/>
  <c r="K31" i="9"/>
  <c r="K32" i="9" s="1"/>
  <c r="R7" i="54"/>
  <c r="B52" i="63" s="1"/>
  <c r="D14" i="66" l="1"/>
  <c r="N68" i="9"/>
  <c r="C44" i="9"/>
  <c r="R5" i="54"/>
  <c r="B48" i="63" s="1"/>
  <c r="D63" i="9"/>
  <c r="N38" i="9"/>
  <c r="K28" i="9" s="1"/>
  <c r="D42" i="9"/>
  <c r="Q5" i="54" s="1"/>
  <c r="B47" i="63" s="1"/>
  <c r="M38" i="9"/>
  <c r="K27" i="9" s="1"/>
  <c r="E42" i="9"/>
  <c r="P5" i="54" s="1"/>
  <c r="B46" i="63" s="1"/>
  <c r="K25" i="9"/>
  <c r="K26" i="9"/>
  <c r="C111" i="9" l="1"/>
  <c r="C104" i="9" s="1"/>
  <c r="C96" i="9"/>
  <c r="C91" i="9" s="1"/>
  <c r="D71" i="9"/>
  <c r="D66" i="9" s="1"/>
  <c r="N72" i="9" s="1"/>
  <c r="D77" i="9"/>
  <c r="N75" i="9" s="1"/>
  <c r="C103" i="9"/>
  <c r="C113" i="9" s="1"/>
  <c r="C114" i="9" s="1"/>
  <c r="E114" i="9" s="1"/>
  <c r="E115" i="9" s="1"/>
  <c r="C90" i="9"/>
  <c r="C97" i="9" s="1"/>
  <c r="C98" i="9" s="1"/>
  <c r="E98" i="9" s="1"/>
  <c r="E99" i="9" s="1"/>
  <c r="D70" i="9"/>
  <c r="C82" i="9"/>
  <c r="C81" i="9" s="1"/>
  <c r="C85" i="9" s="1"/>
  <c r="C86" i="9" s="1"/>
  <c r="D72" i="9" s="1"/>
  <c r="G14" i="66"/>
  <c r="B6" i="66" s="1"/>
  <c r="F44" i="9"/>
  <c r="O39" i="9"/>
  <c r="E44" i="9"/>
  <c r="N69" i="9"/>
  <c r="D44" i="9"/>
  <c r="F14" i="66"/>
  <c r="E14" i="66"/>
  <c r="B5" i="66"/>
  <c r="C99" i="9"/>
  <c r="C115" i="9" l="1"/>
  <c r="D76" i="9" s="1"/>
  <c r="D74" i="9" s="1"/>
  <c r="N74" i="9" s="1"/>
  <c r="C5" i="66"/>
  <c r="D5" i="66"/>
  <c r="M84" i="9"/>
  <c r="N84" i="9" s="1"/>
  <c r="M87" i="9"/>
  <c r="N87" i="9" s="1"/>
  <c r="M83" i="9"/>
  <c r="N83" i="9" s="1"/>
  <c r="M86" i="9"/>
  <c r="N86" i="9" s="1"/>
  <c r="M88" i="9"/>
  <c r="N88" i="9" s="1"/>
  <c r="M85" i="9"/>
  <c r="N85" i="9" s="1"/>
  <c r="K29" i="9"/>
  <c r="K30" i="9" s="1"/>
  <c r="R6" i="54"/>
  <c r="B50" i="63" s="1"/>
  <c r="D6" i="66"/>
  <c r="C6" i="66"/>
  <c r="N76" i="9"/>
  <c r="O77" i="9" l="1"/>
  <c r="O78" i="9" s="1"/>
  <c r="N89" i="9"/>
  <c r="O89" i="9" s="1"/>
  <c r="Q77" i="9" l="1"/>
  <c r="O79" i="9"/>
  <c r="C46" i="9" s="1"/>
  <c r="K33" i="9" s="1"/>
  <c r="F46" i="9"/>
  <c r="O41" i="9"/>
  <c r="I14" i="66"/>
  <c r="B8" i="66" s="1"/>
  <c r="E46" i="9"/>
  <c r="D46" i="9"/>
  <c r="K34" i="9"/>
  <c r="C8" i="66"/>
  <c r="D8" i="66"/>
  <c r="R8" i="54"/>
  <c r="B54" i="63" s="1"/>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<sst xmlns="http://schemas.openxmlformats.org/spreadsheetml/2006/main" count="6896" uniqueCount="3039">
  <si>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</si>
  <si>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</si>
  <si>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</si>
  <si>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</si>
  <si>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</si>
  <si>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</si>
  <si>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</si>
  <si>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</si>
  <si>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</si>
  <si>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</si>
  <si>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</si>
  <si>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</si>
  <si>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</si>
  <si>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</si>
  <si>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</si>
  <si>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</si>
  <si>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</si>
  <si>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</si>
  <si>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</si>
  <si>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</si>
  <si>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</si>
  <si>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</si>
  <si>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</si>
  <si>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</si>
  <si>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</si>
  <si>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</si>
  <si>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</si>
  <si>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</si>
  <si>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</si>
  <si>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</si>
  <si>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</si>
  <si>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</si>
  <si>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</si>
  <si>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</si>
  <si>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</si>
  <si>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</si>
  <si>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</si>
  <si>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</si>
  <si>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</si>
  <si>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</si>
  <si>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</si>
  <si>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</si>
  <si>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</si>
  <si>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</si>
  <si>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</si>
  <si>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</si>
  <si>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</si>
  <si>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</si>
  <si>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</si>
  <si>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</si>
  <si>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</si>
  <si>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</si>
  <si>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</si>
  <si>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</si>
  <si>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</si>
  <si>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</si>
  <si>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</si>
  <si>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</si>
  <si>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</si>
  <si>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</si>
  <si>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</si>
  <si>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</si>
  <si>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</si>
  <si>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</si>
  <si>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</si>
  <si>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</si>
  <si>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</si>
  <si>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</si>
  <si>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</si>
  <si>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</si>
  <si>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</si>
  <si>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</si>
  <si>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</si>
  <si>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</si>
  <si>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</si>
  <si>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</si>
  <si>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</si>
  <si>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</si>
  <si>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</si>
  <si>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</si>
  <si>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</si>
  <si>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</si>
  <si>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</si>
  <si>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</si>
  <si>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</si>
  <si>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</si>
  <si>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</si>
  <si>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</si>
  <si>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</si>
  <si>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</si>
  <si>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</si>
  <si>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</si>
  <si>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</si>
  <si>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</si>
  <si>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</si>
  <si>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</si>
  <si>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</si>
  <si>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</si>
  <si>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</si>
  <si>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</si>
  <si>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</si>
  <si>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</si>
  <si>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</si>
  <si>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</si>
  <si>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</si>
  <si>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</si>
  <si>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</si>
  <si>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</si>
  <si>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</si>
  <si>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</si>
  <si>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</si>
  <si>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</si>
  <si>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</si>
  <si>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</si>
  <si>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</si>
  <si>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</si>
  <si>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</si>
  <si>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</si>
  <si>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</si>
  <si>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</si>
  <si>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</si>
  <si>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</si>
  <si>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</si>
  <si>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</si>
  <si>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</si>
  <si>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</si>
  <si>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</si>
  <si>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</si>
  <si>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</si>
  <si>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</si>
  <si>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</si>
  <si>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</si>
  <si>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</si>
  <si>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</si>
  <si>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</si>
  <si>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</si>
  <si>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</si>
  <si>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</si>
  <si>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</si>
  <si>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</si>
  <si>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</si>
  <si>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</si>
  <si>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</si>
  <si>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</si>
  <si>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</si>
  <si>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</si>
  <si>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</si>
  <si>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</si>
  <si>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</si>
  <si>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</si>
  <si>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</si>
  <si>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</si>
  <si>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</si>
  <si>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</si>
  <si>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</si>
  <si>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</si>
  <si>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</si>
  <si>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</si>
  <si>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</si>
  <si>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</si>
  <si>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</si>
  <si>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</si>
  <si>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</si>
  <si>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</si>
  <si>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</si>
  <si>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</si>
  <si>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</si>
  <si>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</si>
  <si>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</si>
  <si>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</si>
  <si>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</si>
  <si>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</si>
  <si>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</si>
  <si>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</si>
  <si>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</si>
  <si>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</si>
  <si>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</si>
  <si>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</si>
  <si>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</si>
  <si>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</si>
  <si>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</si>
  <si>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</si>
  <si>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</si>
  <si>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</si>
  <si>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</si>
  <si>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</si>
  <si>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</si>
  <si>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</si>
  <si>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</si>
  <si>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</si>
  <si>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</si>
  <si>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</si>
  <si>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</si>
  <si>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</si>
  <si>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</si>
  <si>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</si>
  <si>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</si>
  <si>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</si>
  <si>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</si>
  <si>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</si>
  <si>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</si>
  <si>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</si>
  <si>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</si>
  <si>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</si>
  <si>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</si>
  <si>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</si>
  <si>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</si>
  <si>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</si>
  <si>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</si>
  <si>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</si>
  <si>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</si>
  <si>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</si>
  <si>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</si>
  <si>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</si>
  <si>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</si>
  <si>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</si>
  <si>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</si>
  <si>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</si>
  <si>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</si>
  <si>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</si>
  <si>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</si>
  <si>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</si>
  <si>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</si>
  <si>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</si>
  <si>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</si>
  <si>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</si>
  <si>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</si>
  <si>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</si>
  <si>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</si>
  <si>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</si>
  <si>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</si>
  <si>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</si>
  <si>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</si>
  <si>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</si>
  <si>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</si>
  <si>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</si>
  <si>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</si>
  <si>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</si>
  <si>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</si>
  <si>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</si>
  <si>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</si>
  <si>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</si>
  <si>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</si>
  <si>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</si>
  <si>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</si>
  <si>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</si>
  <si>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</si>
  <si>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</si>
  <si>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</si>
  <si>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</si>
  <si>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</si>
  <si>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</si>
  <si>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</si>
  <si>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</si>
  <si>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</si>
  <si>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</si>
  <si>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</si>
  <si>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</si>
  <si>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</si>
  <si>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</si>
  <si>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</si>
  <si>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</si>
  <si>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</si>
  <si>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</si>
  <si>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</si>
  <si>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</si>
  <si>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</si>
  <si>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</si>
  <si>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</si>
  <si>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</si>
  <si>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</si>
  <si>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</si>
  <si>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</si>
  <si>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</si>
  <si>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</si>
  <si>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</si>
  <si>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</si>
  <si>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</si>
  <si>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</si>
  <si>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</si>
  <si>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</si>
  <si>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</si>
  <si>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</si>
  <si>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</si>
  <si>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</si>
  <si>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</si>
  <si>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</si>
  <si>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</si>
  <si>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</si>
  <si>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</si>
  <si>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</si>
  <si>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</si>
  <si>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</si>
  <si>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</si>
  <si>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</si>
  <si>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</si>
  <si>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</si>
  <si>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</si>
  <si>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</si>
  <si>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</si>
  <si>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</si>
  <si>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</si>
  <si>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</si>
  <si>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</si>
  <si>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</si>
  <si>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</si>
  <si>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</si>
  <si>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</si>
  <si>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</si>
  <si>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</si>
  <si>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</si>
  <si>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</si>
  <si>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</si>
  <si>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</si>
  <si>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</si>
  <si>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</si>
  <si>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</si>
  <si>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</si>
  <si>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</si>
  <si>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</si>
  <si>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</si>
  <si>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</si>
  <si>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</si>
  <si>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</si>
  <si>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</si>
  <si>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</si>
  <si>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</si>
  <si>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</si>
  <si>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</si>
  <si>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</si>
  <si>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</si>
  <si>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</si>
  <si>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</si>
  <si>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</si>
  <si>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</si>
  <si>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</si>
  <si>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</si>
  <si>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</si>
  <si>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</si>
  <si>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</si>
  <si>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</si>
  <si>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</si>
  <si>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</si>
  <si>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</si>
  <si>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</si>
  <si>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</si>
  <si>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</si>
  <si>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</si>
  <si>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</si>
  <si>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</si>
  <si>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</si>
  <si>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</si>
  <si>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</si>
  <si>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</si>
  <si>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</si>
  <si>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</si>
  <si>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</si>
  <si>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</si>
  <si>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</si>
  <si>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</si>
  <si>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</si>
  <si>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</si>
  <si>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</si>
  <si>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</si>
  <si>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</si>
  <si>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</si>
  <si>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</si>
  <si>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</si>
  <si>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</si>
  <si>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</si>
  <si>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</si>
  <si>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</si>
  <si>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</si>
  <si>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</si>
  <si>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</si>
  <si>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</si>
  <si>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</si>
  <si>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</si>
  <si>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</si>
  <si>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</si>
  <si>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</si>
  <si>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</si>
  <si>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</si>
  <si>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</si>
  <si>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</si>
  <si>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</si>
  <si>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</si>
  <si>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</si>
  <si>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</si>
  <si>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</si>
  <si>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</si>
  <si>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</si>
  <si>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</si>
  <si>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</si>
  <si>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</si>
  <si>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</si>
  <si>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</si>
  <si>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</si>
  <si>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</si>
  <si>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</si>
  <si>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</si>
  <si>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</si>
  <si>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</si>
  <si>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</si>
  <si>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</si>
  <si>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</si>
  <si>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</si>
  <si>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</si>
  <si>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</si>
  <si>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</si>
  <si>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</si>
  <si>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</si>
  <si>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</si>
  <si>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</si>
  <si>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</si>
  <si>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</si>
  <si>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</si>
  <si>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</si>
  <si>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</si>
  <si>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</si>
  <si>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</si>
  <si>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</si>
  <si>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</si>
  <si>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</si>
  <si>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</si>
  <si>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</si>
  <si>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</si>
  <si>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</si>
  <si>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</si>
  <si>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</si>
  <si>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</si>
  <si>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</si>
  <si>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</si>
  <si>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</si>
  <si>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</si>
  <si>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</si>
  <si>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</si>
  <si>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</si>
  <si>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</si>
  <si>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</si>
  <si>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</si>
  <si>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</si>
  <si>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</si>
  <si>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</si>
  <si>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</si>
  <si>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</si>
  <si>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</si>
  <si>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</si>
  <si>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</si>
  <si>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</si>
  <si>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</si>
  <si>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</si>
  <si>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</si>
  <si>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</si>
  <si>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</si>
  <si>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</si>
  <si>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</si>
  <si>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</si>
  <si>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</si>
  <si>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</si>
  <si>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</si>
  <si>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</si>
  <si>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</si>
  <si>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</si>
  <si>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</si>
  <si>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</si>
  <si>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</si>
  <si>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</si>
  <si>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</si>
  <si>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</si>
  <si>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</si>
  <si>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</si>
  <si>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</si>
  <si>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</si>
  <si>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</si>
  <si>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</si>
  <si>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</si>
  <si>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</si>
  <si>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</si>
  <si>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</si>
  <si>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</si>
  <si>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</si>
  <si>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</si>
  <si>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</si>
  <si>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</si>
  <si>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</si>
  <si>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</si>
  <si>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</si>
  <si>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</si>
  <si>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</si>
  <si>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</si>
  <si>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</si>
  <si>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</si>
  <si>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</si>
  <si>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</si>
  <si>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</si>
  <si>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</si>
  <si>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</si>
  <si>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</si>
  <si>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</si>
  <si>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</si>
  <si>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</si>
  <si>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</si>
  <si>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</si>
  <si>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</si>
  <si>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</si>
  <si>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</si>
  <si>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</si>
  <si>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</si>
  <si>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</si>
  <si>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</si>
  <si>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</si>
  <si>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</si>
  <si>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</si>
  <si>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</si>
  <si>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</si>
  <si>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</si>
  <si>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</si>
  <si>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</si>
  <si>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</si>
  <si>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</si>
  <si>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</si>
  <si>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</si>
  <si>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</si>
  <si>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</si>
  <si>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</si>
  <si>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</si>
  <si>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</si>
  <si>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</si>
  <si>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</si>
  <si>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</si>
  <si>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</si>
  <si>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</si>
  <si>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</si>
  <si>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</si>
  <si>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</si>
  <si>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</si>
  <si>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</si>
  <si>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</si>
  <si>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</si>
  <si>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</si>
  <si>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</si>
  <si>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</si>
  <si>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</si>
  <si>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</si>
  <si>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</si>
  <si>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</si>
  <si>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</si>
  <si>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</si>
  <si>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</si>
  <si>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</si>
  <si>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</si>
  <si>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</si>
  <si>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</si>
  <si>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</si>
  <si>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</si>
  <si>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</si>
  <si>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</si>
  <si>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</si>
  <si>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</si>
  <si>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</si>
  <si>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</si>
  <si>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</si>
  <si>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</si>
  <si>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</si>
  <si>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</si>
  <si>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</si>
  <si>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</si>
  <si>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</si>
  <si>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</si>
  <si>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</si>
  <si>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</si>
  <si>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</si>
  <si>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</si>
  <si>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</si>
  <si>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</si>
  <si>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</si>
  <si>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</si>
  <si>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</si>
  <si>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</si>
  <si>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</si>
  <si>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</si>
  <si>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</si>
  <si>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</si>
  <si>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</si>
  <si>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</si>
  <si>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</si>
  <si>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</si>
  <si>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</si>
  <si>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</si>
  <si>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</si>
  <si>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</si>
  <si>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</si>
  <si>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</si>
  <si>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</si>
  <si>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</si>
  <si>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</si>
  <si>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</si>
  <si>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</si>
  <si>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</si>
  <si>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</si>
  <si>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</si>
  <si>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</si>
  <si>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</si>
  <si>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</si>
  <si>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</si>
  <si>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</si>
  <si>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</si>
  <si>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</si>
  <si>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</si>
  <si>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</si>
  <si>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</si>
  <si>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</si>
  <si>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</si>
  <si>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</si>
  <si>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</si>
  <si>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</si>
  <si>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</si>
  <si>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</si>
  <si>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</si>
  <si>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</si>
  <si>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</si>
  <si>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</si>
  <si>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</si>
  <si>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</si>
  <si>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</si>
  <si>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</si>
  <si>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</si>
  <si>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</si>
  <si>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</si>
  <si>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</si>
  <si>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</si>
  <si>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</si>
  <si>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</si>
  <si>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</si>
  <si>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</si>
  <si>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</si>
  <si>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</si>
  <si>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</si>
  <si>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</si>
  <si>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</si>
  <si>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</si>
  <si>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</si>
  <si>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</si>
  <si>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</si>
  <si>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</si>
  <si>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</si>
  <si>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</si>
  <si>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</si>
  <si>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</si>
  <si>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</si>
  <si>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</si>
  <si>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</si>
  <si>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</si>
  <si>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</si>
  <si>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</si>
  <si>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</si>
  <si>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</si>
  <si>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</si>
  <si>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</si>
  <si>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</si>
  <si>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</si>
  <si>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</si>
  <si>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</si>
  <si>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</si>
  <si>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</si>
  <si>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</si>
  <si>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</si>
  <si>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</si>
  <si>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</si>
  <si>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</si>
  <si>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</si>
  <si>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</si>
  <si>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</si>
  <si>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</si>
  <si>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</si>
  <si>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</si>
  <si>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</si>
  <si>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</si>
  <si>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</si>
  <si>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</si>
  <si>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</si>
  <si>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</si>
  <si>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</si>
  <si>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</si>
  <si>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</si>
  <si>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</si>
  <si>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</si>
  <si>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</si>
  <si>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</si>
  <si>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</si>
  <si>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</si>
  <si>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</si>
  <si>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</si>
  <si>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</si>
  <si>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</si>
  <si>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</si>
  <si>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</si>
  <si>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</si>
  <si>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</si>
  <si>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</si>
  <si>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</si>
  <si>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</si>
  <si>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</si>
  <si>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</si>
  <si>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</si>
  <si>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</si>
  <si>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</si>
  <si>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</si>
  <si>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</si>
  <si>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</si>
  <si>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</si>
  <si>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</si>
  <si>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</si>
  <si>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</si>
  <si>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</si>
  <si>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</si>
  <si>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</si>
  <si>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</si>
  <si>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</si>
  <si>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</si>
  <si>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</si>
  <si>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</si>
  <si>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</si>
  <si>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</si>
  <si>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</si>
  <si>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</si>
  <si>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</si>
  <si>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</si>
  <si>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</si>
  <si>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</si>
  <si>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</si>
  <si>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</si>
  <si>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</si>
  <si>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</si>
  <si>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</si>
  <si>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</si>
  <si>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</si>
  <si>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</si>
  <si>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</si>
  <si>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</si>
  <si>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</si>
  <si>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</si>
  <si>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</si>
  <si>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</si>
  <si>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</si>
  <si>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</si>
  <si>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</si>
  <si>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</si>
  <si>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</si>
  <si>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</si>
  <si>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</si>
  <si>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</si>
  <si>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</si>
  <si>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</si>
  <si>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</si>
  <si>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</si>
  <si>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</si>
  <si>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</si>
  <si>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</si>
  <si>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</si>
  <si>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</si>
  <si>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</si>
  <si>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</si>
  <si>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</si>
  <si>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</si>
  <si>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</si>
  <si>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</si>
  <si>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</si>
  <si>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</si>
  <si>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</si>
  <si>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</si>
  <si>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</si>
  <si>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</si>
  <si>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</si>
  <si>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</si>
  <si>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</si>
  <si>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</si>
  <si>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</si>
  <si>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</si>
  <si>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</si>
  <si>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</si>
  <si>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</si>
  <si>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</si>
  <si>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</si>
  <si>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</si>
  <si>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</si>
  <si>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</si>
  <si>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</si>
  <si>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</si>
  <si>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</si>
  <si>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</si>
  <si>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</si>
  <si>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</si>
  <si>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</si>
  <si>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</si>
  <si>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</si>
  <si>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</si>
  <si>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</si>
  <si>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</si>
  <si>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</si>
  <si>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</si>
  <si>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</si>
  <si>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</si>
  <si>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</si>
  <si>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</si>
  <si>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</si>
  <si>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</si>
  <si>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</si>
  <si>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</si>
  <si>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</si>
  <si>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</si>
  <si>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</si>
  <si>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</si>
  <si>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</si>
  <si>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</si>
  <si>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</si>
  <si>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</si>
  <si>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</si>
  <si>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</si>
  <si>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</si>
  <si>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</si>
  <si>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</si>
  <si>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</si>
  <si>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</si>
  <si>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</si>
  <si>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</si>
  <si>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</si>
  <si>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</si>
  <si>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</si>
  <si>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</si>
  <si>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</si>
  <si>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</si>
  <si>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</si>
  <si>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</si>
  <si>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</si>
  <si>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</si>
  <si>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</si>
  <si>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</si>
  <si>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</si>
  <si>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</si>
  <si>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</si>
  <si>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</si>
  <si>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</si>
  <si>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</si>
  <si>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</si>
  <si>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</si>
  <si>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</si>
  <si>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</si>
  <si>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</si>
  <si>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</si>
  <si>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</si>
  <si>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</si>
  <si>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</si>
  <si>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</si>
  <si>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</si>
  <si>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</si>
  <si>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</si>
  <si>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</si>
  <si>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</si>
  <si>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</si>
  <si>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</si>
  <si>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</si>
  <si>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</si>
  <si>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</si>
  <si>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</si>
  <si>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</si>
  <si>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</si>
  <si>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</si>
  <si>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</si>
  <si>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</si>
  <si>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</si>
  <si>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</si>
  <si>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</si>
  <si>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</si>
  <si>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</si>
  <si>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</si>
  <si>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</si>
  <si>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</si>
  <si>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</si>
  <si>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</si>
  <si>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</si>
  <si>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</si>
  <si>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</si>
  <si>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</si>
  <si>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</si>
  <si>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</si>
  <si>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</si>
  <si>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</si>
  <si>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</si>
  <si>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</si>
  <si>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</si>
  <si>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</si>
  <si>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</si>
  <si>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</si>
  <si>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</si>
  <si>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</si>
  <si>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</si>
  <si>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</si>
  <si>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</si>
  <si>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</si>
  <si>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</si>
  <si>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</si>
  <si>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</si>
  <si>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</si>
  <si>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</si>
  <si>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</si>
  <si>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</si>
  <si>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</si>
  <si>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</si>
  <si>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</si>
  <si>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</si>
  <si>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</si>
  <si>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</si>
  <si>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</si>
  <si>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</si>
  <si>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</si>
  <si>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</si>
  <si>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</si>
  <si>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</si>
  <si>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</si>
  <si>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</si>
  <si>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</si>
  <si>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</si>
  <si>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</si>
  <si>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</si>
  <si>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</si>
  <si>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</si>
  <si>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</si>
  <si>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</si>
  <si>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</si>
  <si>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</si>
  <si>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</si>
  <si>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</si>
  <si>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</si>
  <si>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</si>
  <si>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</si>
  <si>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</si>
  <si>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</si>
  <si>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</si>
  <si>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</si>
  <si>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</si>
  <si>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</si>
  <si>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</si>
  <si>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</si>
  <si>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</si>
  <si>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</si>
  <si>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</si>
  <si>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</si>
  <si>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</si>
  <si>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</si>
  <si>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</si>
  <si>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</si>
  <si>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</si>
  <si>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</si>
  <si>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</si>
  <si>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</si>
  <si>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</si>
  <si>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</si>
  <si>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</si>
  <si>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</si>
  <si>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</si>
  <si>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</si>
  <si>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</si>
  <si>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</si>
  <si>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</si>
  <si>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</si>
  <si>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</si>
  <si>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</si>
  <si>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</si>
  <si>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</si>
  <si>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</si>
  <si>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</si>
  <si>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</si>
  <si>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</si>
  <si>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</si>
  <si>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</si>
  <si>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</si>
  <si>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</si>
  <si>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</si>
  <si>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</si>
  <si>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</si>
  <si>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</si>
  <si>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</si>
  <si>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</si>
  <si>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</si>
  <si>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</si>
  <si>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</si>
  <si>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</si>
  <si>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</si>
  <si>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</si>
  <si>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</si>
  <si>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</si>
  <si>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</si>
  <si>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</si>
  <si>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</si>
  <si>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</si>
  <si>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</si>
  <si>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</si>
  <si>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</si>
  <si>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</si>
  <si>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</si>
  <si>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</si>
  <si>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</si>
  <si>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</si>
  <si>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</si>
  <si>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</si>
  <si>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</si>
  <si>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</si>
  <si>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</si>
  <si>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</si>
  <si>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</si>
  <si>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</si>
  <si>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</si>
  <si>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</si>
  <si>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</si>
  <si>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</si>
  <si>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</si>
  <si>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</si>
  <si>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</si>
  <si>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</si>
  <si>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</si>
  <si>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</si>
  <si>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</si>
  <si>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</si>
  <si>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</si>
  <si>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</si>
  <si>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</si>
  <si>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</si>
  <si>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</si>
  <si>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</si>
  <si>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</si>
  <si>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</si>
  <si>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</si>
  <si>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</si>
  <si>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</si>
  <si>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</si>
  <si>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</si>
  <si>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</si>
  <si>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</si>
  <si>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</si>
  <si>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</si>
  <si>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</si>
  <si>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</si>
  <si>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</si>
  <si>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</si>
  <si>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</si>
  <si>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</si>
  <si>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</si>
  <si>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</si>
  <si>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</si>
  <si>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</si>
  <si>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</si>
  <si>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</si>
  <si>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</si>
  <si>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</si>
  <si>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</si>
  <si>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</si>
  <si>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</si>
  <si>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</si>
  <si>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</si>
  <si>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</si>
  <si>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</si>
  <si>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</si>
  <si>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</si>
  <si>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</si>
  <si>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</si>
  <si>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</si>
  <si>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</si>
  <si>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</si>
  <si>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</si>
  <si>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</si>
  <si>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</si>
  <si>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</si>
  <si>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</si>
  <si>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</si>
  <si>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</si>
  <si>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</si>
  <si>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</si>
  <si>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</si>
  <si>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</si>
  <si>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</si>
  <si>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</si>
  <si>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</si>
  <si>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</si>
  <si>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</si>
  <si>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</si>
  <si>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</si>
  <si>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</si>
  <si>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</si>
  <si>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</si>
  <si>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</si>
  <si>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</si>
  <si>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</si>
  <si>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</si>
  <si>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</si>
  <si>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</si>
  <si>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</si>
  <si>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</si>
  <si>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</si>
  <si>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</si>
  <si>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</si>
  <si>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</si>
  <si>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</si>
  <si>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</si>
  <si>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</si>
  <si>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</si>
  <si>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</si>
  <si>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</si>
  <si>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</si>
  <si>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</si>
  <si>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</si>
  <si>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</si>
  <si>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</si>
  <si>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</si>
  <si>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</si>
  <si>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</si>
  <si>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</si>
  <si>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</si>
  <si>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</si>
  <si>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</si>
  <si>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</si>
  <si>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</si>
  <si>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</si>
  <si>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</si>
  <si>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</si>
  <si>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</si>
  <si>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</si>
  <si>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</si>
  <si>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</si>
  <si>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</si>
  <si>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</si>
  <si>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</si>
  <si>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</si>
  <si>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</si>
  <si>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</si>
  <si>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</si>
  <si>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</si>
  <si>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</si>
  <si>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</si>
  <si>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</si>
  <si>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</si>
  <si>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</si>
  <si>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</si>
  <si>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</si>
  <si>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</si>
  <si>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</si>
  <si>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</si>
  <si>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</si>
  <si>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</si>
  <si>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</si>
  <si>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</si>
  <si>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</si>
  <si>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</si>
  <si>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</si>
  <si>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</si>
  <si>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</si>
  <si>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</si>
  <si>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</si>
  <si>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</si>
  <si>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</si>
  <si>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</si>
  <si>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</si>
  <si>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</si>
  <si>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</si>
  <si>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</si>
  <si>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</si>
  <si>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</si>
  <si>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</si>
  <si>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</si>
  <si>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</si>
  <si>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</si>
  <si>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</si>
  <si>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</si>
  <si>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</si>
  <si>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</si>
  <si>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</si>
  <si>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</si>
  <si>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</si>
  <si>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</si>
  <si>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</si>
  <si>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</si>
  <si>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</si>
  <si>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</si>
  <si>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</si>
  <si>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</si>
  <si>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</si>
  <si>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</si>
  <si>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</si>
  <si>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</si>
  <si>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</si>
  <si>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</si>
  <si>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</si>
  <si>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</si>
  <si>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</si>
  <si>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</si>
  <si>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</si>
  <si>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</si>
  <si>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</si>
  <si>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</si>
  <si>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</si>
  <si>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</si>
  <si>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</si>
  <si>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</si>
  <si>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</si>
  <si>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</si>
  <si>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</si>
  <si>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</si>
  <si>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</si>
  <si>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</si>
  <si>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</si>
  <si>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</si>
  <si>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</si>
  <si>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</si>
  <si>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</si>
  <si>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</si>
  <si>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</si>
  <si>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</si>
  <si>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</si>
  <si>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</si>
  <si>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</si>
  <si>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</si>
  <si>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</si>
  <si>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</si>
  <si>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</si>
  <si>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</si>
  <si>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</si>
  <si>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</si>
  <si>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</si>
  <si>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</si>
  <si>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</si>
  <si>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</si>
  <si>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</si>
  <si>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</si>
  <si>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</si>
  <si>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</si>
  <si>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</si>
  <si>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</si>
  <si>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</si>
  <si>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</si>
  <si>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</si>
  <si>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</si>
  <si>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</si>
  <si>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</si>
  <si>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</si>
  <si>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</si>
  <si>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</si>
  <si>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</si>
  <si>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</si>
  <si>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</si>
  <si>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</si>
  <si>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</si>
  <si>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</si>
  <si>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</si>
  <si>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</si>
  <si>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</si>
  <si>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</si>
  <si>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</si>
  <si>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</si>
  <si>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</si>
  <si>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</si>
  <si>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</si>
  <si>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</si>
  <si>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</si>
  <si>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</si>
  <si>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</si>
  <si>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</si>
  <si>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</si>
  <si>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</si>
  <si>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</si>
  <si>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</si>
  <si>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</si>
  <si>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</si>
  <si>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</si>
  <si>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</si>
  <si>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</si>
  <si>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</si>
  <si>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</si>
  <si>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</si>
  <si>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</si>
  <si>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</si>
  <si>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</si>
  <si>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</si>
  <si>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</si>
  <si>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</si>
  <si>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</si>
  <si>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</si>
  <si>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</si>
  <si>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</si>
  <si>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</si>
  <si>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</si>
  <si>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</si>
  <si>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</si>
  <si>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</si>
  <si>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</si>
  <si>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</si>
  <si>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</si>
  <si>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</si>
  <si>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</si>
  <si>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</si>
  <si>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</si>
  <si>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</si>
  <si>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</si>
  <si>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</si>
  <si>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</si>
  <si>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</si>
  <si>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</si>
  <si>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</si>
  <si>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</si>
  <si>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</si>
  <si>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</si>
  <si>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</si>
  <si>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</si>
  <si>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</si>
  <si>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</si>
  <si>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</si>
  <si>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</si>
  <si>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</si>
  <si>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</si>
  <si>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</si>
  <si>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</si>
  <si>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</si>
  <si>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</si>
  <si>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</si>
  <si>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</si>
  <si>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</si>
  <si>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</si>
  <si>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</si>
  <si>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</si>
  <si>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</si>
  <si>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</si>
  <si>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</si>
  <si>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</si>
  <si>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</si>
  <si>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</si>
  <si>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</si>
  <si>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</si>
  <si>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</si>
  <si>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</si>
  <si>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</si>
  <si>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</si>
  <si>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</si>
  <si>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</si>
  <si>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</si>
  <si>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</si>
  <si>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</si>
  <si>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</si>
  <si>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</si>
  <si>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</si>
  <si>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</si>
  <si>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</si>
  <si>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</si>
  <si>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</si>
  <si>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</si>
  <si>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</si>
  <si>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</si>
  <si>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</si>
  <si>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</si>
  <si>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</si>
  <si>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</si>
  <si>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</si>
  <si>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</si>
  <si>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</si>
  <si>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</si>
  <si>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</si>
  <si>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</si>
  <si>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</si>
  <si>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</si>
  <si>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</si>
  <si>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</si>
  <si>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</si>
  <si>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</si>
  <si>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</si>
  <si>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</si>
  <si>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</si>
  <si>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</si>
  <si>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</si>
  <si>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</si>
  <si>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</si>
  <si>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</si>
  <si>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</si>
  <si>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</si>
  <si>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</si>
  <si>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</si>
  <si>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</si>
  <si>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</si>
  <si>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</si>
  <si>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</si>
  <si>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</si>
  <si>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</si>
  <si>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</si>
  <si>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</si>
  <si>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</si>
  <si>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</si>
  <si>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</si>
  <si>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</si>
  <si>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</si>
  <si>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</si>
  <si>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</si>
  <si>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</si>
  <si>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</si>
  <si>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</si>
  <si>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</si>
  <si>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</si>
  <si>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</si>
  <si>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</si>
  <si>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</si>
  <si>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</si>
  <si>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</si>
  <si>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</si>
  <si>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</si>
  <si>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</si>
  <si>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</si>
  <si>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</si>
  <si>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</si>
  <si>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</si>
  <si>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</si>
  <si>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</si>
  <si>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</si>
  <si>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</si>
  <si>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</si>
  <si>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</si>
  <si>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</si>
  <si>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</si>
  <si>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</si>
  <si>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</si>
  <si>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</si>
  <si>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</si>
  <si>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</si>
  <si>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</si>
  <si>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</si>
  <si>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</si>
  <si>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</si>
  <si>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</si>
  <si>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</si>
  <si>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</si>
  <si>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</si>
  <si>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</si>
  <si>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</si>
  <si>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</si>
  <si>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</si>
  <si>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</si>
  <si>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</si>
  <si>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</si>
  <si>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</si>
  <si>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</si>
  <si>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</si>
  <si>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</si>
  <si>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</si>
  <si>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</si>
  <si>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</si>
  <si>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</si>
  <si>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</si>
  <si>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</si>
  <si>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</si>
  <si>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</si>
  <si>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</si>
  <si>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</si>
  <si>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</si>
  <si>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</si>
  <si>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</si>
  <si>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</si>
  <si>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</si>
  <si>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</si>
  <si>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</si>
  <si>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</si>
  <si>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</si>
  <si>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</si>
  <si>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</si>
  <si>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</si>
  <si>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</si>
  <si>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</si>
  <si>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</si>
  <si>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</si>
  <si>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</si>
  <si>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</si>
  <si>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</si>
  <si>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</si>
  <si>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</si>
  <si>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</si>
  <si>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</si>
  <si>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</si>
  <si>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</si>
  <si>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</si>
  <si>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</si>
  <si>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</si>
  <si>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</si>
  <si>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</si>
  <si>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</si>
  <si>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</si>
  <si>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</si>
  <si>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</si>
  <si>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</si>
  <si>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</si>
  <si>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</si>
  <si>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</si>
  <si>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</si>
  <si>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</si>
  <si>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</si>
  <si>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</si>
  <si>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</si>
  <si>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</si>
  <si>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</si>
  <si>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</si>
  <si>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</si>
  <si>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</si>
  <si>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</si>
  <si>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</si>
  <si>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</si>
  <si>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</si>
  <si>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</si>
  <si>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</si>
  <si>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</si>
  <si>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</si>
  <si>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</si>
  <si>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</si>
  <si>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</si>
  <si>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</si>
  <si>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</si>
  <si>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</si>
  <si>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</si>
  <si>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</si>
  <si>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</si>
  <si>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</si>
  <si>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</si>
  <si>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</si>
  <si>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</si>
  <si>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</si>
  <si>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</si>
  <si>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</si>
  <si>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</si>
  <si>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</si>
  <si>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</si>
  <si>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</si>
  <si>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</si>
  <si>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</si>
  <si>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</si>
  <si>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</si>
  <si>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</si>
  <si>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</si>
  <si>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</si>
  <si>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</si>
  <si>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</si>
  <si>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</si>
  <si>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</si>
  <si>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</si>
  <si>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</si>
  <si>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</si>
  <si>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</si>
  <si>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</si>
  <si>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</si>
  <si>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</si>
  <si>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</si>
  <si>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</si>
  <si>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</si>
  <si>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</si>
  <si>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</si>
  <si>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</si>
  <si>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</si>
  <si>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</si>
  <si>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</si>
  <si>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</si>
  <si>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</si>
  <si>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</si>
  <si>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</si>
  <si>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</si>
  <si>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</si>
  <si>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</si>
  <si>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</si>
  <si>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</si>
  <si>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</si>
  <si>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</si>
  <si>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</si>
  <si>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</si>
  <si>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</si>
  <si>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</si>
  <si>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</si>
  <si>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</si>
  <si>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</si>
  <si>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</si>
  <si>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</si>
  <si>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</si>
  <si>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</si>
  <si>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</si>
  <si>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</si>
  <si>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</si>
  <si>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</si>
  <si>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</si>
  <si>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</si>
  <si>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</si>
  <si>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</si>
  <si>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</si>
  <si>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</si>
  <si>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</si>
  <si>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</si>
  <si>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</si>
  <si>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</si>
  <si>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</si>
  <si>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</si>
  <si>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</si>
  <si>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</si>
  <si>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</si>
  <si>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</si>
  <si>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</si>
  <si>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</si>
  <si>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</si>
  <si>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</si>
  <si>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</si>
  <si>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</si>
  <si>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</si>
  <si>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</si>
  <si>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</si>
  <si>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</si>
  <si>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</si>
  <si>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</si>
  <si>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</si>
  <si>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</si>
  <si>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</si>
  <si>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</si>
  <si>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</si>
  <si>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</si>
  <si>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</si>
  <si>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</si>
  <si>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</si>
  <si>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</si>
  <si>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</si>
  <si>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</si>
  <si>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</si>
  <si>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</si>
  <si>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</si>
  <si>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</si>
  <si>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</si>
  <si>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</si>
  <si>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</si>
  <si>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</si>
  <si>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</si>
  <si>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</si>
  <si>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</si>
  <si>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</si>
  <si>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</si>
  <si>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</si>
  <si>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</si>
  <si>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</si>
  <si>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</si>
  <si>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</si>
  <si>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</si>
  <si>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</si>
  <si>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</si>
  <si>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</si>
  <si>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</si>
  <si>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</si>
  <si>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</si>
  <si>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</si>
  <si>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</si>
  <si>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</si>
  <si>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</si>
  <si>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</si>
  <si>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</si>
  <si>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</si>
  <si>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</si>
  <si>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</si>
  <si>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</si>
  <si>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</si>
  <si>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</si>
  <si>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</si>
  <si>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</si>
  <si>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</si>
  <si>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</si>
  <si>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</si>
  <si>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</si>
  <si>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</si>
  <si>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</si>
  <si>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</si>
  <si>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</si>
  <si>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</si>
  <si>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</si>
  <si>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</si>
  <si>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</si>
  <si>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</si>
  <si>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</si>
  <si>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</si>
  <si>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</si>
  <si>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</si>
  <si>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</si>
  <si>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</si>
  <si>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</si>
  <si>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</si>
  <si>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</si>
  <si>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</si>
  <si>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</si>
  <si>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</si>
  <si>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</si>
  <si>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</si>
  <si>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</si>
  <si>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</si>
  <si>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</si>
  <si>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</si>
  <si>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</si>
  <si>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</si>
  <si>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</si>
  <si>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</si>
  <si>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</si>
  <si>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</si>
  <si>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</si>
  <si>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</si>
  <si>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</si>
  <si>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</si>
  <si>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</si>
  <si>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</si>
  <si>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</si>
  <si>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</si>
  <si>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</si>
  <si>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</si>
  <si>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</si>
  <si>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</si>
  <si>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</si>
  <si>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</si>
  <si>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</si>
  <si>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</si>
  <si>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</si>
  <si>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</si>
  <si>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</si>
  <si>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</si>
  <si>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</si>
  <si>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</si>
  <si>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</si>
  <si>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</si>
  <si>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</si>
  <si>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</si>
  <si>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</si>
  <si>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</si>
  <si>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</si>
  <si>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</si>
  <si>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</si>
  <si>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</si>
  <si>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</si>
  <si>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</si>
  <si>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</si>
  <si>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</si>
  <si>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</si>
  <si>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</si>
  <si>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</si>
  <si>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</si>
  <si>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</si>
  <si>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</si>
  <si>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</si>
  <si>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</si>
  <si>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</si>
  <si>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</si>
  <si>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</si>
  <si>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</si>
  <si>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</si>
  <si>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</si>
  <si>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</si>
  <si>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</si>
  <si>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</si>
  <si>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</si>
  <si>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</si>
  <si>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</si>
  <si>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</si>
  <si>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</si>
  <si>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</si>
  <si>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</si>
  <si>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</si>
  <si>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</si>
  <si>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</si>
  <si>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</si>
  <si>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</si>
  <si>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</si>
  <si>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</si>
  <si>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</si>
  <si>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</si>
  <si>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</si>
  <si>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</si>
  <si>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</si>
  <si>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</si>
  <si>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</si>
  <si>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</si>
  <si>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</si>
  <si>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</si>
  <si>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</si>
  <si>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</si>
  <si>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</si>
  <si>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</si>
  <si>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</si>
  <si>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</si>
  <si>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</si>
  <si>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</si>
  <si>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</si>
  <si>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</si>
  <si>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</si>
  <si>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</si>
  <si>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</si>
  <si>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</si>
  <si>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</si>
  <si>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</si>
  <si>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</si>
  <si>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</si>
  <si>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</si>
  <si>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</si>
  <si>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</si>
  <si>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</si>
  <si>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</si>
  <si>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</si>
  <si>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</si>
  <si>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</si>
  <si>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</si>
  <si>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</si>
  <si>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</si>
  <si>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</si>
  <si>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</si>
  <si>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</si>
  <si>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</si>
  <si>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</si>
  <si>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</si>
  <si>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</si>
  <si>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</si>
  <si>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</si>
  <si>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</si>
  <si>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</si>
  <si>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</si>
  <si>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</si>
  <si>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</si>
  <si>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</si>
  <si>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</si>
  <si>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</si>
  <si>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</si>
  <si>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</si>
  <si>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</si>
  <si>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</si>
  <si>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</si>
  <si>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</si>
  <si>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</si>
  <si>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</si>
  <si>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</si>
  <si>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</si>
  <si>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</si>
  <si>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</si>
  <si>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</si>
  <si>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</si>
  <si>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</si>
  <si>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</si>
  <si>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</si>
  <si>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</si>
  <si>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</si>
  <si>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</si>
  <si>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</si>
  <si>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</si>
  <si>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</si>
  <si>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</si>
  <si>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</si>
  <si>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</si>
  <si>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</si>
  <si>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</si>
  <si>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</si>
  <si>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</si>
  <si>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</si>
  <si>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</si>
  <si>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</si>
  <si>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</si>
  <si>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</si>
  <si>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</si>
  <si>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</si>
  <si>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</si>
  <si>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</si>
  <si>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</si>
  <si>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</si>
  <si>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</si>
  <si>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</si>
  <si>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</si>
  <si>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</si>
  <si>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</si>
  <si>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</si>
  <si>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</si>
  <si>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</si>
  <si>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</si>
  <si>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</si>
  <si>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</si>
  <si>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</si>
  <si>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</si>
  <si>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</si>
  <si>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</si>
  <si>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</si>
  <si>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</si>
  <si>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</si>
  <si>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</si>
  <si>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</si>
  <si>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</si>
  <si>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</si>
  <si>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</si>
  <si>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</si>
  <si>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</si>
  <si>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</si>
  <si>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</si>
  <si>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</si>
  <si>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</si>
  <si>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</si>
  <si>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</si>
  <si>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</si>
  <si>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</si>
  <si>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</si>
  <si>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</si>
  <si>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</si>
  <si>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</si>
  <si>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</si>
  <si>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</si>
  <si>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</si>
  <si>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</si>
  <si>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</si>
  <si>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</si>
  <si>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</si>
  <si>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</si>
  <si>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</si>
  <si>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</si>
  <si>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</si>
  <si>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</si>
  <si>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</si>
  <si>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</si>
  <si>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</si>
  <si>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</si>
  <si>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</si>
  <si>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</si>
  <si>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</si>
  <si>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</si>
  <si>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</si>
  <si>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</si>
  <si>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</si>
  <si>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</si>
  <si>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</si>
  <si>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</si>
  <si>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</si>
  <si>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</si>
  <si>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</si>
  <si>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</si>
  <si>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</si>
  <si>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</si>
  <si>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</si>
  <si>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</si>
  <si>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</si>
  <si>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</si>
  <si>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</si>
  <si>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</si>
  <si>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</si>
  <si>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</si>
  <si>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</si>
  <si>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</si>
  <si>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</si>
  <si>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</si>
  <si>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</si>
  <si>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</si>
  <si>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</si>
  <si>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</si>
  <si>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</si>
  <si>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</si>
  <si>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</si>
  <si>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</si>
  <si>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</si>
  <si>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</si>
  <si>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</si>
  <si>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</si>
  <si>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</si>
  <si>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</si>
  <si>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</si>
  <si>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</si>
  <si>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</si>
  <si>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</si>
  <si>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</si>
  <si>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</si>
  <si>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</si>
  <si>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</si>
  <si>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</si>
  <si>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</si>
  <si>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</si>
  <si>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</si>
  <si>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</si>
  <si>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</si>
  <si>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</si>
  <si>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</si>
  <si>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</si>
  <si>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</si>
  <si>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</si>
  <si>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</si>
  <si>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</si>
  <si>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</si>
  <si>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</si>
  <si>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</si>
  <si>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</si>
  <si>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</si>
  <si>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</si>
  <si>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</si>
  <si>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</si>
  <si>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</si>
  <si>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</si>
  <si>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</si>
  <si>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</si>
  <si>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</si>
  <si>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</si>
  <si>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</si>
  <si>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</si>
  <si>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</si>
  <si>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</si>
  <si>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</si>
  <si>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</si>
  <si>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</si>
  <si>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</si>
  <si>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</si>
  <si>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</si>
  <si>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</si>
  <si>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</si>
  <si>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</si>
  <si>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</si>
  <si>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</si>
  <si>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</si>
  <si>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</si>
  <si>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</si>
  <si>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</si>
  <si>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</si>
  <si>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</si>
  <si>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</si>
  <si>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</si>
  <si>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</si>
  <si>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</si>
  <si>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</si>
  <si>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</si>
  <si>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</si>
  <si>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</si>
  <si>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</si>
  <si>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</si>
  <si>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</si>
  <si>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</si>
  <si>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</si>
  <si>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</si>
  <si>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</si>
  <si>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</si>
  <si>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</si>
  <si>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</si>
  <si>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</si>
  <si>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</si>
  <si>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</si>
  <si>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</si>
  <si>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</si>
  <si>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</si>
  <si>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</si>
  <si>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</si>
  <si>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</si>
  <si>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</si>
  <si>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</si>
  <si>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</si>
  <si>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</si>
  <si>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</si>
  <si>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</si>
  <si>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</si>
  <si>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</si>
  <si>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</si>
  <si>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</si>
  <si>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</si>
  <si>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</si>
  <si>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</si>
  <si>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</si>
  <si>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</si>
  <si>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</si>
  <si>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</si>
  <si>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</si>
  <si>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</si>
  <si>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</si>
  <si>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</si>
  <si>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</si>
  <si>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</si>
  <si>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</si>
  <si>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</si>
  <si>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</si>
  <si>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</si>
  <si>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</si>
  <si>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</si>
  <si>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</si>
  <si>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</si>
  <si>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</si>
  <si>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</si>
  <si>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</si>
  <si>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</si>
  <si>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</si>
  <si>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</si>
  <si>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</si>
  <si>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</si>
  <si>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</si>
  <si>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</si>
  <si>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</si>
  <si>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</si>
  <si>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</si>
  <si>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</si>
  <si>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</si>
  <si>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</si>
  <si>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</si>
  <si>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</si>
  <si>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</si>
  <si>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</si>
  <si>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</si>
  <si>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</si>
  <si>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</si>
  <si>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</si>
  <si>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</si>
  <si>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</si>
  <si>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</si>
  <si>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</si>
  <si>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</si>
  <si>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</si>
  <si>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</si>
  <si>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</si>
  <si>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</si>
  <si>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</si>
  <si>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</si>
  <si>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</si>
  <si>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</si>
  <si>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</si>
  <si>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</si>
  <si>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</si>
  <si>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</si>
  <si>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</si>
  <si>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</si>
  <si>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</si>
  <si>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</si>
  <si>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</si>
  <si>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</si>
  <si>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</si>
  <si>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</si>
  <si>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</si>
  <si>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</si>
  <si>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</si>
  <si>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</si>
  <si>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</si>
  <si>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</si>
  <si>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</si>
  <si>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</si>
  <si>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</si>
  <si>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</si>
  <si>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</si>
  <si>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</si>
  <si>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</si>
  <si>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</si>
  <si>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</si>
  <si>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</si>
  <si>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</si>
  <si>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</si>
  <si>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</si>
  <si>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</si>
  <si>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</si>
  <si>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</si>
  <si>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</si>
  <si>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</si>
  <si>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</si>
  <si>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</si>
  <si>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</si>
  <si>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</si>
  <si>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</si>
  <si>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</si>
  <si>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</si>
  <si>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</si>
  <si>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</si>
  <si>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</si>
  <si>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</si>
  <si>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</si>
  <si>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</si>
  <si>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</si>
  <si>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</si>
  <si>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</si>
  <si>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</si>
  <si>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</si>
  <si>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</si>
  <si>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</si>
  <si>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</si>
  <si>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</si>
  <si>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</si>
  <si>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</si>
  <si>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</si>
  <si>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</si>
  <si>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</si>
  <si>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</si>
  <si>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</si>
  <si>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</si>
  <si>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</si>
  <si>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</si>
  <si>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</si>
  <si>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</si>
  <si>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</si>
  <si>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</si>
  <si>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</si>
  <si>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</si>
  <si>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</si>
  <si>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</si>
  <si>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</si>
  <si>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</si>
  <si>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</si>
  <si>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</si>
  <si>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</si>
  <si>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</si>
  <si>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</si>
  <si>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</si>
  <si>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</si>
  <si>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</si>
  <si>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</si>
  <si>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</si>
  <si>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</si>
  <si>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</si>
  <si>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</si>
  <si>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</si>
  <si>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</si>
  <si>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</si>
  <si>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</si>
  <si>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</si>
  <si>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</si>
  <si>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</si>
  <si>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</si>
  <si>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</si>
  <si>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</si>
  <si>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</si>
  <si>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</si>
  <si>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</si>
  <si>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</si>
  <si>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</si>
  <si>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</si>
  <si>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</si>
  <si>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</si>
  <si>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</si>
  <si>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</si>
  <si>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</si>
  <si>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</si>
  <si>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</si>
  <si>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</si>
  <si>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</si>
  <si>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</si>
  <si>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</si>
  <si>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</si>
  <si>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</si>
  <si>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</si>
  <si>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</si>
  <si>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</si>
  <si>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</si>
  <si>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</si>
  <si>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</si>
  <si>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</si>
  <si>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</si>
  <si>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</si>
  <si>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</si>
  <si>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</si>
  <si>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</si>
  <si>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</si>
  <si>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</si>
  <si>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</si>
  <si>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</si>
  <si>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</si>
  <si>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</si>
  <si>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</si>
  <si>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</si>
  <si>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</si>
  <si>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</si>
  <si>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</si>
  <si>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</si>
  <si>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</si>
  <si>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</si>
  <si>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</si>
  <si>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</si>
  <si>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</si>
  <si>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</si>
  <si>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</si>
  <si>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</si>
  <si>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</si>
  <si>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</si>
  <si>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</si>
  <si>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</si>
  <si>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</si>
  <si>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</si>
  <si>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</si>
  <si>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</si>
  <si>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</si>
  <si>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</si>
  <si>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</si>
  <si>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</si>
  <si>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</si>
  <si>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</si>
  <si>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</si>
  <si>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</si>
  <si>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</si>
  <si>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</si>
  <si>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</si>
  <si>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</si>
  <si>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</si>
  <si>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</si>
  <si>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</si>
  <si>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</si>
  <si>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</si>
  <si>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</si>
  <si>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</si>
  <si>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</si>
  <si>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</si>
  <si>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</si>
  <si>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</si>
  <si>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</si>
  <si>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</si>
  <si>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</si>
  <si>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</si>
  <si>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</si>
  <si>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</si>
  <si>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</si>
  <si>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</si>
  <si>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</si>
  <si>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</si>
  <si>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</si>
  <si>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</si>
  <si>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</si>
  <si>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</si>
  <si>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</si>
  <si>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</si>
  <si>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</si>
  <si>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</si>
  <si>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</si>
  <si>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</si>
  <si>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</si>
  <si>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</si>
  <si>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</si>
  <si>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</si>
  <si>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</si>
  <si>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</si>
  <si>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</si>
  <si>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</si>
  <si>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</si>
  <si>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</si>
  <si>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</si>
  <si>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</si>
  <si>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</si>
  <si>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</si>
  <si>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</si>
  <si>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</si>
  <si>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</si>
  <si>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</si>
  <si>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</si>
  <si>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</si>
  <si>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</si>
  <si>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</si>
  <si>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</si>
  <si>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</si>
  <si>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</si>
  <si>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</si>
  <si>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</si>
  <si>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</si>
  <si>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</si>
  <si>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</si>
  <si>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</si>
  <si>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</si>
  <si>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</si>
  <si>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</si>
  <si>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</si>
  <si>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</si>
  <si>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</si>
  <si>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</si>
  <si>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</si>
  <si>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</si>
  <si>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</si>
  <si>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</si>
  <si>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</si>
  <si>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</si>
  <si>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</si>
  <si>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</si>
  <si>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</si>
  <si>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</si>
  <si>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</si>
  <si>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</si>
  <si>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</si>
  <si>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</si>
  <si>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</si>
  <si>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</si>
  <si>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</si>
  <si>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</si>
  <si>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</si>
  <si>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</si>
  <si>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</si>
  <si>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</si>
  <si>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</si>
  <si>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</si>
  <si>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</si>
  <si>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</si>
  <si>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</si>
  <si>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</si>
  <si>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</si>
  <si>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</si>
  <si>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</si>
  <si>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</si>
  <si>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</si>
  <si>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</si>
  <si>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</si>
  <si>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</si>
  <si>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</si>
  <si>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</si>
  <si>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</si>
  <si>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</si>
  <si>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</si>
  <si>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</si>
  <si>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</si>
  <si>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</si>
  <si>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</si>
  <si>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</si>
  <si>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</si>
  <si>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</si>
  <si>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</si>
  <si>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</si>
  <si>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</si>
  <si>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</si>
  <si>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</si>
  <si>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</si>
  <si>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</si>
  <si>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</si>
  <si>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</si>
  <si>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</si>
  <si>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</si>
  <si>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</si>
  <si>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</si>
  <si>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</si>
  <si>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</si>
  <si>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</si>
  <si>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</si>
  <si>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</si>
  <si>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</si>
  <si>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</si>
  <si>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</si>
  <si>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</si>
  <si>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</si>
  <si>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</si>
  <si>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</si>
  <si>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</si>
  <si>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</si>
  <si>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</si>
  <si>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</si>
  <si>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</si>
  <si>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</si>
  <si>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</si>
  <si>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</si>
  <si>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</si>
  <si>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</si>
  <si>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</si>
  <si>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</si>
  <si>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</si>
  <si>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</si>
  <si>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</si>
  <si>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</si>
  <si>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</si>
  <si>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</si>
  <si>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</si>
  <si>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</si>
  <si>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</si>
  <si>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</si>
  <si>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</si>
  <si>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</si>
  <si>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</si>
  <si>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</si>
  <si>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</si>
  <si>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</si>
  <si>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</si>
  <si>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</si>
  <si>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</si>
  <si>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</si>
  <si>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</si>
  <si>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</si>
  <si>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</si>
  <si>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</si>
  <si>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</si>
  <si>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</si>
  <si>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</si>
  <si>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</si>
  <si>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</si>
  <si>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</si>
  <si>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</si>
  <si>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</si>
  <si>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</si>
  <si>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</si>
  <si>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</si>
  <si>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</si>
  <si>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</si>
  <si>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</si>
  <si>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</si>
  <si>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</si>
  <si>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</si>
  <si>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</si>
  <si>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</si>
  <si>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</si>
  <si>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</si>
  <si>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</si>
  <si>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</si>
  <si>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</si>
  <si>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</si>
  <si>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</si>
  <si>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</si>
  <si>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</si>
  <si>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</si>
  <si>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</si>
  <si>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</si>
  <si>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</si>
  <si>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</si>
  <si>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</si>
  <si>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</si>
  <si>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</si>
  <si>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</si>
  <si>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</si>
  <si>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</si>
  <si>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</si>
  <si>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</si>
  <si>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</si>
  <si>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</si>
  <si>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</si>
  <si>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</si>
  <si>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</si>
  <si>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</si>
  <si>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</si>
  <si>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</si>
  <si>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</si>
  <si>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</si>
  <si>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</si>
  <si>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</si>
  <si>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</si>
  <si>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</si>
  <si>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</si>
  <si>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</si>
  <si>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</si>
  <si>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</si>
  <si>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</si>
  <si>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</si>
  <si>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</si>
  <si>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</si>
  <si>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</si>
  <si>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</si>
  <si>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</si>
  <si>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</si>
  <si>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</si>
  <si>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</si>
  <si>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</si>
  <si>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</si>
  <si>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</si>
  <si>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</si>
  <si>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</si>
  <si>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</si>
  <si>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</si>
  <si>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</si>
  <si>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</si>
  <si>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</si>
  <si>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</si>
  <si>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</si>
  <si>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</si>
  <si>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</si>
  <si>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</si>
  <si>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</si>
  <si>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</si>
  <si>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</si>
  <si>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</si>
  <si>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</si>
  <si>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</si>
  <si>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</si>
  <si>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</si>
  <si>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</si>
  <si>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</si>
  <si>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</si>
  <si>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</si>
  <si>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</si>
  <si>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</si>
  <si>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</si>
  <si>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</si>
  <si>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</si>
  <si>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</si>
  <si>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</si>
  <si>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</si>
  <si>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</si>
  <si>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</si>
  <si>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</si>
  <si>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</si>
  <si>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</si>
  <si>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</si>
  <si>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</si>
  <si>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</si>
  <si>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</si>
  <si>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</si>
  <si>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</si>
  <si>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</si>
  <si>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</si>
  <si>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</si>
  <si>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</si>
  <si>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</si>
  <si>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</si>
  <si>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</si>
  <si>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</si>
  <si>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</si>
  <si>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</si>
  <si>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</si>
  <si>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</si>
  <si>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</si>
  <si>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</si>
  <si>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</si>
  <si>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</si>
  <si>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</si>
  <si>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</si>
  <si>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</si>
  <si>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</si>
  <si>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</si>
  <si>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</si>
  <si>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</si>
  <si>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</si>
  <si>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</si>
  <si>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</si>
  <si>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</si>
  <si>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</si>
  <si>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</si>
  <si>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</si>
  <si>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</si>
  <si>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</si>
  <si>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</si>
  <si>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</si>
  <si>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</si>
  <si>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</si>
  <si>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</si>
  <si>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</si>
  <si>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</si>
  <si>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</si>
  <si>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</si>
  <si>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</si>
  <si>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</si>
  <si>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</si>
  <si>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</si>
  <si>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</si>
  <si>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</si>
  <si>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</si>
  <si>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</si>
  <si>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</si>
  <si>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</si>
  <si>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</si>
  <si>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</si>
  <si>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</si>
  <si>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</si>
  <si>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</si>
  <si>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</si>
  <si>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</si>
  <si>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</si>
  <si>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</si>
  <si>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</si>
  <si>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</si>
  <si>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</si>
  <si>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</si>
  <si>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</si>
  <si>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</si>
  <si>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</si>
  <si>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</si>
  <si>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</si>
  <si>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</si>
  <si>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</si>
  <si>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</si>
  <si>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</si>
  <si>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</si>
  <si>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</si>
  <si>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</si>
  <si>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</si>
  <si>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</si>
  <si>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</si>
  <si>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</si>
  <si>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</si>
  <si>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</si>
  <si>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</si>
  <si>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</si>
  <si>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</si>
  <si>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</si>
  <si>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</si>
  <si>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</si>
  <si>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</si>
  <si>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</si>
  <si>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</si>
  <si>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</si>
  <si>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</si>
  <si>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</si>
  <si>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</si>
  <si>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</si>
  <si>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</si>
  <si>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</si>
  <si>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</si>
  <si>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</si>
  <si>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</si>
  <si>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</si>
  <si>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</si>
  <si>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</si>
  <si>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</si>
  <si>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</si>
  <si>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</si>
  <si>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</si>
  <si>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</si>
  <si>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</si>
  <si>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</si>
  <si>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</si>
  <si>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</si>
  <si>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</si>
  <si>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</si>
  <si>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</si>
  <si>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</si>
  <si>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</si>
  <si>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</si>
  <si>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</si>
  <si>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</si>
  <si>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</si>
  <si>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</si>
  <si>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</si>
  <si>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</si>
  <si>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</si>
  <si>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</si>
  <si>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</si>
  <si>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</si>
  <si>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</si>
  <si>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</si>
  <si>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</si>
  <si>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</si>
  <si>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</si>
  <si>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</si>
  <si>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</si>
  <si>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</si>
  <si>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</si>
  <si>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</si>
  <si>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</si>
  <si>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</si>
  <si>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</si>
  <si>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</si>
  <si>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</si>
  <si>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</si>
  <si>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</si>
  <si>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</si>
  <si>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</si>
  <si>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</si>
  <si>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</si>
  <si>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</si>
  <si>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</si>
  <si>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</si>
  <si>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</si>
  <si>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</si>
  <si>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</si>
  <si>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</si>
  <si>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</si>
  <si>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</si>
  <si>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</si>
  <si>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</si>
  <si>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</si>
  <si>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</si>
  <si>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</si>
  <si>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</si>
  <si>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</si>
  <si>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</si>
  <si>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</si>
  <si>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</si>
  <si>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</si>
  <si>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</si>
  <si>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</si>
  <si>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</si>
  <si>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</si>
  <si>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</si>
  <si>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</si>
  <si>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</si>
  <si>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</si>
  <si>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</si>
  <si>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</si>
  <si>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</si>
  <si>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</si>
  <si>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</si>
  <si>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</si>
  <si>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</si>
  <si>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</si>
  <si>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</si>
  <si>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</si>
  <si>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</si>
  <si>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</si>
  <si>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</si>
  <si>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</si>
  <si>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</si>
  <si>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</si>
  <si>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</si>
  <si>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</si>
  <si>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</si>
  <si>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</si>
  <si>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</si>
  <si>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</si>
  <si>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</si>
  <si>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</si>
  <si>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</si>
  <si>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</si>
  <si>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</si>
  <si>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</si>
  <si>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</si>
  <si>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</si>
  <si>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</si>
  <si>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</si>
  <si>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</si>
  <si>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</si>
  <si>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</si>
  <si>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</si>
  <si>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</si>
  <si>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</si>
  <si>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</si>
  <si>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</si>
  <si>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</si>
  <si>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</si>
  <si>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</si>
  <si>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</si>
  <si>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</si>
  <si>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</si>
  <si>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</si>
  <si>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</si>
  <si>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</si>
  <si>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</si>
  <si>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</si>
  <si>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</si>
  <si>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</si>
  <si>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</si>
  <si>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</si>
  <si>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</si>
  <si>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</si>
  <si>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</si>
  <si>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</si>
  <si>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</si>
  <si>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</si>
  <si>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</si>
  <si>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</si>
  <si>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</si>
  <si>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</si>
  <si>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</si>
  <si>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</si>
  <si>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</si>
  <si>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</si>
  <si>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</si>
  <si>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</si>
  <si>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</si>
  <si>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</si>
  <si>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</si>
  <si>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</si>
  <si>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</si>
  <si>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</si>
  <si>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</si>
  <si>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</si>
  <si>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</si>
  <si>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</si>
  <si>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</si>
  <si>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</si>
  <si>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</si>
  <si>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</si>
  <si>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</si>
  <si>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</si>
  <si>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</si>
  <si>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</si>
  <si>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</si>
  <si>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</si>
  <si>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</si>
  <si>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</si>
  <si>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</si>
  <si>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</si>
  <si>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</si>
  <si>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</si>
  <si>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</si>
  <si>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</si>
  <si>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</si>
  <si>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</si>
  <si>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</si>
  <si>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</si>
  <si>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</si>
  <si>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</si>
  <si>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</si>
  <si>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</si>
  <si>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</si>
  <si>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</si>
  <si>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</si>
  <si>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</si>
  <si>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</si>
  <si>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</si>
  <si>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</si>
  <si>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</si>
  <si>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</si>
  <si>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</si>
  <si>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</si>
  <si>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</si>
  <si>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</si>
  <si>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</si>
  <si>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</si>
  <si>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</si>
  <si>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</si>
  <si>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</si>
  <si>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</si>
  <si>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</si>
  <si>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</si>
  <si>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</si>
  <si>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</si>
  <si>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</si>
  <si>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</si>
  <si>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</si>
  <si>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</si>
  <si>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</si>
  <si>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</si>
  <si>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</si>
  <si>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</si>
  <si>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</si>
  <si>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</si>
  <si>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</si>
  <si>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</si>
  <si>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</si>
  <si>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</si>
  <si>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</si>
  <si>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</si>
  <si>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</si>
  <si>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</si>
  <si>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</si>
  <si>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</si>
  <si>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</si>
  <si>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</si>
  <si>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</si>
  <si>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</si>
  <si>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</si>
  <si>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</si>
  <si>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</si>
  <si>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</si>
  <si>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</si>
  <si>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</si>
  <si>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</si>
  <si>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</si>
  <si>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</si>
  <si>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</si>
  <si>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</si>
  <si>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</si>
  <si>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</si>
  <si>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</si>
  <si>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</si>
  <si>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</si>
  <si>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</si>
  <si>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</si>
  <si>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</si>
  <si>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</si>
  <si>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</si>
  <si>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</si>
  <si>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</si>
  <si>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</si>
  <si>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</si>
  <si>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</si>
  <si>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</si>
  <si>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</si>
  <si>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</si>
  <si>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</si>
  <si>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</si>
  <si>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</si>
  <si>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</si>
  <si>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</si>
  <si>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</si>
  <si>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</si>
  <si>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</si>
  <si>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</si>
  <si>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</si>
  <si>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</si>
  <si>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</si>
  <si>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</si>
  <si>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</si>
  <si>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</si>
  <si>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</si>
  <si>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</si>
  <si>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</si>
  <si>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</si>
  <si>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</si>
  <si>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</si>
  <si>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</si>
  <si>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</si>
  <si>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</si>
  <si>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</si>
  <si>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</si>
  <si>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</si>
  <si>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</si>
  <si>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</si>
  <si>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</si>
  <si>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</si>
  <si>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</si>
  <si>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</si>
  <si>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</si>
  <si>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</si>
  <si>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</si>
  <si>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</si>
  <si>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</si>
  <si>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</si>
  <si>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</si>
  <si>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</si>
  <si>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</si>
  <si>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</si>
  <si>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</si>
  <si>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</si>
  <si>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</si>
  <si>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中信信托有限责任公司</t>
    <phoneticPr fontId="6" type="noConversion"/>
  </si>
  <si>
    <t>衡水斯凯学园房地产开发有限公司</t>
    <phoneticPr fontId="6" type="noConversion"/>
  </si>
  <si>
    <t>抵押</t>
  </si>
  <si>
    <t>抵押价格</t>
  </si>
  <si>
    <t>其他：</t>
  </si>
  <si>
    <t>河北省</t>
    <phoneticPr fontId="6" type="noConversion"/>
  </si>
  <si>
    <t>衡水市桃城区人民路南侧、问津街西侧</t>
    <phoneticPr fontId="6" type="noConversion"/>
  </si>
  <si>
    <t>企业</t>
  </si>
  <si>
    <t>商业</t>
  </si>
  <si>
    <t>出让</t>
  </si>
  <si>
    <t>地上</t>
  </si>
  <si>
    <t>衡水一级</t>
    <phoneticPr fontId="3" type="noConversion"/>
  </si>
  <si>
    <t>衡水一级</t>
  </si>
  <si>
    <t>项目全部</t>
  </si>
  <si>
    <t>土地</t>
  </si>
  <si>
    <t>比较法-住宅、综合</t>
  </si>
  <si>
    <t>剩余法-待开发</t>
  </si>
  <si>
    <t>2016-桃44号</t>
    <phoneticPr fontId="3" type="noConversion"/>
  </si>
  <si>
    <t>育才街东、新华路南</t>
    <phoneticPr fontId="3" type="noConversion"/>
  </si>
  <si>
    <t>正常</t>
  </si>
  <si>
    <t>40</t>
    <phoneticPr fontId="26" type="noConversion"/>
  </si>
  <si>
    <t>商业</t>
    <phoneticPr fontId="26" type="noConversion"/>
  </si>
  <si>
    <t>2017衡湖15号</t>
    <phoneticPr fontId="3" type="noConversion"/>
  </si>
  <si>
    <t>滨河环路南、纵一路西</t>
    <phoneticPr fontId="3" type="noConversion"/>
  </si>
  <si>
    <t>2017衡湖8号</t>
    <phoneticPr fontId="3" type="noConversion"/>
  </si>
  <si>
    <t>衡一路南、内环路东</t>
    <phoneticPr fontId="3" type="noConversion"/>
  </si>
  <si>
    <t>较规则</t>
    <phoneticPr fontId="3" type="noConversion"/>
  </si>
  <si>
    <t>较适宜</t>
    <phoneticPr fontId="3" type="noConversion"/>
  </si>
  <si>
    <t>七通</t>
    <phoneticPr fontId="3" type="noConversion"/>
  </si>
  <si>
    <t>较好</t>
    <phoneticPr fontId="3" type="noConversion"/>
  </si>
  <si>
    <t>较规则</t>
  </si>
  <si>
    <t>较适宜</t>
  </si>
  <si>
    <t>七通</t>
  </si>
  <si>
    <t>较好</t>
  </si>
  <si>
    <t>快速路</t>
    <phoneticPr fontId="26" type="noConversion"/>
  </si>
  <si>
    <t>主干道</t>
  </si>
  <si>
    <t>主干道</t>
    <phoneticPr fontId="26" type="noConversion"/>
  </si>
  <si>
    <t>次干道</t>
  </si>
  <si>
    <t>次干道</t>
    <phoneticPr fontId="26" type="noConversion"/>
  </si>
  <si>
    <t>支路</t>
    <phoneticPr fontId="26" type="noConversion"/>
  </si>
  <si>
    <t>单面临街</t>
  </si>
  <si>
    <t>一般</t>
  </si>
  <si>
    <t>楼面地价</t>
  </si>
  <si>
    <t>不动产收益法</t>
  </si>
  <si>
    <t>自定义</t>
  </si>
  <si>
    <t>钢混</t>
  </si>
  <si>
    <t>酒店</t>
  </si>
  <si>
    <t>酒店</t>
    <phoneticPr fontId="3" type="noConversion"/>
  </si>
  <si>
    <t>判定</t>
  </si>
  <si>
    <t>酒店</t>
    <phoneticPr fontId="7" type="noConversion"/>
  </si>
  <si>
    <t>土地（套用方法）</t>
  </si>
  <si>
    <t>按租金收入计税</t>
  </si>
  <si>
    <t>较差</t>
  </si>
  <si>
    <r>
      <rPr>
        <sz val="11"/>
        <color indexed="8"/>
        <rFont val="仿宋_GB2312"/>
        <family val="3"/>
        <charset val="134"/>
      </rPr>
      <t>自然及人文环境状况</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</si>
</sst>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left" vertical="center" wrapText="1"/>
      <protection locked="0"/>
    </xf>
    <xf numFmtId="0" fontId="99" fillId="9" borderId="9" xfId="0" applyNumberFormat="1" applyFont="1" applyFill="1" applyBorder="1" applyAlignment="1" applyProtection="1">
      <alignment horizontal="center" vertical="center" wrapText="1"/>
      <protection locked="0"/>
    </xf>
    <xf numFmtId="0" fontId="71" fillId="9" borderId="25" xfId="0" applyFont="1" applyFill="1" applyBorder="1" applyAlignment="1" applyProtection="1">
      <alignment horizontal="center" vertical="center" wrapText="1"/>
    </xf>
    <xf numFmtId="0" fontId="71" fillId="9" borderId="10" xfId="0" applyFont="1" applyFill="1" applyBorder="1" applyAlignment="1" applyProtection="1">
      <alignment horizontal="center" vertical="center" wrapText="1"/>
    </xf>
    <xf numFmtId="0" fontId="84" fillId="9" borderId="18"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2659</v>
      </c>
      <c r="B1" s="2917" t="s">
        <v>2756</v>
      </c>
    </row>
    <row r="2" spans="1:55" s="2921" customFormat="1" ht="15" thickTop="1">
      <c r="A2" s="2919" t="s">
        <v>2663</v>
      </c>
      <c r="B2" s="2920" t="str">
        <f>'预评函-封皮'!B37</f>
        <v>河北省衡水市桃城区人民路南侧、问津街西侧出让国有建设用地使用权抵押价格预评估</v>
      </c>
      <c r="AX2" s="2922"/>
      <c r="AZ2" s="2922"/>
      <c r="BA2" s="2923"/>
      <c r="BC2" s="2923"/>
    </row>
    <row r="3" spans="1:55" s="2924" customFormat="1">
      <c r="A3" s="2903" t="s">
        <v>2664</v>
      </c>
      <c r="B3" s="2906" t="str">
        <f>'预评函-封皮'!B40</f>
        <v>中信信托有限责任公司</v>
      </c>
    </row>
    <row r="4" spans="1:55" s="2905" customFormat="1">
      <c r="A4" s="2903" t="s">
        <v>2665</v>
      </c>
      <c r="B4" s="2904" t="str">
        <f>'预评函-封皮'!B46</f>
        <v>土地估价师、土地估价师</v>
      </c>
      <c r="N4" s="2905" t="str">
        <f>'预评函-1'!A28</f>
        <v>本次估价的“抵押净值”是指估价对象“抵押价格”减去估价对象在估价期日以“土地销售收入”为基数计算的预计抵押权实现进行处置时需缴纳的各项费用、税金等相关费用后的价格。</v>
      </c>
    </row>
    <row r="5" spans="1:55" s="2918" customFormat="1" ht="15" thickBot="1">
      <c r="A5" s="2925" t="s">
        <v>2666</v>
      </c>
      <c r="B5" s="2926" t="str">
        <f>'预评函-封皮'!B49</f>
        <v>康正预评字号</v>
      </c>
    </row>
    <row r="6" spans="1:55" s="2927" customFormat="1" ht="15" thickTop="1">
      <c r="A6" s="2919" t="s">
        <v>2708</v>
      </c>
      <c r="B6" s="2920" t="str">
        <f>'预评函-1'!A4</f>
        <v>受贵公司委托，我公司对河北省衡水市桃城区人民路南侧、问津街西侧出让国有建设用地使用权抵押价格进行了预评估。</v>
      </c>
      <c r="AM6" s="2928"/>
    </row>
    <row r="7" spans="1:55" s="2902" customFormat="1">
      <c r="A7" s="2903" t="s">
        <v>2660</v>
      </c>
      <c r="B7" s="2904" t="str">
        <f>'预评函-1'!A6</f>
        <v>估价对象为使用的、位于河北省衡水市桃城区人民路南侧、问津街西侧出让国有建设用地使用权。根据《国有土地使用证》[]，估价对象（分摊）出让国有建设用地使用权面积为6666.4平方米。根据《建设工程规划许可证》[]、《出让合同》[]，估价对象规划建筑面积为26666平方米。</v>
      </c>
    </row>
    <row r="8" spans="1:55" s="2902" customFormat="1">
      <c r="A8" s="2903" t="s">
        <v>2661</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2711</v>
      </c>
      <c r="B9" s="2904" t="str">
        <f>'预评函-1'!A9</f>
        <v>衡水斯凯学园房地产开发有限公司拟使用河北省衡水市桃城区人民路南侧、问津街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902" customFormat="1">
      <c r="A10" s="2903" t="s">
        <v>2662</v>
      </c>
      <c r="B10" s="2904" t="str">
        <f>'预评函-1'!A11</f>
        <v>2018年4月25日（评估专业人员勘察现场之日）</v>
      </c>
    </row>
    <row r="11" spans="1:55" s="2902" customFormat="1">
      <c r="A11" s="2903" t="s">
        <v>2668</v>
      </c>
      <c r="B11" s="2904" t="str">
        <f>'预评函-1'!A14</f>
        <v>根据《国有土地使用证》[]，本次评估估价对象证载（地类）用途为。</v>
      </c>
    </row>
    <row r="12" spans="1:55" s="2902" customFormat="1">
      <c r="A12" s="2903" t="s">
        <v>2669</v>
      </c>
      <c r="B12" s="2904" t="str">
        <f>'预评函-1'!A15</f>
        <v>本次评估设定用途即为证载用途。</v>
      </c>
    </row>
    <row r="13" spans="1:55" s="2902" customFormat="1">
      <c r="A13" s="2903" t="s">
        <v>2670</v>
      </c>
      <c r="B13" s="2904" t="str">
        <f>'预评函-1'!A17</f>
        <v>根据委托估价方介绍及评估专业人员现场勘查，本次评估估价对象实际土地开发程度为红线外市政基础设施达“七通”（即、、、、、、）、宗地红线内场地平整。</v>
      </c>
    </row>
    <row r="14" spans="1:55" s="2902" customFormat="1">
      <c r="A14" s="2903" t="s">
        <v>2671</v>
      </c>
      <c r="B14" s="2904" t="str">
        <f>'预评函-1'!A18</f>
        <v>。本次评估设定土地开发程度为红线外市政基础设施达“七通”、宗地红线内场地平整。</v>
      </c>
    </row>
    <row r="15" spans="1:55" s="2902" customFormat="1">
      <c r="A15" s="2903" t="s">
        <v>2667</v>
      </c>
      <c r="B15" s="2904" t="str">
        <f>'预评函-1'!A20</f>
        <v>根据《国有土地使用证》[]，估价对象（分摊）出让国有建设用地使用权面积为6666.4平方米。根据《建设工程规划许可证》[]、《出让合同》[]，估价对象规划建筑面积为26666平方米。</v>
      </c>
    </row>
    <row r="16" spans="1:55" s="2902" customFormat="1">
      <c r="A16" s="2903" t="s">
        <v>2672</v>
      </c>
      <c r="B16" s="290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1月31日。截至估价期日，出让国有建设用地使用权剩余土地使用年限为。</v>
      </c>
    </row>
    <row r="17" spans="1:48" s="2902" customFormat="1">
      <c r="A17" s="2903" t="s">
        <v>2673</v>
      </c>
      <c r="B17" s="2904" t="str">
        <f>'预评函-1'!A23</f>
        <v>本次评估设定估价对象剩余土地使用年限为。</v>
      </c>
    </row>
    <row r="18" spans="1:48" s="2902" customFormat="1">
      <c r="A18" s="2903" t="s">
        <v>2674</v>
      </c>
      <c r="B18" s="2904" t="str">
        <f>'预评函-1'!A25</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row>
    <row r="19" spans="1:48" s="2902" customFormat="1">
      <c r="A19" s="2903" t="s">
        <v>2675</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2676</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2677</v>
      </c>
      <c r="B21" s="292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4" t="s">
        <v>2678</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2679</v>
      </c>
      <c r="B23" s="2904" t="str">
        <f>'预评函-2'!K2</f>
        <v>估价期日：2018年4月25日</v>
      </c>
    </row>
    <row r="24" spans="1:48">
      <c r="A24" s="2903" t="s">
        <v>2680</v>
      </c>
      <c r="B24" s="2904" t="str">
        <f>'预评函-2'!R2</f>
        <v>估价期日的国有建设用地使用权性质：出让</v>
      </c>
    </row>
    <row r="25" spans="1:48">
      <c r="A25" s="2903" t="s">
        <v>2736</v>
      </c>
      <c r="B25" s="2904" t="str">
        <f>'预评函-2'!A3</f>
        <v>估价期日土地使用者</v>
      </c>
    </row>
    <row r="26" spans="1:48">
      <c r="A26" s="2903" t="s">
        <v>2712</v>
      </c>
      <c r="B26" s="2904" t="str">
        <f>'预评函-2'!A5</f>
        <v>中信开发</v>
      </c>
    </row>
    <row r="27" spans="1:48">
      <c r="A27" s="2903" t="s">
        <v>2737</v>
      </c>
      <c r="B27" s="2904" t="str">
        <f>'预评函-2'!B3</f>
        <v>宗地编号/不动产单元号</v>
      </c>
    </row>
    <row r="28" spans="1:48">
      <c r="A28" s="2903" t="s">
        <v>2713</v>
      </c>
      <c r="B28" s="2904" t="str">
        <f>'预评函-2'!B5</f>
        <v>11111111111</v>
      </c>
    </row>
    <row r="29" spans="1:48">
      <c r="A29" s="2903" t="s">
        <v>2739</v>
      </c>
      <c r="B29" s="2904">
        <f>'预评函-2'!C5</f>
        <v>22</v>
      </c>
    </row>
    <row r="30" spans="1:48">
      <c r="A30" s="2903" t="s">
        <v>2740</v>
      </c>
      <c r="B30" s="2904" t="str">
        <f>'预评函-2'!D3</f>
        <v>土地使用证编号/不动产权证书编号</v>
      </c>
    </row>
    <row r="31" spans="1:48">
      <c r="A31" s="2903" t="s">
        <v>2714</v>
      </c>
      <c r="B31" s="2904" t="str">
        <f>'预评函-2'!D5</f>
        <v>京国土字第111号</v>
      </c>
    </row>
    <row r="32" spans="1:48">
      <c r="A32" s="2903" t="s">
        <v>2715</v>
      </c>
      <c r="B32" s="2904">
        <f>'预评函-2'!E5</f>
        <v>0</v>
      </c>
      <c r="AV32" s="2908"/>
    </row>
    <row r="33" spans="1:2">
      <c r="A33" s="2903" t="s">
        <v>2716</v>
      </c>
      <c r="B33" s="2904">
        <f>'预评函-2'!F5</f>
        <v>258</v>
      </c>
    </row>
    <row r="34" spans="1:2">
      <c r="A34" s="2903" t="s">
        <v>2717</v>
      </c>
      <c r="B34" s="2904">
        <f>'预评函-2'!G5</f>
        <v>0</v>
      </c>
    </row>
    <row r="35" spans="1:2">
      <c r="A35" s="2903" t="s">
        <v>2718</v>
      </c>
      <c r="B35" s="2904">
        <f>'预评函-2'!H5</f>
        <v>1.5</v>
      </c>
    </row>
    <row r="36" spans="1:2">
      <c r="A36" s="2903" t="s">
        <v>2719</v>
      </c>
      <c r="B36" s="2904">
        <f>'预评函-2'!I5</f>
        <v>1.5</v>
      </c>
    </row>
    <row r="37" spans="1:2">
      <c r="A37" s="2903" t="s">
        <v>2720</v>
      </c>
      <c r="B37" s="2904">
        <f>'预评函-2'!J5</f>
        <v>1.5</v>
      </c>
    </row>
    <row r="38" spans="1:2">
      <c r="A38" s="2903" t="s">
        <v>2721</v>
      </c>
      <c r="B38" s="2904" t="str">
        <f>'预评函-2'!K5</f>
        <v>红线外七通、宗地红线内</v>
      </c>
    </row>
    <row r="39" spans="1:2">
      <c r="A39" s="2903" t="s">
        <v>2722</v>
      </c>
      <c r="B39" s="2904" t="str">
        <f>'预评函-2'!L5</f>
        <v>红线外七通、宗地红线内场地</v>
      </c>
    </row>
    <row r="40" spans="1:2">
      <c r="A40" s="2903" t="s">
        <v>2741</v>
      </c>
      <c r="B40" s="2904" t="str">
        <f>'预评函-2'!M3</f>
        <v>（剩余）土地使用年限/年</v>
      </c>
    </row>
    <row r="41" spans="1:2">
      <c r="A41" s="2903" t="s">
        <v>2723</v>
      </c>
      <c r="B41" s="2904">
        <f>'预评函-2'!M5</f>
        <v>0</v>
      </c>
    </row>
    <row r="42" spans="1:2">
      <c r="A42" s="2903" t="s">
        <v>2742</v>
      </c>
      <c r="B42" s="2904" t="str">
        <f>'预评函-2'!N3</f>
        <v>（分摊）出让国有建设用地使用权面积/㎡</v>
      </c>
    </row>
    <row r="43" spans="1:2">
      <c r="A43" s="2903" t="s">
        <v>2724</v>
      </c>
      <c r="B43" s="2904">
        <f>'预评函-2'!N5</f>
        <v>6666.4</v>
      </c>
    </row>
    <row r="44" spans="1:2">
      <c r="A44" s="2903" t="s">
        <v>2743</v>
      </c>
      <c r="B44" s="2904" t="str">
        <f>'预评函-2'!O3</f>
        <v>规划建筑面积/㎡</v>
      </c>
    </row>
    <row r="45" spans="1:2">
      <c r="A45" s="2903" t="s">
        <v>2725</v>
      </c>
      <c r="B45" s="2904">
        <f>'预评函-2'!O5</f>
        <v>26666</v>
      </c>
    </row>
    <row r="46" spans="1:2">
      <c r="A46" s="2903" t="s">
        <v>2726</v>
      </c>
      <c r="B46" s="2904">
        <f ca="1">'预评函-2'!P5</f>
        <v>4626</v>
      </c>
    </row>
    <row r="47" spans="1:2">
      <c r="A47" s="2903" t="s">
        <v>2727</v>
      </c>
      <c r="B47" s="2904">
        <f ca="1">'预评函-2'!Q5</f>
        <v>1157</v>
      </c>
    </row>
    <row r="48" spans="1:2">
      <c r="A48" s="2903" t="s">
        <v>2728</v>
      </c>
      <c r="B48" s="2904">
        <f ca="1">'预评函-2'!R5</f>
        <v>3084</v>
      </c>
    </row>
    <row r="49" spans="1:2">
      <c r="A49" s="2903" t="s">
        <v>2744</v>
      </c>
      <c r="B49" s="2904" t="str">
        <f>'预评函-2'!A6</f>
        <v>抵押价格</v>
      </c>
    </row>
    <row r="50" spans="1:2">
      <c r="A50" s="2903" t="s">
        <v>2729</v>
      </c>
      <c r="B50" s="2904">
        <f ca="1">'预评函-2'!R6</f>
        <v>3084</v>
      </c>
    </row>
    <row r="51" spans="1:2">
      <c r="A51" s="2903" t="s">
        <v>2745</v>
      </c>
      <c r="B51" s="2904" t="str">
        <f>'预评函-2'!A7</f>
        <v>——</v>
      </c>
    </row>
    <row r="52" spans="1:2">
      <c r="A52" s="2903" t="s">
        <v>2730</v>
      </c>
      <c r="B52" s="2904" t="str">
        <f>'预评函-2'!R7</f>
        <v>——</v>
      </c>
    </row>
    <row r="53" spans="1:2">
      <c r="A53" s="2903" t="s">
        <v>2746</v>
      </c>
      <c r="B53" s="2904">
        <f>'预评函-2'!A8</f>
        <v>0</v>
      </c>
    </row>
    <row r="54" spans="1:2" s="2918" customFormat="1" ht="15" thickBot="1">
      <c r="A54" s="2925" t="s">
        <v>2731</v>
      </c>
      <c r="B54" s="2926" t="str">
        <f>'预评函-2'!R8</f>
        <v>——</v>
      </c>
    </row>
    <row r="55" spans="1:2" ht="15" thickTop="1">
      <c r="A55" s="2914" t="s">
        <v>2681</v>
      </c>
      <c r="B55" s="2915" t="str">
        <f>'预评函-3'!A2</f>
        <v>1.权利限制：根据估价对象《不动产权证书》原件、《国有土地使用权》复印件，截至估价期日，估价对象抵押权未见登记。未设定租赁等其他他项权利。</v>
      </c>
    </row>
    <row r="56" spans="1:2">
      <c r="A56" s="2903" t="s">
        <v>2682</v>
      </c>
      <c r="B56" s="2904" t="str">
        <f>'预评函-3'!A3</f>
        <v>2.基础设施条件：估价对象实际开发程度为红线外七通、宗地红线内；本次评估设定开发程度为红线外七通、宗地红线内场地。</v>
      </c>
    </row>
    <row r="57" spans="1:2">
      <c r="A57" s="2903" t="s">
        <v>2683</v>
      </c>
      <c r="B57" s="2904" t="str">
        <f>'预评函-3'!A4</f>
        <v>3.估价规划限制条件：详见《建设工程规划许可证》[]、《出让合同》[]。</v>
      </c>
    </row>
    <row r="58" spans="1:2" s="2918" customFormat="1" ht="15" thickBot="1">
      <c r="A58" s="2925" t="s">
        <v>2732</v>
      </c>
      <c r="B58" s="2926" t="str">
        <f>'预评函-3'!A5</f>
        <v>4.影响价格的其他限定条件：无。</v>
      </c>
    </row>
    <row r="59" spans="1:2" ht="15" thickTop="1">
      <c r="A59" s="2914" t="s">
        <v>2684</v>
      </c>
      <c r="B59" s="2915" t="str">
        <f>'预评函-3'!A8</f>
        <v>2.本《评估意见函》仅供金融机构进行内部审核使用，不做其他目的之用。</v>
      </c>
    </row>
    <row r="60" spans="1:2">
      <c r="A60" s="2903" t="s">
        <v>2685</v>
      </c>
      <c r="B60" s="2904" t="str">
        <f>'预评函-3'!A9</f>
        <v>3.抵押双方在办理抵押登记手续时，应使用本公司出具的正式《土地估价报告》，特提请报告使用者注意。</v>
      </c>
    </row>
    <row r="61" spans="1:2">
      <c r="A61" s="2903" t="s">
        <v>2687</v>
      </c>
      <c r="B61" s="2904" t="str">
        <f>'预评函-3'!A10</f>
        <v>4.估价师所知悉的法定优先受偿款情况为：</v>
      </c>
    </row>
    <row r="62" spans="1:2">
      <c r="A62" s="2903" t="s">
        <v>2686</v>
      </c>
      <c r="B62" s="290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2688</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2689</v>
      </c>
      <c r="B64" s="2909" t="str">
        <f>'预评函-3'!A13</f>
        <v>（3）。</v>
      </c>
    </row>
    <row r="65" spans="1:2">
      <c r="A65" s="2903" t="s">
        <v>2690</v>
      </c>
      <c r="B65" s="2910" t="str">
        <f>'预评函-3'!A14</f>
        <v>综上，本次评估不存在估价师知悉的法定优先受偿款</v>
      </c>
    </row>
    <row r="66" spans="1:2">
      <c r="A66" s="2903" t="s">
        <v>2691</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2692</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2695</v>
      </c>
      <c r="B68" s="2929">
        <f>'预评函-3'!D30</f>
        <v>42558</v>
      </c>
    </row>
    <row r="69" spans="1:2" ht="15" thickTop="1">
      <c r="A69" s="2914" t="s">
        <v>2693</v>
      </c>
      <c r="B69" s="2915" t="str">
        <f>'预评函-3'!A20</f>
        <v>土地估价师</v>
      </c>
    </row>
    <row r="70" spans="1:2">
      <c r="A70" s="2903" t="s">
        <v>2693</v>
      </c>
      <c r="B70" s="2910">
        <f>'预评函-3'!B20</f>
        <v>0</v>
      </c>
    </row>
    <row r="71" spans="1:2">
      <c r="A71" s="2903" t="s">
        <v>2694</v>
      </c>
      <c r="B71" s="2904" t="str">
        <f>'预评函-3'!A21</f>
        <v>土地估价师</v>
      </c>
    </row>
    <row r="72" spans="1:2" s="2918" customFormat="1" ht="15" thickBot="1">
      <c r="A72" s="2925" t="s">
        <v>2694</v>
      </c>
      <c r="B72" s="2931">
        <f>'预评函-3'!B21</f>
        <v>0</v>
      </c>
    </row>
    <row r="73" spans="1:2" ht="15" thickTop="1">
      <c r="A73" s="2914" t="s">
        <v>2753</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2754</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2755</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2790</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35" t="str">
        <f>IF(B10="北京市","北京市",C10)&amp;F10&amp;B16&amp;"国有建设用地使用权"&amp;B9&amp;"预评估"</f>
        <v>河北省衡水市桃城区人民路南侧、问津街西侧出让国有建设用地使用权抵押价格预评估</v>
      </c>
      <c r="C1" s="3236"/>
      <c r="D1" s="3236"/>
      <c r="E1" s="3236"/>
      <c r="F1" s="3236"/>
      <c r="G1" s="3236"/>
      <c r="H1" s="3236"/>
      <c r="I1" s="3237"/>
      <c r="J1" s="1694"/>
      <c r="K1" s="2480" t="str">
        <f>IF(B10="北京市","北京市",C10)&amp;F10&amp;B16&amp;"国有建设用地使用权"&amp;B9</f>
        <v>河北省衡水市桃城区人民路南侧、问津街西侧出让国有建设用地使用权抵押价格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80" t="str">
        <f>IF(B10="北京市","北京市",C10)&amp;F10&amp;B16&amp;"国有建设用地使用权"</f>
        <v>河北省衡水市桃城区人民路南侧、问津街西侧出让国有建设用地使用权</v>
      </c>
      <c r="L2" s="1723"/>
      <c r="M2" s="1723"/>
      <c r="N2" s="1694"/>
      <c r="O2" s="1695"/>
      <c r="P2" s="1694"/>
      <c r="Q2" s="1694"/>
      <c r="R2" s="1694"/>
      <c r="S2" s="1694"/>
      <c r="T2" s="1694"/>
      <c r="U2" s="1694"/>
    </row>
    <row r="3" spans="1:21">
      <c r="A3" s="1661" t="s">
        <v>1941</v>
      </c>
      <c r="B3" s="1662">
        <v>43215</v>
      </c>
      <c r="C3" s="1663" t="s">
        <v>1997</v>
      </c>
      <c r="D3" s="1662">
        <f>B3</f>
        <v>43215</v>
      </c>
      <c r="E3" s="1694"/>
      <c r="F3" s="1694"/>
      <c r="G3" s="1694"/>
      <c r="H3" s="1660"/>
      <c r="I3" s="1695"/>
      <c r="J3" s="1694"/>
      <c r="K3" s="1774"/>
      <c r="L3" s="1723"/>
      <c r="M3" s="1723"/>
      <c r="N3" s="1694"/>
      <c r="O3" s="1695"/>
      <c r="P3" s="1694"/>
      <c r="Q3" s="1694"/>
      <c r="R3" s="1694"/>
      <c r="S3" s="1694"/>
      <c r="T3" s="1694"/>
      <c r="U3" s="1694"/>
    </row>
    <row r="4" spans="1:21" ht="29.25" thickBot="1">
      <c r="A4" s="1664" t="s">
        <v>1942</v>
      </c>
      <c r="B4" s="1843" t="s">
        <v>2892</v>
      </c>
      <c r="C4" s="1846">
        <f>SUMIF(土地估价师,B4,估价师及机构信息!E3:E24)</f>
        <v>0</v>
      </c>
      <c r="D4" s="1843" t="s">
        <v>2892</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t="s">
        <v>2985</v>
      </c>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t="str">
        <f>B5</f>
        <v>中信信托有限责任公司</v>
      </c>
      <c r="C6" s="1761"/>
      <c r="D6" s="1668"/>
      <c r="E6" s="1694"/>
      <c r="F6" s="1694"/>
      <c r="G6" s="1694"/>
      <c r="H6" s="1660"/>
      <c r="I6" s="1695"/>
      <c r="J6" s="1694"/>
      <c r="K6" s="3081" t="str">
        <f>IF(COUNTIF(B6,"*上海银行*"),"上海银行","")</f>
        <v/>
      </c>
      <c r="L6" s="1723"/>
      <c r="M6" s="1723"/>
      <c r="N6" s="1694"/>
      <c r="O6" s="1695"/>
      <c r="P6" s="1694"/>
      <c r="Q6" s="1694"/>
      <c r="R6" s="1694"/>
      <c r="S6" s="1694"/>
      <c r="T6" s="1694"/>
      <c r="U6" s="1694"/>
    </row>
    <row r="7" spans="1:21">
      <c r="A7" s="1669" t="s">
        <v>2710</v>
      </c>
      <c r="B7" s="1789" t="s">
        <v>2986</v>
      </c>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2987</v>
      </c>
      <c r="C8" s="1671"/>
      <c r="D8" s="3241" t="s">
        <v>1946</v>
      </c>
      <c r="E8" s="1844" t="s">
        <v>2988</v>
      </c>
      <c r="F8" s="1672"/>
      <c r="G8" s="1660"/>
      <c r="H8" s="1660"/>
      <c r="I8" s="1707"/>
      <c r="J8" s="1694"/>
      <c r="K8" s="1774"/>
      <c r="L8" s="1723"/>
      <c r="M8" s="1723"/>
      <c r="N8" s="1694"/>
      <c r="O8" s="1695"/>
      <c r="P8" s="1694"/>
      <c r="Q8" s="1694"/>
      <c r="R8" s="1694"/>
      <c r="S8" s="1694"/>
      <c r="T8" s="1694"/>
      <c r="U8" s="1694"/>
    </row>
    <row r="9" spans="1:21" ht="15" thickBot="1">
      <c r="A9" s="1673" t="s">
        <v>1945</v>
      </c>
      <c r="B9" s="1674" t="s">
        <v>2988</v>
      </c>
      <c r="C9" s="1675"/>
      <c r="D9" s="3242"/>
      <c r="E9" s="1674"/>
      <c r="F9" s="1747"/>
      <c r="G9" s="1742"/>
      <c r="H9" s="1742"/>
      <c r="I9" s="1743"/>
      <c r="J9" s="1694"/>
      <c r="K9" s="1774"/>
      <c r="L9" s="1723"/>
      <c r="M9" s="1723"/>
      <c r="N9" s="1694"/>
      <c r="O9" s="1695"/>
      <c r="P9" s="1694"/>
      <c r="Q9" s="1694"/>
      <c r="R9" s="1694"/>
      <c r="S9" s="1694"/>
      <c r="T9" s="1694"/>
      <c r="U9" s="1694"/>
    </row>
    <row r="10" spans="1:21" ht="15" thickTop="1">
      <c r="A10" s="1744" t="s">
        <v>2001</v>
      </c>
      <c r="B10" s="1719" t="s">
        <v>2989</v>
      </c>
      <c r="C10" s="1676" t="s">
        <v>2990</v>
      </c>
      <c r="D10" s="1667"/>
      <c r="E10" s="1677" t="s">
        <v>1948</v>
      </c>
      <c r="F10" s="1678" t="s">
        <v>2991</v>
      </c>
      <c r="G10" s="1745"/>
      <c r="H10" s="1746"/>
      <c r="I10" s="1667"/>
      <c r="J10" s="1694"/>
      <c r="K10" s="1774"/>
      <c r="L10" s="1723"/>
      <c r="M10" s="1723"/>
      <c r="N10" s="1694"/>
      <c r="O10" s="1695"/>
      <c r="P10" s="1694"/>
      <c r="Q10" s="1694"/>
      <c r="R10" s="1694"/>
      <c r="S10" s="1694"/>
      <c r="T10" s="1694"/>
      <c r="U10" s="1694"/>
    </row>
    <row r="11" spans="1:21">
      <c r="A11" s="1697" t="s">
        <v>2002</v>
      </c>
      <c r="B11" s="1698" t="s">
        <v>2992</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38"/>
      <c r="C12" s="3239"/>
      <c r="D12" s="3240"/>
      <c r="E12" s="1699" t="s">
        <v>2063</v>
      </c>
      <c r="F12" s="3256" t="s">
        <v>2893</v>
      </c>
      <c r="G12" s="3257"/>
      <c r="H12" s="3257"/>
      <c r="I12" s="3258"/>
      <c r="J12" s="1694"/>
      <c r="K12" s="1774"/>
      <c r="L12" s="1723"/>
      <c r="M12" s="1723"/>
      <c r="N12" s="1694"/>
      <c r="O12" s="1695"/>
      <c r="P12" s="1694"/>
      <c r="Q12" s="1694"/>
      <c r="R12" s="1694"/>
      <c r="S12" s="1694"/>
      <c r="T12" s="1694"/>
      <c r="U12" s="1694"/>
    </row>
    <row r="13" spans="1:21">
      <c r="A13" s="1687" t="s">
        <v>2061</v>
      </c>
      <c r="B13" s="3238"/>
      <c r="C13" s="3239"/>
      <c r="D13" s="3240"/>
      <c r="E13" s="1699" t="s">
        <v>2063</v>
      </c>
      <c r="F13" s="3256" t="s">
        <v>2894</v>
      </c>
      <c r="G13" s="3257"/>
      <c r="H13" s="3257"/>
      <c r="I13" s="3258"/>
      <c r="J13" s="1694"/>
      <c r="K13" s="1774"/>
      <c r="L13" s="1723"/>
      <c r="M13" s="1723"/>
      <c r="N13" s="1694"/>
      <c r="O13" s="1695"/>
      <c r="P13" s="1694"/>
      <c r="Q13" s="1694"/>
      <c r="R13" s="1694"/>
      <c r="S13" s="1694"/>
      <c r="T13" s="1694"/>
      <c r="U13" s="1694"/>
    </row>
    <row r="14" spans="1:21">
      <c r="A14" s="1661" t="s">
        <v>2064</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28.5">
      <c r="A16" s="1680" t="s">
        <v>1949</v>
      </c>
      <c r="B16" s="1681" t="s">
        <v>2994</v>
      </c>
      <c r="C16" s="1699" t="s">
        <v>1950</v>
      </c>
      <c r="D16" s="2671" t="s">
        <v>1951</v>
      </c>
      <c r="E16" s="1722" t="s">
        <v>2993</v>
      </c>
      <c r="F16" s="1722"/>
      <c r="G16" s="1722"/>
      <c r="H16" s="1722"/>
      <c r="I16" s="1686" t="s">
        <v>1956</v>
      </c>
      <c r="J16" s="1694"/>
      <c r="K16" s="2481" t="str">
        <f>IF(D17="","",D16&amp;TEXT(D17,"yyyy年m月d日;;"))</f>
        <v/>
      </c>
      <c r="L16" s="1699" t="str">
        <f>IF(OR(K16="",M16=""),"","、")</f>
        <v/>
      </c>
      <c r="M16" s="2481" t="str">
        <f>IF(E17="","",E16&amp;TEXT(E17,"yyyy年m月d日;;"))</f>
        <v>商业2051年1月31日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1957</v>
      </c>
      <c r="D17" s="1700"/>
      <c r="E17" s="1700">
        <v>55184</v>
      </c>
      <c r="F17" s="1700"/>
      <c r="G17" s="1700"/>
      <c r="H17" s="1700"/>
      <c r="I17" s="1700"/>
      <c r="J17" s="1694"/>
      <c r="K17" s="2480" t="str">
        <f>CONCATENATE(K16,L16,M16,N16,O16,P16,Q16,R16,S16,T16,,U16)</f>
        <v>商业2051年1月31日</v>
      </c>
      <c r="L17" s="1723"/>
      <c r="M17" s="1723"/>
      <c r="N17" s="1694"/>
      <c r="O17" s="1695"/>
      <c r="P17" s="1694"/>
      <c r="Q17" s="1694"/>
      <c r="R17" s="1694"/>
      <c r="S17" s="1694"/>
      <c r="T17" s="1694"/>
      <c r="U17" s="1694"/>
    </row>
    <row r="18" spans="1:21">
      <c r="A18" s="1763"/>
      <c r="B18" s="1682"/>
      <c r="C18" s="1683" t="s">
        <v>1958</v>
      </c>
      <c r="D18" s="1684"/>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t="str">
        <f>IF(B16="出让",IF(D17="","",ROUNDDOWN(MIN((D17-$D$3)/365,D18),2)),D18)</f>
        <v/>
      </c>
      <c r="E19" s="1685">
        <f>IF(B16="出让",IF(E17="","",ROUNDDOWN(MIN((E17-$D$3)/365,E18),2)),E18)</f>
        <v>32.79</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53"/>
      <c r="E20" s="3254"/>
      <c r="F20" s="3254"/>
      <c r="G20" s="3254"/>
      <c r="H20" s="3254"/>
      <c r="I20" s="3255"/>
      <c r="J20" s="1694"/>
      <c r="K20" s="1774"/>
      <c r="L20" s="1723"/>
      <c r="M20" s="1723"/>
      <c r="N20" s="1694"/>
      <c r="O20" s="1695"/>
      <c r="P20" s="1694"/>
      <c r="Q20" s="1694"/>
      <c r="R20" s="1694"/>
      <c r="S20" s="1694"/>
      <c r="T20" s="1694"/>
      <c r="U20" s="1694"/>
    </row>
    <row r="21" spans="1:21">
      <c r="A21" s="1763" t="s">
        <v>1960</v>
      </c>
      <c r="B21" s="1764" t="s">
        <v>1961</v>
      </c>
      <c r="C21" s="1759">
        <f>'数据-汇总表'!E3</f>
        <v>26666</v>
      </c>
      <c r="D21" s="1760" t="s">
        <v>1962</v>
      </c>
      <c r="E21" s="3243" t="s">
        <v>2000</v>
      </c>
      <c r="F21" s="3244"/>
      <c r="G21" s="3244"/>
      <c r="H21" s="3244"/>
      <c r="I21" s="3245"/>
      <c r="J21" s="1694"/>
      <c r="K21" s="1774"/>
      <c r="L21" s="1723"/>
      <c r="M21" s="1723"/>
      <c r="N21" s="1694"/>
      <c r="O21" s="1695"/>
      <c r="P21" s="1694"/>
      <c r="Q21" s="1694"/>
      <c r="R21" s="1694"/>
      <c r="S21" s="1694"/>
      <c r="T21" s="1694"/>
      <c r="U21" s="1694"/>
    </row>
    <row r="22" spans="1:21">
      <c r="A22" s="3180" t="s">
        <v>951</v>
      </c>
      <c r="B22" s="1661" t="s">
        <v>1963</v>
      </c>
      <c r="C22" s="1686">
        <f>'数据-汇总表'!D3</f>
        <v>6666.4</v>
      </c>
      <c r="D22" s="1687" t="s">
        <v>1962</v>
      </c>
      <c r="E22" s="3243" t="s">
        <v>2895</v>
      </c>
      <c r="F22" s="3244"/>
      <c r="G22" s="3244"/>
      <c r="H22" s="3244"/>
      <c r="I22" s="3245"/>
      <c r="J22" s="1694"/>
      <c r="K22" s="1774"/>
      <c r="L22" s="1723"/>
      <c r="M22" s="1723"/>
      <c r="N22" s="1694"/>
      <c r="O22" s="1695"/>
      <c r="P22" s="1694"/>
      <c r="Q22" s="1694"/>
      <c r="R22" s="1694"/>
      <c r="S22" s="1694"/>
      <c r="T22" s="1694"/>
      <c r="U22" s="1694"/>
    </row>
    <row r="23" spans="1:21" ht="43.5" thickBot="1">
      <c r="A23" s="1765" t="s">
        <v>1964</v>
      </c>
      <c r="B23" s="1701" t="s">
        <v>1965</v>
      </c>
      <c r="C23" s="1702"/>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46" t="s">
        <v>1968</v>
      </c>
      <c r="C24" s="3247"/>
      <c r="D24" s="3248" t="s">
        <v>1969</v>
      </c>
      <c r="E24" s="3249"/>
      <c r="F24" s="1708" t="s">
        <v>1970</v>
      </c>
      <c r="G24" s="1694"/>
      <c r="H24" s="1694"/>
      <c r="I24" s="1707"/>
      <c r="J24" s="1694"/>
      <c r="K24" s="3234" t="s">
        <v>1971</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34"/>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34"/>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76"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77"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77"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78"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20" t="s">
        <v>2003</v>
      </c>
      <c r="B31" s="1764" t="s">
        <v>2004</v>
      </c>
      <c r="C31" s="3259"/>
      <c r="D31" s="3260"/>
      <c r="E31" s="1694"/>
      <c r="F31" s="1694"/>
      <c r="G31" s="1694"/>
      <c r="H31" s="1694"/>
      <c r="I31" s="1707"/>
      <c r="J31" s="1694"/>
      <c r="K31" s="2483"/>
      <c r="L31" s="1694"/>
      <c r="M31" s="1694"/>
      <c r="N31" s="1694"/>
      <c r="O31" s="1694"/>
      <c r="P31" s="1694"/>
      <c r="Q31" s="1694"/>
      <c r="R31" s="1694"/>
      <c r="S31" s="1694"/>
      <c r="T31" s="1694"/>
      <c r="U31" s="1694"/>
    </row>
    <row r="32" spans="1:21">
      <c r="A32" s="3220"/>
      <c r="B32" s="1661" t="s">
        <v>2005</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20"/>
      <c r="B33" s="1661" t="s">
        <v>2006</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21"/>
      <c r="B34" s="1661" t="s">
        <v>2007</v>
      </c>
      <c r="C34" s="3222"/>
      <c r="D34" s="3223"/>
      <c r="E34" s="1694"/>
      <c r="F34" s="1694"/>
      <c r="G34" s="1694"/>
      <c r="H34" s="1694"/>
      <c r="I34" s="1707"/>
      <c r="J34" s="1694"/>
      <c r="K34" s="2483"/>
      <c r="L34" s="1694"/>
      <c r="M34" s="1694"/>
      <c r="N34" s="1694"/>
      <c r="O34" s="1694"/>
      <c r="P34" s="1694"/>
      <c r="Q34" s="1694"/>
      <c r="R34" s="1694"/>
      <c r="S34" s="1694"/>
      <c r="T34" s="1694"/>
      <c r="U34" s="1694"/>
    </row>
    <row r="35" spans="1:21">
      <c r="A35" s="3224" t="s">
        <v>846</v>
      </c>
      <c r="B35" s="1722"/>
      <c r="C35" s="1776" t="str">
        <f>IF(B35="场地平整","——","具体情况：")</f>
        <v>具体情况：</v>
      </c>
      <c r="D35" s="3226"/>
      <c r="E35" s="3227"/>
      <c r="F35" s="3227"/>
      <c r="G35" s="3227"/>
      <c r="H35" s="3227"/>
      <c r="I35" s="3228"/>
      <c r="J35" s="1694"/>
      <c r="K35" s="1775"/>
      <c r="L35" s="1723"/>
      <c r="M35" s="1723"/>
      <c r="N35" s="1694"/>
      <c r="O35" s="1695"/>
      <c r="P35" s="1694"/>
      <c r="Q35" s="1694"/>
      <c r="R35" s="1694"/>
      <c r="S35" s="1694"/>
      <c r="T35" s="1694"/>
      <c r="U35" s="1694"/>
    </row>
    <row r="36" spans="1:21">
      <c r="A36" s="3220"/>
      <c r="B36" s="3229" t="s">
        <v>2056</v>
      </c>
      <c r="C36" s="3230"/>
      <c r="D36" s="1792"/>
      <c r="E36" s="3231"/>
      <c r="F36" s="3231"/>
      <c r="G36" s="1687" t="str">
        <f>IF(B35="场地未平整","估价结果处理","")</f>
        <v/>
      </c>
      <c r="H36" s="3232"/>
      <c r="I36" s="3232"/>
      <c r="J36" s="1694"/>
      <c r="K36" s="1775"/>
      <c r="L36" s="1723"/>
      <c r="M36" s="1723"/>
      <c r="N36" s="1694"/>
      <c r="O36" s="1695"/>
      <c r="P36" s="1694"/>
      <c r="Q36" s="1694"/>
      <c r="R36" s="1694"/>
      <c r="S36" s="1694"/>
      <c r="T36" s="1694"/>
      <c r="U36" s="1694"/>
    </row>
    <row r="37" spans="1:21" ht="28.5">
      <c r="A37" s="3220"/>
      <c r="B37" s="3250"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20"/>
      <c r="B38" s="3251"/>
      <c r="C38" s="1669" t="s">
        <v>849</v>
      </c>
      <c r="D38" s="1791">
        <f>ROUNDDOWN(MIN(('数据-取费表'!$B$2-D37)/365,D34),1)</f>
        <v>118.3</v>
      </c>
      <c r="E38" s="1727" t="s">
        <v>850</v>
      </c>
      <c r="F38" s="1694"/>
      <c r="G38" s="1694"/>
      <c r="H38" s="1694"/>
      <c r="I38" s="1707"/>
      <c r="J38" s="1694"/>
      <c r="K38" s="1775"/>
      <c r="L38" s="1694"/>
      <c r="M38" s="1694"/>
      <c r="N38" s="1694"/>
      <c r="O38" s="1694"/>
      <c r="P38" s="1694"/>
      <c r="Q38" s="1694"/>
      <c r="R38" s="1694"/>
      <c r="S38" s="1694"/>
      <c r="T38" s="1694"/>
      <c r="U38" s="1694"/>
    </row>
    <row r="39" spans="1:21">
      <c r="A39" s="3221"/>
      <c r="B39" s="3252"/>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33" t="s">
        <v>1987</v>
      </c>
      <c r="T40" s="1731" t="str">
        <f>NUMBERSTRING(7-K40,1)&amp;"通"</f>
        <v>七通</v>
      </c>
      <c r="U40" s="1694"/>
    </row>
    <row r="41" spans="1:21">
      <c r="A41" s="1663"/>
      <c r="B41" s="3225" t="s">
        <v>1721</v>
      </c>
      <c r="C41" s="3225"/>
      <c r="D41" s="3225"/>
      <c r="E41" s="3225"/>
      <c r="F41" s="1732" t="str">
        <f>C10</f>
        <v>河北省</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3"/>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8" customFormat="1" ht="21" thickBot="1">
      <c r="A45" s="3099" t="s">
        <v>2896</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7" sqref="I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6666.4</v>
      </c>
      <c r="B3" s="22">
        <f>IF(C3="否",G5-AT5,G5)</f>
        <v>26666</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26666</v>
      </c>
      <c r="H5" s="27">
        <f t="shared" ref="H5:AT5" si="0">SUM(H13:H641)</f>
        <v>26666</v>
      </c>
      <c r="I5" s="27">
        <f t="shared" si="0"/>
        <v>26666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26666</v>
      </c>
      <c r="BA5" s="29">
        <f t="shared" si="1"/>
        <v>26666</v>
      </c>
      <c r="BB5" s="29">
        <f t="shared" si="1"/>
        <v>26666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6666.4</v>
      </c>
      <c r="F6" s="27" t="s">
        <v>1</v>
      </c>
      <c r="G6" s="27" t="s">
        <v>2</v>
      </c>
      <c r="H6" s="33">
        <f>SUMIF(I$12:AB$12,"总值",I6:AB6)</f>
        <v>6666.4</v>
      </c>
      <c r="I6" s="27">
        <f t="shared" ref="I6:AB6" si="2">ROUND($A$3*I5/$B$3,2)</f>
        <v>6666.4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6666.4</v>
      </c>
      <c r="AZ6" s="27" t="s">
        <v>3</v>
      </c>
      <c r="BA6" s="27">
        <f>ROUND($AY$6*BA5/$AZ$5,2)</f>
        <v>6666.4</v>
      </c>
      <c r="BB6" s="27">
        <f>ROUND($AY$6*BB5/$AZ$5,2)</f>
        <v>6666.4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4" t="s">
        <v>2995</v>
      </c>
      <c r="J9" s="51"/>
      <c r="K9" s="3044"/>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4" t="s">
        <v>2993</v>
      </c>
      <c r="J10" s="51"/>
      <c r="K10" s="3046"/>
      <c r="L10" s="51"/>
      <c r="M10" s="3046"/>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5" t="s">
        <v>3031</v>
      </c>
      <c r="J11" s="71"/>
      <c r="K11" s="3045"/>
      <c r="L11" s="71"/>
      <c r="M11" s="70"/>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酒店</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t="s">
        <v>3032</v>
      </c>
      <c r="D13" s="3040" t="s">
        <v>1678</v>
      </c>
      <c r="E13" s="27">
        <f t="shared" ref="E13:E20" si="6">IF($C$3="是",ROUND($A$3*G13/$B$3,2),ROUND($A$3*(G13-AT13)/$B$3,2))</f>
        <v>6666.4</v>
      </c>
      <c r="F13" s="81"/>
      <c r="G13" s="82">
        <f t="shared" ref="G13:G20" si="7">H13+AC13+AT13</f>
        <v>26666</v>
      </c>
      <c r="H13" s="33">
        <f t="shared" ref="H13:H20" si="8">SUMIF(I$12:AB$12,"总值",I13:AB13)</f>
        <v>26666</v>
      </c>
      <c r="I13" s="3043">
        <v>26666</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t="str">
        <f t="shared" si="10"/>
        <v>酒店</v>
      </c>
      <c r="AY13" s="996">
        <f t="shared" ref="AY13:AY20" si="11">ROUND($AY$6*AZ13/$AZ$5,2)</f>
        <v>6666.4</v>
      </c>
      <c r="AZ13" s="27">
        <f t="shared" ref="AZ13:AZ20" si="12">BA13+BL13</f>
        <v>26666</v>
      </c>
      <c r="BA13" s="27">
        <f t="shared" ref="BA13:BA20" si="13">SUM(BB13:BK13)</f>
        <v>26666</v>
      </c>
      <c r="BB13" s="27">
        <f t="shared" ref="BB13:BB20" si="14">IF($D13="是",I13-J13,0)</f>
        <v>26666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39"/>
      <c r="D14" s="3040" t="s">
        <v>3033</v>
      </c>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1" t="s">
        <v>0</v>
      </c>
      <c r="B1" s="3261" t="s">
        <v>4</v>
      </c>
      <c r="C1" s="3261" t="s">
        <v>5</v>
      </c>
      <c r="D1" s="3262" t="s">
        <v>40</v>
      </c>
      <c r="E1" s="3262" t="s">
        <v>41</v>
      </c>
      <c r="F1" s="3262"/>
      <c r="G1" s="3262"/>
      <c r="H1" s="3262"/>
      <c r="I1" s="3262"/>
      <c r="J1" s="3262"/>
      <c r="K1" s="3262"/>
      <c r="L1" s="3262"/>
      <c r="M1" s="3262"/>
    </row>
    <row r="2" spans="1:13" ht="27" customHeight="1">
      <c r="A2" s="3261"/>
      <c r="B2" s="3261"/>
      <c r="C2" s="3261"/>
      <c r="D2" s="3262"/>
      <c r="E2" s="3262" t="s">
        <v>24</v>
      </c>
      <c r="F2" s="3262" t="s">
        <v>25</v>
      </c>
      <c r="G2" s="3262"/>
      <c r="H2" s="3262"/>
      <c r="I2" s="3262"/>
      <c r="J2" s="3262" t="s">
        <v>26</v>
      </c>
      <c r="K2" s="3262"/>
      <c r="L2" s="3262"/>
      <c r="M2" s="3262"/>
    </row>
    <row r="3" spans="1:13" ht="28.5">
      <c r="A3" s="3261"/>
      <c r="B3" s="3261"/>
      <c r="C3" s="3261"/>
      <c r="D3" s="3262"/>
      <c r="E3" s="32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2" t="s">
        <v>42</v>
      </c>
      <c r="B9" s="3262"/>
      <c r="C9" s="32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72" t="s">
        <v>203</v>
      </c>
      <c r="B2" s="3272"/>
      <c r="C2" s="3272"/>
      <c r="D2" s="1976" t="s">
        <v>204</v>
      </c>
      <c r="E2" s="106" t="s">
        <v>205</v>
      </c>
      <c r="F2" s="1985"/>
      <c r="G2" s="1198"/>
      <c r="H2" s="1199"/>
      <c r="I2" s="1200" t="s">
        <v>856</v>
      </c>
      <c r="J2" s="1985"/>
      <c r="K2" s="1985"/>
      <c r="L2" s="1985"/>
    </row>
    <row r="3" spans="1:16" ht="15.75" thickBot="1">
      <c r="A3" s="3273" t="s">
        <v>206</v>
      </c>
      <c r="B3" s="3273"/>
      <c r="C3" s="3273"/>
      <c r="D3" s="107">
        <f>'数据-基础表'!AY6</f>
        <v>6666.4</v>
      </c>
      <c r="E3" s="107">
        <f>'数据-基础表'!AZ5</f>
        <v>26666</v>
      </c>
      <c r="F3" s="1985"/>
      <c r="G3" s="280" t="s">
        <v>857</v>
      </c>
      <c r="H3" s="275" t="s">
        <v>858</v>
      </c>
      <c r="I3" s="1977">
        <f>ROUND('数据-基础表'!B3/'数据-基础表'!A3,2)</f>
        <v>4</v>
      </c>
      <c r="J3" s="1985"/>
      <c r="K3" s="1985"/>
      <c r="L3" s="1985"/>
    </row>
    <row r="4" spans="1:16" ht="15">
      <c r="A4" s="3274"/>
      <c r="B4" s="3275"/>
      <c r="C4" s="3276"/>
      <c r="D4" s="108" t="s">
        <v>204</v>
      </c>
      <c r="E4" s="109" t="s">
        <v>205</v>
      </c>
      <c r="F4" s="1985"/>
      <c r="G4" s="1201"/>
      <c r="H4" s="275" t="s">
        <v>859</v>
      </c>
      <c r="I4" s="1977">
        <f>ROUND(SUMIF('数据-基础表'!I9:AS9,"地上",'数据-基础表'!I5:AS5)/'数据-基础表'!A3,2)</f>
        <v>4</v>
      </c>
      <c r="J4" s="1985"/>
      <c r="K4" s="1985"/>
      <c r="L4" s="1985"/>
    </row>
    <row r="5" spans="1:16">
      <c r="A5" s="110" t="s">
        <v>207</v>
      </c>
      <c r="B5" s="3277" t="s">
        <v>230</v>
      </c>
      <c r="C5" s="3277"/>
      <c r="D5" s="111">
        <f>ROUND($D$3*E5/$E$3,2)</f>
        <v>0</v>
      </c>
      <c r="E5" s="112">
        <f>SUMIF('数据-基础表'!$11:$11,"住宅",'数据-基础表'!$5:$5)</f>
        <v>0</v>
      </c>
      <c r="F5" s="1985"/>
      <c r="G5" s="280" t="s">
        <v>860</v>
      </c>
      <c r="H5" s="275" t="s">
        <v>858</v>
      </c>
      <c r="I5" s="1977">
        <f>ROUND(E31/D31,2)</f>
        <v>4</v>
      </c>
      <c r="J5" s="1985"/>
      <c r="K5" s="1985"/>
      <c r="L5" s="1985"/>
    </row>
    <row r="6" spans="1:16" ht="15" thickBot="1">
      <c r="A6" s="113"/>
      <c r="B6" s="3277" t="s">
        <v>208</v>
      </c>
      <c r="C6" s="3277"/>
      <c r="D6" s="111">
        <f>ROUND($D$3*E6/$E$3,2)</f>
        <v>6666.4</v>
      </c>
      <c r="E6" s="112">
        <f>E3-E5</f>
        <v>26666</v>
      </c>
      <c r="F6" s="1985"/>
      <c r="G6" s="1201"/>
      <c r="H6" s="275" t="s">
        <v>859</v>
      </c>
      <c r="I6" s="1977">
        <f>ROUND(F31/D31,2)</f>
        <v>4</v>
      </c>
      <c r="J6" s="1985"/>
      <c r="K6" s="1985"/>
      <c r="L6" s="1985"/>
    </row>
    <row r="7" spans="1:16" ht="15">
      <c r="A7" s="3269"/>
      <c r="B7" s="3270"/>
      <c r="C7" s="3271"/>
      <c r="D7" s="108" t="s">
        <v>204</v>
      </c>
      <c r="E7" s="114" t="s">
        <v>231</v>
      </c>
      <c r="F7" s="1985"/>
      <c r="G7" s="1156" t="s">
        <v>1645</v>
      </c>
      <c r="H7" s="1157"/>
      <c r="I7" s="1847">
        <v>4</v>
      </c>
      <c r="J7" s="1985"/>
      <c r="K7" s="1985"/>
      <c r="L7" s="1985"/>
    </row>
    <row r="8" spans="1:16">
      <c r="A8" s="110" t="s">
        <v>209</v>
      </c>
      <c r="B8" s="115" t="s">
        <v>210</v>
      </c>
      <c r="C8" s="111" t="s">
        <v>211</v>
      </c>
      <c r="D8" s="111">
        <f t="shared" ref="D8:D15" si="0">ROUND($D$3*E8/$E$3,2)</f>
        <v>6666.4</v>
      </c>
      <c r="E8" s="116">
        <f>SUMIF('数据-基础表'!BB10:BK10,"地上",'数据-基础表'!BB5:BK5)</f>
        <v>26666</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6666.4</v>
      </c>
      <c r="E16" s="120">
        <f>SUM(E8:E15)</f>
        <v>26666</v>
      </c>
      <c r="F16" s="1985"/>
      <c r="G16" s="1987"/>
      <c r="H16" s="968" t="s">
        <v>219</v>
      </c>
      <c r="I16" s="969"/>
      <c r="J16" s="1985"/>
      <c r="K16" s="3263" t="s">
        <v>2569</v>
      </c>
      <c r="L16" s="3264"/>
      <c r="M16" s="3264"/>
      <c r="N16" s="3264"/>
      <c r="O16" s="3264"/>
      <c r="P16" s="3265"/>
    </row>
    <row r="17" spans="1:19" ht="15">
      <c r="A17" s="121" t="s">
        <v>216</v>
      </c>
      <c r="B17" s="122" t="s">
        <v>217</v>
      </c>
      <c r="C17" s="2299" t="s">
        <v>2315</v>
      </c>
      <c r="D17" s="108" t="s">
        <v>204</v>
      </c>
      <c r="E17" s="124" t="s">
        <v>205</v>
      </c>
      <c r="F17" s="125"/>
      <c r="G17" s="1366"/>
      <c r="H17" s="970" t="s">
        <v>218</v>
      </c>
      <c r="I17" s="971" t="s">
        <v>2314</v>
      </c>
      <c r="J17" s="1985"/>
      <c r="K17" s="3266" t="s">
        <v>2570</v>
      </c>
      <c r="L17" s="3267"/>
      <c r="M17" s="3268"/>
      <c r="N17" s="3266" t="s">
        <v>2571</v>
      </c>
      <c r="O17" s="3267"/>
      <c r="P17" s="3268"/>
      <c r="R17" s="2300" t="s">
        <v>2313</v>
      </c>
      <c r="S17" s="144"/>
    </row>
    <row r="18" spans="1:19" ht="15">
      <c r="A18" s="117"/>
      <c r="B18" s="128"/>
      <c r="C18" s="129"/>
      <c r="D18" s="2667"/>
      <c r="E18" s="130" t="s">
        <v>220</v>
      </c>
      <c r="F18" s="131" t="s">
        <v>221</v>
      </c>
      <c r="G18" s="1367" t="s">
        <v>222</v>
      </c>
      <c r="H18" s="972" t="s">
        <v>223</v>
      </c>
      <c r="I18" s="973" t="s">
        <v>224</v>
      </c>
      <c r="J18" s="1985"/>
      <c r="K18" s="2630" t="s">
        <v>2572</v>
      </c>
      <c r="L18" s="2631" t="s">
        <v>2573</v>
      </c>
      <c r="M18" s="2632" t="s">
        <v>2574</v>
      </c>
      <c r="N18" s="2630" t="s">
        <v>2572</v>
      </c>
      <c r="O18" s="2631" t="s">
        <v>2573</v>
      </c>
      <c r="P18" s="2632" t="s">
        <v>2574</v>
      </c>
      <c r="R18" s="2301" t="s">
        <v>2311</v>
      </c>
      <c r="S18" s="2301" t="s">
        <v>2312</v>
      </c>
    </row>
    <row r="19" spans="1:19">
      <c r="A19" s="133"/>
      <c r="B19" s="115" t="s">
        <v>225</v>
      </c>
      <c r="C19" s="3050" t="s">
        <v>3034</v>
      </c>
      <c r="D19" s="111">
        <f t="shared" ref="D19:D26" si="1">ROUND($D$3*E19/$E$3,2)</f>
        <v>6666.4</v>
      </c>
      <c r="E19" s="134">
        <f t="shared" ref="E19:E26" si="2">SUM(F19:G19)</f>
        <v>26666</v>
      </c>
      <c r="F19" s="135">
        <f>'数据-基础表'!I13</f>
        <v>26666</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6666.4</v>
      </c>
      <c r="S19" s="2302">
        <f t="shared" si="5"/>
        <v>26666</v>
      </c>
    </row>
    <row r="20" spans="1:19">
      <c r="A20" s="138"/>
      <c r="B20" s="115" t="s">
        <v>226</v>
      </c>
      <c r="C20" s="3050"/>
      <c r="D20" s="111">
        <f t="shared" si="1"/>
        <v>0</v>
      </c>
      <c r="E20" s="134">
        <f t="shared" si="2"/>
        <v>0</v>
      </c>
      <c r="F20" s="135"/>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0</v>
      </c>
      <c r="S20" s="2302">
        <f t="shared" si="5"/>
        <v>0</v>
      </c>
    </row>
    <row r="21" spans="1:19">
      <c r="A21" s="138"/>
      <c r="B21" s="115" t="s">
        <v>226</v>
      </c>
      <c r="C21" s="3050"/>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15.75" thickBot="1">
      <c r="A27" s="138"/>
      <c r="B27" s="111"/>
      <c r="C27" s="127" t="s">
        <v>215</v>
      </c>
      <c r="D27" s="134">
        <f>SUM(D19:D26)</f>
        <v>6666.4</v>
      </c>
      <c r="E27" s="143">
        <f>IF(SUM(E19:E26)='数据-基础表'!BA5,SUM(E19:E26),IF(F27="地上面积有误","面积有误","地下面积有误"))</f>
        <v>26666</v>
      </c>
      <c r="F27" s="134">
        <f>IF(SUM(F19:F26)=E8,SUM(F19:F26),"地上面积有误")</f>
        <v>26666</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f>IF(SUM(R19:R26)=$D$3,SUM(R19:R26),SUM(R19:R26)&amp;"误差"&amp;ROUND(SUM(R19:R26)-$D$3,2))</f>
        <v>6666.4</v>
      </c>
      <c r="S27" s="275">
        <f>IF(SUM(S19:S26)=$E$3,SUM(S19:S26),SUM(S19:S26)&amp;"误差"&amp;ROUND(SUM(S19:S26)-E3,2))</f>
        <v>26666</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2322</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2324</v>
      </c>
      <c r="D31" s="1372">
        <f>D27+D30</f>
        <v>6666.4</v>
      </c>
      <c r="E31" s="1372">
        <f>E27+E30</f>
        <v>26666</v>
      </c>
      <c r="F31" s="1373">
        <f>F27+F30</f>
        <v>26666</v>
      </c>
      <c r="G31" s="1374">
        <f>G27+G30</f>
        <v>0</v>
      </c>
      <c r="H31" s="1985"/>
      <c r="I31" s="1985"/>
      <c r="J31" s="1985"/>
      <c r="K31" s="1985"/>
      <c r="L31" s="1985"/>
    </row>
    <row r="32" spans="1:19">
      <c r="A32" s="1985"/>
      <c r="B32" s="2364" t="s">
        <v>2323</v>
      </c>
      <c r="C32" s="2672"/>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6" sqref="L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43215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2831</v>
      </c>
      <c r="O5" s="163" t="s">
        <v>246</v>
      </c>
      <c r="P5" s="165" t="s">
        <v>247</v>
      </c>
      <c r="Q5" s="166" t="s">
        <v>248</v>
      </c>
      <c r="R5" s="167" t="s">
        <v>249</v>
      </c>
      <c r="S5" s="2646" t="s">
        <v>2575</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416" t="s">
        <v>2376</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酒店</v>
      </c>
      <c r="B6" s="2338" t="str">
        <f>IF(A6=0,"","经营性")</f>
        <v>经营性</v>
      </c>
      <c r="C6" s="173" t="s">
        <v>2993</v>
      </c>
      <c r="D6" s="2309">
        <f>SUMIF(项目基本情况!D$15:I$15,C6,项目基本情况!D$18:I$18)</f>
        <v>40</v>
      </c>
      <c r="E6" s="2310">
        <f>IF(B6="","",SUMIF(项目基本情况!D$15:I$15,C6,项目基本情况!D$17:I$17))</f>
        <v>55184</v>
      </c>
      <c r="F6" s="174">
        <f>SUMIF(项目基本情况!D$15:I$15,C6,项目基本情况!D$19:I$19)</f>
        <v>32.79</v>
      </c>
      <c r="G6" s="175">
        <f>IF(ISERROR(ROUND(POWER(1+H6,D6-F6)*(POWER(1+H6,F6)-1)/(POWER(1+H6,D6)-1),3)),0,ROUND(POWER(1+H6,D6-F6)*(POWER(1+H6,F6)-1)/(POWER(1+H6,D6)-1),3))</f>
        <v>0.93</v>
      </c>
      <c r="H6" s="3051">
        <v>0.05</v>
      </c>
      <c r="I6" s="3051">
        <v>6.5000000000000002E-2</v>
      </c>
      <c r="J6" s="176">
        <v>8.5000000000000006E-2</v>
      </c>
      <c r="K6" s="179">
        <f>SUMIF('数据-汇总表'!C$19:C$33,'数据-取费表'!A6,'数据-汇总表'!E$19:E$33)</f>
        <v>26666</v>
      </c>
      <c r="L6" s="3191">
        <v>4000</v>
      </c>
      <c r="M6" s="177">
        <f t="shared" ref="M6:M14" si="0">ROUND(K6*L6/10000,0)</f>
        <v>10666</v>
      </c>
      <c r="N6" s="3053">
        <v>0</v>
      </c>
      <c r="O6" s="177">
        <f>IF($N$5="成新度","——",ROUND(M6*N6,0))</f>
        <v>0</v>
      </c>
      <c r="P6" s="178">
        <f>IF($N$5="成新度","——",M6-O6)</f>
        <v>10666</v>
      </c>
      <c r="Q6" s="3054">
        <v>0.05</v>
      </c>
      <c r="R6" s="179">
        <f>SUMIF('数据-汇总表'!C$19:C$33,A6,'数据-汇总表'!R$19:R$33)</f>
        <v>6666.4</v>
      </c>
      <c r="S6" s="132">
        <f>IF('数据-汇总表'!$I$17="按面积比例",SUMIF('数据-汇总表'!C$19:C$33,A6,'数据-汇总表'!K$19:K$33),SUMIF('数据-汇总表'!C$19:C$33,A6,'数据-汇总表'!N$19:N$33))</f>
        <v>0</v>
      </c>
      <c r="T6" s="2235" t="str">
        <f>IF($T$4="按面积比例",IF(ISERROR(ROUND($M$14*S6/S$16,0)),"0",ROUND($M$14*S6/S$16,0)),"需自行计算录入")</f>
        <v>0</v>
      </c>
      <c r="U6" s="180">
        <f>酒店收入计算!E26</f>
        <v>1819.5000000000002</v>
      </c>
      <c r="V6" s="181">
        <v>1.4999999999999999E-2</v>
      </c>
      <c r="W6" s="181">
        <v>0</v>
      </c>
      <c r="X6" s="2322"/>
      <c r="Y6" s="182">
        <v>1</v>
      </c>
      <c r="Z6" s="183"/>
      <c r="AA6" s="176"/>
      <c r="AB6" s="176"/>
      <c r="AC6" s="2325"/>
      <c r="AD6" s="184"/>
      <c r="AE6" s="972">
        <f ca="1">IF(AN6="",0,SUMIF(INDIRECT("'"&amp;AN6&amp;"'"&amp;"!E:E"),$AE$5,INDIRECT("'"&amp;AN6&amp;"'"&amp;"!F:F")))</f>
        <v>31.29</v>
      </c>
      <c r="AF6" s="141"/>
      <c r="AG6" s="1213">
        <f>IF(AF6="",0,AE6-AF6)</f>
        <v>0</v>
      </c>
      <c r="AH6" s="141">
        <v>10000</v>
      </c>
      <c r="AI6" s="187">
        <v>1</v>
      </c>
      <c r="AJ6" s="188"/>
      <c r="AK6" s="189">
        <v>0.02</v>
      </c>
      <c r="AL6" s="190">
        <v>2E-3</v>
      </c>
      <c r="AM6" s="3065">
        <v>0.02</v>
      </c>
      <c r="AN6" s="2417" t="s">
        <v>3028</v>
      </c>
      <c r="AO6" s="2001"/>
      <c r="AP6" s="1204">
        <f>ROUND(1-1/(1+H6)^F6,3)</f>
        <v>0.79800000000000004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51"/>
      <c r="I7" s="3051"/>
      <c r="J7" s="176"/>
      <c r="K7" s="179">
        <f>SUMIF('数据-汇总表'!C$19:C$33,'数据-取费表'!A7,'数据-汇总表'!E$19:E$33)</f>
        <v>0</v>
      </c>
      <c r="L7" s="3052"/>
      <c r="M7" s="177">
        <f t="shared" si="0"/>
        <v>0</v>
      </c>
      <c r="N7" s="3053"/>
      <c r="O7" s="177">
        <f t="shared" ref="O7:O14" si="3">IF($N$5="成新度","——",ROUND(M7*N7,0))</f>
        <v>0</v>
      </c>
      <c r="P7" s="178">
        <f t="shared" ref="P7:P14" si="4">IF($N$5="成新度","——",M7-O7)</f>
        <v>0</v>
      </c>
      <c r="Q7" s="3054"/>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1679</v>
      </c>
      <c r="C14" s="2308" t="s">
        <v>2316</v>
      </c>
      <c r="D14" s="2309"/>
      <c r="E14" s="2310"/>
      <c r="F14" s="174"/>
      <c r="G14" s="175"/>
      <c r="H14" s="2311"/>
      <c r="I14" s="2311"/>
      <c r="J14" s="2311"/>
      <c r="K14" s="179">
        <f>SUMIF('数据-汇总表'!C$19:C$33,'数据-取费表'!A14,'数据-汇总表'!E$19:E$33)</f>
        <v>0</v>
      </c>
      <c r="L14" s="193"/>
      <c r="M14" s="177">
        <f t="shared" si="0"/>
        <v>0</v>
      </c>
      <c r="N14" s="194">
        <v>0</v>
      </c>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1679</v>
      </c>
      <c r="C15" s="2308" t="s">
        <v>2317</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0.93</v>
      </c>
      <c r="H16" s="203">
        <f>ROUND(SUMPRODUCT(H6:H13,K6:K13)/SUMPRODUCT((H6:H13&gt;0)*(K6:K13)),3)</f>
        <v>0.05</v>
      </c>
      <c r="I16" s="204"/>
      <c r="J16" s="204"/>
      <c r="K16" s="205">
        <f>SUM(K6:K15)</f>
        <v>26666</v>
      </c>
      <c r="L16" s="206">
        <f>ROUND(M16*10000/SUM(K6:K14),0)</f>
        <v>4000</v>
      </c>
      <c r="M16" s="206">
        <f>SUM(M6:M14)</f>
        <v>10666</v>
      </c>
      <c r="N16" s="207">
        <f>ROUND(SUMPRODUCT(M6:M14,N6:N14)/M16,3)</f>
        <v>0</v>
      </c>
      <c r="O16" s="206">
        <f>SUM(O6:O14)</f>
        <v>0</v>
      </c>
      <c r="P16" s="206">
        <f>SUM(P6:P14)</f>
        <v>10666</v>
      </c>
      <c r="Q16" s="208">
        <f>ROUND(SUMPRODUCT(Q6:Q13,K6:K13)/SUMPRODUCT((Q6:Q13&gt;0)*(K6:K13)),2)</f>
        <v>0.05</v>
      </c>
      <c r="R16" s="2312">
        <f>SUM(R6:R13)</f>
        <v>6666.4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0.79800000000000004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1.5</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1.5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1.5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2340</v>
      </c>
      <c r="B27" s="227">
        <v>50</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39.700000000000003</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2897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2898</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2900</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0.02</v>
      </c>
      <c r="C37" s="2366" t="s">
        <v>2901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2901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2459</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2460</v>
      </c>
      <c r="B40" s="2506">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0" t="s">
        <v>2905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1" t="s">
        <v>2906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1" t="s">
        <v>2907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4</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2997</v>
      </c>
      <c r="C53" s="3102" t="s">
        <v>2908</v>
      </c>
      <c r="D53" s="3103" t="s">
        <v>2909</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5" t="s">
        <v>2996</v>
      </c>
      <c r="B54" s="186">
        <v>4</v>
      </c>
      <c r="C54" s="1995">
        <v>30</v>
      </c>
      <c r="D54" s="3104"/>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5" t="s">
        <v>2910</v>
      </c>
      <c r="B55" s="186"/>
      <c r="C55" s="1995">
        <v>24</v>
      </c>
      <c r="D55" s="3104"/>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5" t="s">
        <v>2911</v>
      </c>
      <c r="B56" s="186"/>
      <c r="C56" s="1995">
        <v>18</v>
      </c>
      <c r="D56" s="3104"/>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5" t="s">
        <v>2912</v>
      </c>
      <c r="B57" s="186"/>
      <c r="C57" s="1995">
        <v>12</v>
      </c>
      <c r="D57" s="3104"/>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5" t="s">
        <v>2913</v>
      </c>
      <c r="B58" s="186"/>
      <c r="C58" s="1995">
        <v>3</v>
      </c>
      <c r="D58" s="3104"/>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5" t="s">
        <v>2914</v>
      </c>
      <c r="B59" s="186"/>
      <c r="C59" s="1995">
        <v>1.5</v>
      </c>
      <c r="D59" s="3104"/>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5" t="s">
        <v>2915</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5" t="s">
        <v>2916</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5" t="s">
        <v>2917</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6" t="s">
        <v>2918</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8" t="s">
        <v>1663</v>
      </c>
      <c r="B1" s="3279"/>
      <c r="C1" s="3279"/>
      <c r="D1" s="3279"/>
      <c r="E1" s="3279"/>
      <c r="F1" s="3279"/>
      <c r="G1" s="3279"/>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54">
      <c r="A3" s="1227" t="s">
        <v>1666</v>
      </c>
      <c r="B3" s="1228" t="s">
        <v>1653</v>
      </c>
      <c r="C3" s="3107" t="s">
        <v>2925</v>
      </c>
      <c r="D3" s="2010"/>
      <c r="E3" s="1229" t="s">
        <v>1666</v>
      </c>
      <c r="F3" s="1230" t="s">
        <v>1654</v>
      </c>
      <c r="G3" s="3111" t="s">
        <v>2924</v>
      </c>
      <c r="H3" s="2009"/>
      <c r="I3" s="2009"/>
      <c r="J3" s="2009"/>
      <c r="K3" s="2009"/>
      <c r="L3" s="2009"/>
      <c r="M3" s="2009"/>
      <c r="N3" s="2009"/>
      <c r="O3" s="2009"/>
      <c r="P3" s="2009"/>
      <c r="Q3" s="2009"/>
      <c r="R3" s="2009"/>
    </row>
    <row r="4" spans="1:18" ht="41.25">
      <c r="A4" s="1229"/>
      <c r="B4" s="1231" t="s">
        <v>1667</v>
      </c>
      <c r="C4" s="3108" t="s">
        <v>2926</v>
      </c>
      <c r="D4" s="2010"/>
      <c r="E4" s="1232"/>
      <c r="F4" s="1233" t="s">
        <v>1668</v>
      </c>
      <c r="G4" s="3109" t="s">
        <v>2921</v>
      </c>
      <c r="H4" s="2009"/>
      <c r="I4" s="2009"/>
      <c r="J4" s="2009"/>
      <c r="K4" s="2009"/>
      <c r="L4" s="2009"/>
      <c r="M4" s="2009"/>
      <c r="N4" s="2009"/>
      <c r="O4" s="2009"/>
      <c r="P4" s="2009"/>
      <c r="Q4" s="2009"/>
      <c r="R4" s="2009"/>
    </row>
    <row r="5" spans="1:18" ht="41.25">
      <c r="A5" s="1229"/>
      <c r="B5" s="1231" t="s">
        <v>1669</v>
      </c>
      <c r="C5" s="3108" t="s">
        <v>2927</v>
      </c>
      <c r="D5" s="2010"/>
      <c r="E5" s="1232"/>
      <c r="F5" s="1231" t="s">
        <v>2549</v>
      </c>
      <c r="G5" s="3109" t="s">
        <v>2922</v>
      </c>
      <c r="H5" s="2009"/>
      <c r="I5" s="2009"/>
      <c r="J5" s="2009"/>
      <c r="K5" s="2009"/>
      <c r="L5" s="2009"/>
      <c r="M5" s="2009"/>
      <c r="N5" s="2009"/>
      <c r="O5" s="2009"/>
      <c r="P5" s="2009"/>
      <c r="Q5" s="2009"/>
      <c r="R5" s="2009"/>
    </row>
    <row r="6" spans="1:18" ht="54">
      <c r="A6" s="1229"/>
      <c r="B6" s="1231" t="s">
        <v>1655</v>
      </c>
      <c r="C6" s="3109" t="s">
        <v>2921</v>
      </c>
      <c r="D6" s="2010"/>
      <c r="E6" s="1232"/>
      <c r="F6" s="1231" t="s">
        <v>2550</v>
      </c>
      <c r="G6" s="3109" t="s">
        <v>2919</v>
      </c>
      <c r="H6" s="2009"/>
      <c r="I6" s="2009"/>
      <c r="J6" s="2009"/>
      <c r="K6" s="2009"/>
      <c r="L6" s="2009"/>
      <c r="M6" s="2009"/>
      <c r="N6" s="2009"/>
      <c r="O6" s="2009"/>
      <c r="P6" s="2009"/>
      <c r="Q6" s="2009"/>
      <c r="R6" s="2009"/>
    </row>
    <row r="7" spans="1:18" ht="41.25" thickBot="1">
      <c r="A7" s="1229"/>
      <c r="B7" s="1231" t="s">
        <v>2549</v>
      </c>
      <c r="C7" s="3109" t="s">
        <v>2922</v>
      </c>
      <c r="D7" s="2011"/>
      <c r="E7" s="1234"/>
      <c r="F7" s="1235" t="s">
        <v>1670</v>
      </c>
      <c r="G7" s="3112" t="s">
        <v>2923</v>
      </c>
      <c r="H7" s="2009"/>
      <c r="I7" s="2009"/>
      <c r="J7" s="2009"/>
      <c r="K7" s="2009"/>
      <c r="L7" s="2009"/>
      <c r="M7" s="2009"/>
      <c r="N7" s="2009"/>
      <c r="O7" s="2009"/>
      <c r="P7" s="2009"/>
      <c r="Q7" s="2009"/>
      <c r="R7" s="2009"/>
    </row>
    <row r="8" spans="1:18" ht="27">
      <c r="A8" s="1229"/>
      <c r="B8" s="1231" t="s">
        <v>2550</v>
      </c>
      <c r="C8" s="3109" t="s">
        <v>2919</v>
      </c>
      <c r="D8" s="2011"/>
      <c r="E8" s="2011"/>
      <c r="F8" s="1554"/>
      <c r="G8" s="1554"/>
      <c r="H8" s="2009"/>
      <c r="I8" s="2009"/>
      <c r="J8" s="2009"/>
      <c r="K8" s="2009"/>
      <c r="L8" s="2009"/>
      <c r="M8" s="2009"/>
      <c r="N8" s="2009"/>
      <c r="O8" s="2009"/>
      <c r="P8" s="2009"/>
      <c r="Q8" s="2009"/>
      <c r="R8" s="2009"/>
    </row>
    <row r="9" spans="1:18" ht="40.5">
      <c r="A9" s="1229"/>
      <c r="B9" s="1231" t="s">
        <v>1656</v>
      </c>
      <c r="C9" s="3108" t="s">
        <v>2920</v>
      </c>
      <c r="D9" s="2010"/>
      <c r="E9" s="2011"/>
      <c r="F9" s="1554"/>
      <c r="G9" s="1554"/>
      <c r="H9" s="2009"/>
      <c r="I9" s="2009"/>
      <c r="J9" s="2009"/>
      <c r="K9" s="2009"/>
      <c r="L9" s="2009"/>
      <c r="M9" s="2009"/>
      <c r="N9" s="2009"/>
      <c r="O9" s="2009"/>
      <c r="P9" s="2009"/>
      <c r="Q9" s="2009"/>
      <c r="R9" s="2009"/>
    </row>
    <row r="10" spans="1:18" s="2017" customFormat="1" ht="15" thickBot="1">
      <c r="A10" s="1236"/>
      <c r="B10" s="1237" t="s">
        <v>1671</v>
      </c>
      <c r="C10" s="3110"/>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1672</v>
      </c>
      <c r="B13" s="2603"/>
      <c r="C13" s="2603"/>
      <c r="D13" s="1224"/>
      <c r="E13" s="2603"/>
      <c r="F13" s="2603"/>
      <c r="G13" s="2603"/>
    </row>
    <row r="14" spans="1:18" ht="14.25" thickBot="1">
      <c r="A14" s="1238"/>
      <c r="B14" s="1239"/>
      <c r="C14" s="1240" t="s">
        <v>1664</v>
      </c>
      <c r="D14" s="2010"/>
      <c r="E14" s="1241"/>
      <c r="F14" s="1241"/>
      <c r="G14" s="1223" t="s">
        <v>1665</v>
      </c>
    </row>
    <row r="15" spans="1:18" ht="54">
      <c r="A15" s="2613" t="s">
        <v>1657</v>
      </c>
      <c r="B15" s="1242" t="s">
        <v>1653</v>
      </c>
      <c r="C15" s="1243" t="str">
        <f>C3</f>
        <v>估价对象周边居住用地比例、居住小区规模和社区发展完善程度，综合评价居住社区成熟度一般</v>
      </c>
      <c r="D15" s="2010"/>
      <c r="E15" s="2610" t="s">
        <v>1658</v>
      </c>
      <c r="F15" s="1242" t="s">
        <v>1673</v>
      </c>
      <c r="G15" s="1244" t="str">
        <f>G3</f>
        <v>估价对象位于XX开发区，园区建设成熟度XX，产业集聚程度XX</v>
      </c>
    </row>
    <row r="16" spans="1:18" ht="40.5">
      <c r="A16" s="2614"/>
      <c r="B16" s="1245" t="s">
        <v>1667</v>
      </c>
      <c r="C16" s="1246" t="str">
        <f>C4</f>
        <v>估价对象位于XX商圈，周边商业氛围成熟，人流量大，商业繁华度好</v>
      </c>
      <c r="D16" s="2010"/>
      <c r="E16" s="2611"/>
      <c r="F16" s="1247" t="s">
        <v>1668</v>
      </c>
      <c r="G16" s="1005" t="str">
        <f>G4</f>
        <v>估价对象周边道路状况、公共交通通达情况、停车便捷程度，综合评价交通便捷度较好</v>
      </c>
    </row>
    <row r="17" spans="1:7" ht="40.5">
      <c r="A17" s="2614"/>
      <c r="B17" s="1245" t="s">
        <v>1669</v>
      </c>
      <c r="C17" s="1246" t="str">
        <f>C5</f>
        <v>估价对象位于XX商圈，周边办公楼项目较多，入驻率高，办公集聚程度较好</v>
      </c>
      <c r="D17" s="2011"/>
      <c r="E17" s="2611"/>
      <c r="F17" s="1247" t="s">
        <v>1674</v>
      </c>
      <c r="G17" s="2819"/>
    </row>
    <row r="18" spans="1:7" ht="54">
      <c r="A18" s="2614"/>
      <c r="B18" s="1247" t="s">
        <v>1655</v>
      </c>
      <c r="C18" s="1005" t="str">
        <f>C6</f>
        <v>估价对象周边道路状况、公共交通通达情况、停车便捷程度，综合评价交通便捷度较好</v>
      </c>
      <c r="D18" s="2011"/>
      <c r="E18" s="2611"/>
      <c r="F18" s="1247" t="s">
        <v>1670</v>
      </c>
      <c r="G18" s="1005" t="str">
        <f>G7</f>
        <v>该园区内是否有污染型企业，绿化情况，卫生条件，整体环境状况判断</v>
      </c>
    </row>
    <row r="19" spans="1:7" ht="27">
      <c r="A19" s="2614"/>
      <c r="B19" s="1247" t="s">
        <v>1659</v>
      </c>
      <c r="C19" s="2819"/>
      <c r="D19" s="2010"/>
      <c r="E19" s="2611"/>
      <c r="F19" s="1231" t="s">
        <v>2549</v>
      </c>
      <c r="G19" s="1005" t="str">
        <f>G5</f>
        <v>估价对象所在区域公共配套设施齐备情况</v>
      </c>
    </row>
    <row r="20" spans="1:7" ht="40.5">
      <c r="A20" s="2614"/>
      <c r="B20" s="1247" t="s">
        <v>1660</v>
      </c>
      <c r="C20" s="1246" t="str">
        <f>C9</f>
        <v>区域自然环境：；人文环境；综合评价环境状况一般</v>
      </c>
      <c r="D20" s="2011"/>
      <c r="E20" s="2611"/>
      <c r="F20" s="1231" t="s">
        <v>2550</v>
      </c>
      <c r="G20" s="1005" t="str">
        <f>G6</f>
        <v>估价对象所在区域基础设施水平</v>
      </c>
    </row>
    <row r="21" spans="1:7" ht="27">
      <c r="A21" s="2614"/>
      <c r="B21" s="1231" t="s">
        <v>2549</v>
      </c>
      <c r="C21" s="1005" t="str">
        <f>C7</f>
        <v>估价对象所在区域公共配套设施齐备情况</v>
      </c>
      <c r="D21" s="2010"/>
      <c r="E21" s="2611"/>
      <c r="F21" s="1247" t="s">
        <v>1661</v>
      </c>
      <c r="G21" s="3113"/>
    </row>
    <row r="22" spans="1:7" ht="27">
      <c r="A22" s="2614"/>
      <c r="B22" s="1231" t="s">
        <v>2550</v>
      </c>
      <c r="C22" s="1005" t="str">
        <f>C8</f>
        <v>估价对象所在区域基础设施水平</v>
      </c>
      <c r="D22" s="2010"/>
      <c r="E22" s="2611"/>
      <c r="F22" s="1247" t="s">
        <v>1671</v>
      </c>
      <c r="G22" s="2819"/>
    </row>
    <row r="23" spans="1:7" ht="15" thickBot="1">
      <c r="A23" s="2614"/>
      <c r="B23" s="1247" t="s">
        <v>1661</v>
      </c>
      <c r="C23" s="3113"/>
      <c r="E23" s="2612"/>
      <c r="F23" s="1248" t="s">
        <v>1675</v>
      </c>
      <c r="G23" s="3114"/>
    </row>
    <row r="24" spans="1:7" ht="14.25" thickBot="1">
      <c r="A24" s="2615"/>
      <c r="B24" s="1248" t="s">
        <v>1662</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7" sqref="D17"/>
    </sheetView>
  </sheetViews>
  <sheetFormatPr defaultColWidth="14.625" defaultRowHeight="13.5"/>
  <cols>
    <col min="1" max="1" width="24.375" customWidth="1"/>
  </cols>
  <sheetData>
    <row r="1" spans="1:9" ht="16.5">
      <c r="A1" s="3071" t="s">
        <v>2847</v>
      </c>
      <c r="B1" s="3071">
        <f>SUM(B14:B23)</f>
        <v>26666</v>
      </c>
      <c r="C1" s="3072"/>
      <c r="D1" s="3072"/>
      <c r="E1" s="3072"/>
      <c r="F1" s="3072"/>
    </row>
    <row r="2" spans="1:9" ht="16.5">
      <c r="A2" s="3071" t="s">
        <v>2848</v>
      </c>
      <c r="B2" s="3071">
        <f>SUM(C14:C23)</f>
        <v>6666.4</v>
      </c>
      <c r="C2" s="3072"/>
      <c r="D2" s="3072"/>
      <c r="E2" s="3072"/>
      <c r="F2" s="3072"/>
    </row>
    <row r="3" spans="1:9" ht="16.5">
      <c r="A3" s="3071" t="s">
        <v>2849</v>
      </c>
      <c r="B3" s="3073">
        <f>项目基本情况!D3</f>
        <v>43215</v>
      </c>
      <c r="C3" s="3072"/>
      <c r="D3" s="3072"/>
      <c r="E3" s="3072"/>
      <c r="F3" s="3072"/>
    </row>
    <row r="4" spans="1:9" ht="33">
      <c r="A4" s="3071" t="s">
        <v>2850</v>
      </c>
      <c r="B4" s="3071" t="s">
        <v>2851</v>
      </c>
      <c r="C4" s="3071" t="s">
        <v>2852</v>
      </c>
      <c r="D4" s="3071" t="s">
        <v>2853</v>
      </c>
      <c r="E4" s="3072"/>
      <c r="F4" s="3072"/>
    </row>
    <row r="5" spans="1:9" ht="16.5">
      <c r="A5" s="3071" t="s">
        <v>2854</v>
      </c>
      <c r="B5" s="3071">
        <f ca="1">SUM(D14:D23)</f>
        <v>3084</v>
      </c>
      <c r="C5" s="3071">
        <f ca="1">ROUND(B5*10000/$B$1,0)</f>
        <v>1157</v>
      </c>
      <c r="D5" s="3071">
        <f ca="1">ROUND(B5*10000/$B$2,0)</f>
        <v>4626</v>
      </c>
      <c r="E5" s="3072"/>
      <c r="F5" s="3072"/>
    </row>
    <row r="6" spans="1:9" ht="16.5">
      <c r="A6" s="3071" t="s">
        <v>2855</v>
      </c>
      <c r="B6" s="3071">
        <f ca="1">SUM(G14:G23)</f>
        <v>3084</v>
      </c>
      <c r="C6" s="3071">
        <f t="shared" ref="C6:C8" ca="1" si="0">ROUND(B6*10000/$B$1,0)</f>
        <v>1157</v>
      </c>
      <c r="D6" s="3071">
        <f t="shared" ref="D6:D8" ca="1" si="1">ROUND(B6*10000/$B$2,0)</f>
        <v>4626</v>
      </c>
      <c r="E6" s="3072"/>
      <c r="F6" s="3072"/>
    </row>
    <row r="7" spans="1:9" ht="16.5">
      <c r="A7" s="3071" t="s">
        <v>2856</v>
      </c>
      <c r="B7" s="3071">
        <f>SUM(H14:H23)</f>
        <v>0</v>
      </c>
      <c r="C7" s="3071">
        <f t="shared" si="0"/>
        <v>0</v>
      </c>
      <c r="D7" s="3071">
        <f t="shared" si="1"/>
        <v>0</v>
      </c>
      <c r="E7" s="3072"/>
      <c r="F7" s="3072"/>
    </row>
    <row r="8" spans="1:9" ht="16.5">
      <c r="A8" s="3071" t="s">
        <v>2857</v>
      </c>
      <c r="B8" s="3071">
        <f>SUM(I14:I23)</f>
        <v>0</v>
      </c>
      <c r="C8" s="3071">
        <f t="shared" si="0"/>
        <v>0</v>
      </c>
      <c r="D8" s="3071">
        <f t="shared" si="1"/>
        <v>0</v>
      </c>
      <c r="E8" s="3072"/>
      <c r="F8" s="3072"/>
    </row>
    <row r="9" spans="1:9" ht="16.5">
      <c r="A9" s="3071" t="s">
        <v>2858</v>
      </c>
      <c r="B9" s="3074"/>
      <c r="C9" s="3072"/>
      <c r="D9" s="3072"/>
      <c r="E9" s="3072"/>
      <c r="F9" s="3072"/>
    </row>
    <row r="10" spans="1:9" ht="16.5">
      <c r="A10" s="3071" t="s">
        <v>2859</v>
      </c>
      <c r="B10" s="3074"/>
      <c r="C10" s="3072"/>
      <c r="D10" s="3072"/>
      <c r="E10" s="3072"/>
      <c r="F10" s="3072"/>
    </row>
    <row r="11" spans="1:9" ht="16.5">
      <c r="A11" s="3071" t="s">
        <v>2876</v>
      </c>
      <c r="B11" s="3074"/>
      <c r="C11" s="3072"/>
      <c r="D11" s="3072"/>
      <c r="E11" s="3072"/>
      <c r="F11" s="3072"/>
    </row>
    <row r="12" spans="1:9" ht="16.5">
      <c r="A12" s="3072"/>
      <c r="B12" s="3072"/>
      <c r="C12" s="3072"/>
      <c r="D12" s="3072"/>
      <c r="E12" s="3072"/>
      <c r="F12" s="3072"/>
    </row>
    <row r="13" spans="1:9" ht="33">
      <c r="A13" s="3077" t="s">
        <v>2875</v>
      </c>
      <c r="B13" s="3075" t="s">
        <v>2847</v>
      </c>
      <c r="C13" s="3075" t="s">
        <v>2848</v>
      </c>
      <c r="D13" s="3075" t="s">
        <v>2860</v>
      </c>
      <c r="E13" s="3071" t="s">
        <v>2874</v>
      </c>
      <c r="F13" s="3071" t="s">
        <v>2853</v>
      </c>
      <c r="G13" s="3075" t="s">
        <v>2861</v>
      </c>
      <c r="H13" s="3075" t="s">
        <v>2862</v>
      </c>
      <c r="I13" s="3075" t="s">
        <v>2863</v>
      </c>
    </row>
    <row r="14" spans="1:9" ht="16.5">
      <c r="A14" s="3078" t="s">
        <v>2873</v>
      </c>
      <c r="B14" s="3075">
        <f>结果表!L38</f>
        <v>26666</v>
      </c>
      <c r="C14" s="3075">
        <f>结果表!K38</f>
        <v>6666.4</v>
      </c>
      <c r="D14" s="3075">
        <f ca="1">结果表!C42</f>
        <v>3084</v>
      </c>
      <c r="E14" s="3075">
        <f ca="1">ROUND(D14*10000/B14,0)</f>
        <v>1157</v>
      </c>
      <c r="F14" s="3075">
        <f ca="1">ROUND(D14*10000/C14,0)</f>
        <v>4626</v>
      </c>
      <c r="G14" s="3075">
        <f ca="1">结果表!C44</f>
        <v>3084</v>
      </c>
      <c r="H14" s="3075" t="str">
        <f>结果表!C45</f>
        <v>——</v>
      </c>
      <c r="I14" s="3075" t="str">
        <f>结果表!C46</f>
        <v>——</v>
      </c>
    </row>
    <row r="15" spans="1:9" ht="16.5">
      <c r="A15" s="3078" t="s">
        <v>2864</v>
      </c>
      <c r="B15" s="3079"/>
      <c r="C15" s="3079"/>
      <c r="D15" s="3079"/>
      <c r="E15" s="3075" t="e">
        <f t="shared" ref="E15:E23" si="2">ROUND(D15*10000/B15,0)</f>
        <v>#DIV/0!</v>
      </c>
      <c r="F15" s="3075" t="e">
        <f t="shared" ref="F15:F23" si="3">ROUND(D15*10000/C15,0)</f>
        <v>#DIV/0!</v>
      </c>
      <c r="G15" s="3076"/>
      <c r="H15" s="3076"/>
      <c r="I15" s="3079"/>
    </row>
    <row r="16" spans="1:9" ht="16.5">
      <c r="A16" s="3078" t="s">
        <v>2865</v>
      </c>
      <c r="B16" s="3079"/>
      <c r="C16" s="3079"/>
      <c r="D16" s="3079"/>
      <c r="E16" s="3075" t="e">
        <f t="shared" si="2"/>
        <v>#DIV/0!</v>
      </c>
      <c r="F16" s="3075" t="e">
        <f t="shared" si="3"/>
        <v>#DIV/0!</v>
      </c>
      <c r="G16" s="3076"/>
      <c r="H16" s="3076"/>
      <c r="I16" s="3079"/>
    </row>
    <row r="17" spans="1:9" ht="16.5">
      <c r="A17" s="3078" t="s">
        <v>2866</v>
      </c>
      <c r="B17" s="3079"/>
      <c r="C17" s="3079"/>
      <c r="D17" s="3079"/>
      <c r="E17" s="3075" t="e">
        <f t="shared" si="2"/>
        <v>#DIV/0!</v>
      </c>
      <c r="F17" s="3075" t="e">
        <f t="shared" si="3"/>
        <v>#DIV/0!</v>
      </c>
      <c r="G17" s="3076"/>
      <c r="H17" s="3076"/>
      <c r="I17" s="3079"/>
    </row>
    <row r="18" spans="1:9" ht="16.5">
      <c r="A18" s="3078" t="s">
        <v>2867</v>
      </c>
      <c r="B18" s="3079"/>
      <c r="C18" s="3079"/>
      <c r="D18" s="3079"/>
      <c r="E18" s="3075" t="e">
        <f t="shared" si="2"/>
        <v>#DIV/0!</v>
      </c>
      <c r="F18" s="3075" t="e">
        <f t="shared" si="3"/>
        <v>#DIV/0!</v>
      </c>
      <c r="G18" s="3079"/>
      <c r="H18" s="3079"/>
      <c r="I18" s="3079"/>
    </row>
    <row r="19" spans="1:9" ht="16.5">
      <c r="A19" s="3078" t="s">
        <v>2868</v>
      </c>
      <c r="B19" s="3079"/>
      <c r="C19" s="3079"/>
      <c r="D19" s="3079"/>
      <c r="E19" s="3075" t="e">
        <f t="shared" si="2"/>
        <v>#DIV/0!</v>
      </c>
      <c r="F19" s="3075" t="e">
        <f t="shared" si="3"/>
        <v>#DIV/0!</v>
      </c>
      <c r="G19" s="3079"/>
      <c r="H19" s="3079"/>
      <c r="I19" s="3079"/>
    </row>
    <row r="20" spans="1:9" ht="16.5">
      <c r="A20" s="3078" t="s">
        <v>2869</v>
      </c>
      <c r="B20" s="3079"/>
      <c r="C20" s="3079"/>
      <c r="D20" s="3079"/>
      <c r="E20" s="3075" t="e">
        <f t="shared" si="2"/>
        <v>#DIV/0!</v>
      </c>
      <c r="F20" s="3075" t="e">
        <f t="shared" si="3"/>
        <v>#DIV/0!</v>
      </c>
      <c r="G20" s="3079"/>
      <c r="H20" s="3079"/>
      <c r="I20" s="3079"/>
    </row>
    <row r="21" spans="1:9" ht="16.5">
      <c r="A21" s="3078" t="s">
        <v>2870</v>
      </c>
      <c r="B21" s="3079"/>
      <c r="C21" s="3079"/>
      <c r="D21" s="3079"/>
      <c r="E21" s="3075" t="e">
        <f t="shared" si="2"/>
        <v>#DIV/0!</v>
      </c>
      <c r="F21" s="3075" t="e">
        <f t="shared" si="3"/>
        <v>#DIV/0!</v>
      </c>
      <c r="G21" s="3079"/>
      <c r="H21" s="3079"/>
      <c r="I21" s="3079"/>
    </row>
    <row r="22" spans="1:9" ht="16.5">
      <c r="A22" s="3078" t="s">
        <v>2871</v>
      </c>
      <c r="B22" s="3079"/>
      <c r="C22" s="3079"/>
      <c r="D22" s="3079"/>
      <c r="E22" s="3075" t="e">
        <f t="shared" si="2"/>
        <v>#DIV/0!</v>
      </c>
      <c r="F22" s="3075" t="e">
        <f t="shared" si="3"/>
        <v>#DIV/0!</v>
      </c>
      <c r="G22" s="3079"/>
      <c r="H22" s="3079"/>
      <c r="I22" s="3079"/>
    </row>
    <row r="23" spans="1:9" ht="16.5">
      <c r="A23" s="3078" t="s">
        <v>2872</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2" zoomScaleNormal="100" zoomScaleSheetLayoutView="100" zoomScalePageLayoutView="80" workbookViewId="0">
      <selection activeCell="N43" sqref="N4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2998</v>
      </c>
      <c r="E1" s="1806" t="s">
        <v>2059</v>
      </c>
      <c r="F1" s="1808" t="s">
        <v>2999</v>
      </c>
      <c r="G1" s="311"/>
      <c r="H1" s="311"/>
      <c r="I1" s="311"/>
      <c r="J1" s="2030"/>
      <c r="K1" s="2030"/>
      <c r="L1" s="2030"/>
      <c r="M1" s="2030"/>
      <c r="N1" s="2030"/>
      <c r="O1" s="2030"/>
      <c r="P1" s="2030"/>
      <c r="Q1" s="2030"/>
      <c r="R1" s="2030"/>
      <c r="S1" s="2030"/>
      <c r="T1" s="2030"/>
      <c r="U1" s="2030"/>
      <c r="V1" s="2030"/>
    </row>
    <row r="2" spans="1:22" ht="21.75" customHeight="1" thickBot="1">
      <c r="A2" s="3316" t="str">
        <f>项目基本情况!K2</f>
        <v>河北省衡水市桃城区人民路南侧、问津街西侧出让国有建设用地使用权</v>
      </c>
      <c r="B2" s="3317"/>
      <c r="C2" s="3318"/>
      <c r="D2" s="3318"/>
      <c r="E2" s="3318"/>
      <c r="F2" s="3318"/>
      <c r="G2" s="3317"/>
      <c r="H2" s="3317"/>
      <c r="I2" s="3319"/>
      <c r="J2" s="2031"/>
      <c r="K2" s="2030"/>
      <c r="L2" s="2030"/>
      <c r="M2" s="2030"/>
      <c r="N2" s="2030"/>
      <c r="O2" s="2030"/>
      <c r="P2" s="2030"/>
      <c r="Q2" s="2030"/>
      <c r="R2" s="2030"/>
      <c r="S2" s="2030"/>
      <c r="T2" s="2030"/>
      <c r="U2" s="2030"/>
      <c r="V2" s="2030"/>
    </row>
    <row r="3" spans="1:22" ht="14.25">
      <c r="A3" s="3309" t="s">
        <v>298</v>
      </c>
      <c r="B3" s="3310"/>
      <c r="C3" s="3310"/>
      <c r="D3" s="3310"/>
      <c r="E3" s="3310"/>
      <c r="F3" s="3310"/>
      <c r="G3" s="3310"/>
      <c r="H3" s="3310"/>
      <c r="I3" s="3310"/>
      <c r="J3" s="2031"/>
      <c r="K3" s="2030"/>
      <c r="L3" s="2030"/>
      <c r="M3" s="2030"/>
      <c r="N3" s="2030"/>
      <c r="O3" s="2030"/>
      <c r="P3" s="2030"/>
      <c r="Q3" s="2030"/>
      <c r="R3" s="2030"/>
      <c r="S3" s="2030"/>
      <c r="T3" s="2030"/>
      <c r="U3" s="2030"/>
      <c r="V3" s="2030"/>
    </row>
    <row r="4" spans="1:22" ht="14.25">
      <c r="A4" s="258" t="s">
        <v>299</v>
      </c>
      <c r="B4" s="259" t="s">
        <v>300</v>
      </c>
      <c r="C4" s="260" t="s">
        <v>3000</v>
      </c>
      <c r="D4" s="260" t="s">
        <v>3001</v>
      </c>
      <c r="E4" s="3281" t="s">
        <v>301</v>
      </c>
      <c r="F4" s="3282"/>
      <c r="G4" s="3282"/>
      <c r="H4" s="3282"/>
      <c r="I4" s="3311"/>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80" t="s">
        <v>302</v>
      </c>
      <c r="B5" s="3306">
        <v>25</v>
      </c>
      <c r="C5" s="3304"/>
      <c r="D5" s="3308"/>
      <c r="E5" s="261" t="s">
        <v>303</v>
      </c>
      <c r="F5" s="262"/>
      <c r="G5" s="262"/>
      <c r="H5" s="262"/>
      <c r="I5" s="263"/>
      <c r="J5" s="2031"/>
      <c r="K5" s="2030"/>
      <c r="L5" s="2030"/>
      <c r="M5" s="2030"/>
      <c r="N5" s="2030"/>
      <c r="O5" s="2030"/>
      <c r="P5" s="2030"/>
      <c r="Q5" s="2030"/>
      <c r="R5" s="2030"/>
      <c r="S5" s="2030"/>
      <c r="T5" s="2030"/>
      <c r="U5" s="2030"/>
      <c r="V5" s="2030"/>
    </row>
    <row r="6" spans="1:22" ht="14.25">
      <c r="A6" s="3280"/>
      <c r="B6" s="3306"/>
      <c r="C6" s="3307"/>
      <c r="D6" s="3308"/>
      <c r="E6" s="261" t="s">
        <v>304</v>
      </c>
      <c r="F6" s="262"/>
      <c r="G6" s="262"/>
      <c r="H6" s="262"/>
      <c r="I6" s="263"/>
      <c r="J6" s="2031"/>
      <c r="K6" s="2030"/>
      <c r="L6" s="2030"/>
      <c r="M6" s="2030"/>
      <c r="N6" s="2030"/>
      <c r="O6" s="2030"/>
      <c r="P6" s="2030"/>
      <c r="Q6" s="2030"/>
      <c r="R6" s="2030"/>
      <c r="S6" s="2030"/>
      <c r="T6" s="2030"/>
      <c r="U6" s="2030"/>
      <c r="V6" s="2030"/>
    </row>
    <row r="7" spans="1:22" ht="14.25">
      <c r="A7" s="3280"/>
      <c r="B7" s="3306"/>
      <c r="C7" s="3305"/>
      <c r="D7" s="3308"/>
      <c r="E7" s="261" t="s">
        <v>305</v>
      </c>
      <c r="F7" s="262"/>
      <c r="G7" s="262"/>
      <c r="H7" s="262"/>
      <c r="I7" s="263"/>
      <c r="J7" s="2031"/>
      <c r="K7" s="2030"/>
      <c r="L7" s="2030"/>
      <c r="M7" s="2030"/>
      <c r="N7" s="2030"/>
      <c r="O7" s="2030"/>
      <c r="P7" s="2030"/>
      <c r="Q7" s="2030"/>
      <c r="R7" s="2030"/>
      <c r="S7" s="2030"/>
      <c r="T7" s="2030"/>
      <c r="U7" s="2030"/>
      <c r="V7" s="2030"/>
    </row>
    <row r="8" spans="1:22" ht="14.25">
      <c r="A8" s="3280" t="s">
        <v>306</v>
      </c>
      <c r="B8" s="3306">
        <v>15</v>
      </c>
      <c r="C8" s="3304"/>
      <c r="D8" s="3308"/>
      <c r="E8" s="261" t="s">
        <v>307</v>
      </c>
      <c r="F8" s="262"/>
      <c r="G8" s="262"/>
      <c r="H8" s="262"/>
      <c r="I8" s="263"/>
      <c r="J8" s="2031"/>
      <c r="K8" s="2030"/>
      <c r="L8" s="2030"/>
      <c r="M8" s="2030"/>
      <c r="N8" s="2030"/>
      <c r="O8" s="2030"/>
      <c r="P8" s="2030"/>
      <c r="Q8" s="2030"/>
      <c r="R8" s="2030"/>
      <c r="S8" s="2030"/>
      <c r="T8" s="2030"/>
      <c r="U8" s="2030"/>
      <c r="V8" s="2030"/>
    </row>
    <row r="9" spans="1:22" ht="14.25">
      <c r="A9" s="3280"/>
      <c r="B9" s="3306"/>
      <c r="C9" s="3305"/>
      <c r="D9" s="3308"/>
      <c r="E9" s="261" t="s">
        <v>308</v>
      </c>
      <c r="F9" s="262"/>
      <c r="G9" s="262"/>
      <c r="H9" s="262"/>
      <c r="I9" s="263"/>
      <c r="J9" s="2031"/>
      <c r="K9" s="2030"/>
      <c r="L9" s="2030"/>
      <c r="M9" s="2030"/>
      <c r="N9" s="2030"/>
      <c r="O9" s="2030"/>
      <c r="P9" s="2030"/>
      <c r="Q9" s="2030"/>
      <c r="R9" s="2030"/>
      <c r="S9" s="2030"/>
      <c r="T9" s="2030"/>
      <c r="U9" s="2030"/>
      <c r="V9" s="2030"/>
    </row>
    <row r="10" spans="1:22" ht="14.25">
      <c r="A10" s="3280" t="s">
        <v>309</v>
      </c>
      <c r="B10" s="3306">
        <v>15</v>
      </c>
      <c r="C10" s="3304"/>
      <c r="D10" s="3308"/>
      <c r="E10" s="261" t="s">
        <v>310</v>
      </c>
      <c r="F10" s="262"/>
      <c r="G10" s="262"/>
      <c r="H10" s="262"/>
      <c r="I10" s="263"/>
      <c r="J10" s="2031"/>
      <c r="K10" s="2030"/>
      <c r="L10" s="2030"/>
      <c r="M10" s="2030"/>
      <c r="N10" s="2030"/>
      <c r="O10" s="2030"/>
      <c r="P10" s="2030"/>
      <c r="Q10" s="2030"/>
      <c r="R10" s="2030"/>
      <c r="S10" s="2030"/>
      <c r="T10" s="2030"/>
      <c r="U10" s="2030"/>
      <c r="V10" s="2030"/>
    </row>
    <row r="11" spans="1:22" ht="14.25">
      <c r="A11" s="3280"/>
      <c r="B11" s="3306"/>
      <c r="C11" s="3305"/>
      <c r="D11" s="3308"/>
      <c r="E11" s="261" t="s">
        <v>311</v>
      </c>
      <c r="F11" s="262"/>
      <c r="G11" s="262"/>
      <c r="H11" s="262"/>
      <c r="I11" s="263"/>
      <c r="J11" s="2031"/>
      <c r="K11" s="2030"/>
      <c r="L11" s="2030"/>
      <c r="M11" s="2030"/>
      <c r="N11" s="2030"/>
      <c r="O11" s="2030"/>
      <c r="P11" s="2030"/>
      <c r="Q11" s="2030"/>
      <c r="R11" s="2030"/>
      <c r="S11" s="2030"/>
      <c r="T11" s="2030"/>
      <c r="U11" s="2030"/>
      <c r="V11" s="2030"/>
    </row>
    <row r="12" spans="1:22" ht="14.25">
      <c r="A12" s="3280" t="s">
        <v>312</v>
      </c>
      <c r="B12" s="3306">
        <v>15</v>
      </c>
      <c r="C12" s="3304"/>
      <c r="D12" s="3308"/>
      <c r="E12" s="261" t="s">
        <v>313</v>
      </c>
      <c r="F12" s="262"/>
      <c r="G12" s="262"/>
      <c r="H12" s="262"/>
      <c r="I12" s="263"/>
      <c r="J12" s="2031"/>
      <c r="K12" s="2030"/>
      <c r="L12" s="2030"/>
      <c r="M12" s="2030"/>
      <c r="N12" s="2030"/>
      <c r="O12" s="2030"/>
      <c r="P12" s="2030"/>
      <c r="Q12" s="2030"/>
      <c r="R12" s="2030"/>
      <c r="S12" s="2030"/>
      <c r="T12" s="2030"/>
      <c r="U12" s="2030"/>
      <c r="V12" s="2030"/>
    </row>
    <row r="13" spans="1:22" ht="14.25">
      <c r="A13" s="3280"/>
      <c r="B13" s="3306"/>
      <c r="C13" s="3305"/>
      <c r="D13" s="3308"/>
      <c r="E13" s="261" t="s">
        <v>314</v>
      </c>
      <c r="F13" s="262"/>
      <c r="G13" s="262"/>
      <c r="H13" s="262"/>
      <c r="I13" s="263"/>
      <c r="J13" s="2031"/>
      <c r="K13" s="2030"/>
      <c r="L13" s="2030"/>
      <c r="M13" s="2030"/>
      <c r="N13" s="2030"/>
      <c r="O13" s="2030"/>
      <c r="P13" s="2030"/>
      <c r="Q13" s="2030"/>
      <c r="R13" s="2030"/>
      <c r="S13" s="2030"/>
      <c r="T13" s="2030"/>
      <c r="U13" s="2030"/>
      <c r="V13" s="2030"/>
    </row>
    <row r="14" spans="1:22" ht="14.25">
      <c r="A14" s="3280" t="s">
        <v>315</v>
      </c>
      <c r="B14" s="3306">
        <v>30</v>
      </c>
      <c r="C14" s="3304">
        <v>5</v>
      </c>
      <c r="D14" s="3308">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80"/>
      <c r="B15" s="3306"/>
      <c r="C15" s="3307"/>
      <c r="D15" s="3308"/>
      <c r="E15" s="261" t="s">
        <v>317</v>
      </c>
      <c r="F15" s="262"/>
      <c r="G15" s="262"/>
      <c r="H15" s="262"/>
      <c r="I15" s="263"/>
      <c r="J15" s="2031"/>
      <c r="K15" s="2030"/>
      <c r="L15" s="2030"/>
      <c r="M15" s="2030"/>
      <c r="N15" s="2030"/>
      <c r="O15" s="2030"/>
      <c r="P15" s="2030"/>
      <c r="Q15" s="2030"/>
      <c r="R15" s="2030"/>
      <c r="S15" s="2030"/>
      <c r="T15" s="2030"/>
      <c r="U15" s="2030"/>
      <c r="V15" s="2030"/>
    </row>
    <row r="16" spans="1:22" ht="14.25">
      <c r="A16" s="3280"/>
      <c r="B16" s="3306"/>
      <c r="C16" s="3305"/>
      <c r="D16" s="330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3064</v>
      </c>
      <c r="D19" s="271">
        <f ca="1">SUMIF(INDIRECT("'"&amp;D4&amp;"'"&amp;"!A:A"),结果表!B19,INDIRECT("'"&amp;D4&amp;"'"&amp;"!B:B"))</f>
        <v>3103</v>
      </c>
      <c r="E19" s="268" t="s">
        <v>323</v>
      </c>
      <c r="F19" s="269" t="s">
        <v>322</v>
      </c>
      <c r="G19" s="272">
        <f ca="1">ROUND(C19*$C$18+D19*$D$18,0)</f>
        <v>3084</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1149</v>
      </c>
      <c r="D20" s="277">
        <f ca="1">SUMIF(INDIRECT("'"&amp;D4&amp;"'"&amp;"!A:A"),结果表!B20,INDIRECT("'"&amp;D4&amp;"'"&amp;"!B:B"))</f>
        <v>1164</v>
      </c>
      <c r="E20" s="274"/>
      <c r="F20" s="275" t="s">
        <v>325</v>
      </c>
      <c r="G20" s="278">
        <f ca="1">ROUND(C20*$C$18+D20*$D$18,0)</f>
        <v>1157</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4596</v>
      </c>
      <c r="D21" s="151">
        <f ca="1">SUMIF(INDIRECT("'"&amp;D4&amp;"'"&amp;"!A:A"),结果表!B21,INDIRECT("'"&amp;D4&amp;"'"&amp;"!B:B"))</f>
        <v>4655</v>
      </c>
      <c r="E21" s="274"/>
      <c r="F21" s="280" t="s">
        <v>327</v>
      </c>
      <c r="G21" s="282">
        <f ca="1">ROUND(C21*$C$18+D21*$D$18,0)</f>
        <v>4626</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1.2728459530026104E-2</v>
      </c>
      <c r="E22" s="284"/>
      <c r="F22" s="285"/>
      <c r="G22" s="286">
        <f ca="1">ROUND(G19/('数据-汇总表'!D3/666.67),0)</f>
        <v>308</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8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287"/>
      <c r="B25" s="1321" t="s">
        <v>331</v>
      </c>
      <c r="C25" s="290">
        <f>IF(B30=0,0,C30)</f>
        <v>0</v>
      </c>
      <c r="D25" s="291"/>
      <c r="E25" s="311"/>
      <c r="F25" s="311"/>
      <c r="G25" s="311"/>
      <c r="H25" s="311"/>
      <c r="I25" s="311"/>
      <c r="J25" s="2030"/>
      <c r="K25" s="1255" t="str">
        <f ca="1">项目基本情况!B16&amp;"国有建设用地使用权价格："&amp;O38&amp;"万元"</f>
        <v>出让国有建设用地使用权价格：3084万元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大写金额：人民币叁仟零捌拾肆万元整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单位面积地价：4626元/平方米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楼面地价：1157元/平方米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抵押价格：3084万元</v>
      </c>
      <c r="L29" s="1252"/>
      <c r="M29" s="1252"/>
      <c r="N29" s="1252"/>
      <c r="O29" s="1251"/>
      <c r="P29" s="2030"/>
      <c r="V29" s="2030"/>
    </row>
    <row r="30" spans="1:26" ht="18.75" thickBot="1">
      <c r="A30" s="3162" t="s">
        <v>336</v>
      </c>
      <c r="B30" s="309"/>
      <c r="C30" s="309"/>
      <c r="D30" s="310"/>
      <c r="E30" s="3163" t="s">
        <v>2975</v>
      </c>
      <c r="F30" s="311"/>
      <c r="G30" s="311"/>
      <c r="H30" s="311"/>
      <c r="I30" s="311"/>
      <c r="J30" s="2030"/>
      <c r="K30" s="1258" t="str">
        <f ca="1">IF(K29="——","——","大写金额：人民币"&amp;NUMBERSTRING(INT(O39*10000),2)&amp;"元整")</f>
        <v>大写金额：人民币叁仟零捌拾肆万元整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1688</v>
      </c>
      <c r="C32" s="1383">
        <f ca="1">G19-C24</f>
        <v>3084</v>
      </c>
      <c r="D32" s="1384" t="s">
        <v>1689</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1690</v>
      </c>
      <c r="C33" s="264">
        <f ca="1">ROUND(C32*10000/'数据-汇总表'!E3,0)</f>
        <v>1157</v>
      </c>
      <c r="D33" s="1386" t="s">
        <v>1691</v>
      </c>
      <c r="E33" s="3286"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4626</v>
      </c>
      <c r="D34" s="1388" t="s">
        <v>1691</v>
      </c>
      <c r="E34" s="3327"/>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308</v>
      </c>
      <c r="D35" s="1391" t="s">
        <v>1693</v>
      </c>
      <c r="E35" s="3328"/>
      <c r="F35" s="301" t="s">
        <v>342</v>
      </c>
      <c r="G35" s="982"/>
      <c r="H35" s="981" t="s">
        <v>343</v>
      </c>
      <c r="I35" s="311"/>
      <c r="J35" s="2030"/>
      <c r="K35" s="3301" t="s">
        <v>350</v>
      </c>
      <c r="L35" s="3301" t="s">
        <v>351</v>
      </c>
      <c r="M35" s="1264" t="s">
        <v>352</v>
      </c>
      <c r="N35" s="3301" t="s">
        <v>353</v>
      </c>
      <c r="O35" s="3301" t="s">
        <v>354</v>
      </c>
      <c r="P35" s="2030"/>
      <c r="V35" s="2030"/>
    </row>
    <row r="36" spans="1:26" ht="16.5" customHeight="1">
      <c r="A36" s="303" t="s">
        <v>344</v>
      </c>
      <c r="B36" s="304" t="s">
        <v>333</v>
      </c>
      <c r="C36" s="305" t="s">
        <v>345</v>
      </c>
      <c r="D36" s="305" t="s">
        <v>346</v>
      </c>
      <c r="E36" s="306" t="s">
        <v>347</v>
      </c>
      <c r="F36" s="311"/>
      <c r="G36" s="311"/>
      <c r="H36" s="311"/>
      <c r="I36" s="311"/>
      <c r="J36" s="2032"/>
      <c r="K36" s="3302"/>
      <c r="L36" s="3302"/>
      <c r="M36" s="1266" t="s">
        <v>355</v>
      </c>
      <c r="N36" s="3302"/>
      <c r="O36" s="3302"/>
      <c r="P36" s="2030"/>
      <c r="V36" s="2030"/>
    </row>
    <row r="37" spans="1:26" ht="16.5" customHeight="1" thickBot="1">
      <c r="A37" s="1260" t="s">
        <v>348</v>
      </c>
      <c r="B37" s="307"/>
      <c r="C37" s="294"/>
      <c r="D37" s="294"/>
      <c r="E37" s="295"/>
      <c r="F37" s="311"/>
      <c r="G37" s="311"/>
      <c r="H37" s="311"/>
      <c r="I37" s="311"/>
      <c r="J37" s="2032"/>
      <c r="K37" s="3303"/>
      <c r="L37" s="3303"/>
      <c r="M37" s="1267"/>
      <c r="N37" s="3303"/>
      <c r="O37" s="3303"/>
      <c r="P37" s="2030"/>
      <c r="V37" s="2030"/>
    </row>
    <row r="38" spans="1:26" ht="16.5" customHeight="1" thickBot="1">
      <c r="A38" s="1260" t="s">
        <v>349</v>
      </c>
      <c r="B38" s="307"/>
      <c r="C38" s="294"/>
      <c r="D38" s="294"/>
      <c r="E38" s="295"/>
      <c r="F38" s="311"/>
      <c r="G38" s="311"/>
      <c r="H38" s="311"/>
      <c r="I38" s="311"/>
      <c r="J38" s="2032"/>
      <c r="K38" s="1268">
        <f>'数据-汇总表'!D3</f>
        <v>6666.4</v>
      </c>
      <c r="L38" s="1269">
        <f>'数据-汇总表'!E3</f>
        <v>26666</v>
      </c>
      <c r="M38" s="1269">
        <f ca="1">C34</f>
        <v>4626</v>
      </c>
      <c r="N38" s="1269">
        <f ca="1">C33</f>
        <v>1157</v>
      </c>
      <c r="O38" s="1270">
        <f ca="1">C32</f>
        <v>3084</v>
      </c>
      <c r="P38" s="2030"/>
      <c r="V38" s="2030"/>
    </row>
    <row r="39" spans="1:26" ht="16.5" customHeight="1" thickBot="1">
      <c r="A39" s="1265"/>
      <c r="B39" s="308"/>
      <c r="C39" s="309"/>
      <c r="D39" s="309"/>
      <c r="E39" s="310"/>
      <c r="F39" s="311"/>
      <c r="G39" s="311"/>
      <c r="H39" s="311"/>
      <c r="I39" s="311"/>
      <c r="J39" s="2032"/>
      <c r="K39" s="3346" t="str">
        <f>MID(A44,3,LEN(A44)-2)</f>
        <v>抵押价格</v>
      </c>
      <c r="L39" s="3347"/>
      <c r="M39" s="3347"/>
      <c r="N39" s="3348"/>
      <c r="O39" s="1393">
        <f ca="1">C44</f>
        <v>3084</v>
      </c>
      <c r="P39" s="2030"/>
      <c r="V39" s="2030"/>
    </row>
    <row r="40" spans="1:26" ht="19.5" thickBot="1">
      <c r="A40" s="104" t="s">
        <v>872</v>
      </c>
      <c r="B40" s="311"/>
      <c r="C40" s="311"/>
      <c r="D40" s="311"/>
      <c r="E40" s="311"/>
      <c r="F40" s="311"/>
      <c r="G40" s="311"/>
      <c r="H40" s="311"/>
      <c r="I40" s="311"/>
      <c r="J40" s="2032"/>
      <c r="K40" s="3346" t="str">
        <f t="shared" ref="K40:K41" si="0">MID(A45,3,LEN(A45)-2)</f>
        <v/>
      </c>
      <c r="L40" s="3347"/>
      <c r="M40" s="3347"/>
      <c r="N40" s="3348"/>
      <c r="O40" s="1393" t="str">
        <f>C45</f>
        <v>——</v>
      </c>
      <c r="P40" s="2030"/>
      <c r="V40" s="2030"/>
    </row>
    <row r="41" spans="1:26" ht="16.5" thickBot="1">
      <c r="A41" s="312" t="s">
        <v>356</v>
      </c>
      <c r="B41" s="313"/>
      <c r="C41" s="314" t="s">
        <v>357</v>
      </c>
      <c r="D41" s="315" t="s">
        <v>358</v>
      </c>
      <c r="E41" s="315" t="s">
        <v>359</v>
      </c>
      <c r="F41" s="316" t="s">
        <v>360</v>
      </c>
      <c r="G41" s="311"/>
      <c r="H41" s="311"/>
      <c r="I41" s="311"/>
      <c r="J41" s="2032"/>
      <c r="K41" s="3346" t="str">
        <f t="shared" si="0"/>
        <v/>
      </c>
      <c r="L41" s="3347"/>
      <c r="M41" s="3347"/>
      <c r="N41" s="3348"/>
      <c r="O41" s="1393" t="str">
        <f>C46</f>
        <v>——</v>
      </c>
      <c r="P41" s="2030"/>
      <c r="V41" s="2030"/>
    </row>
    <row r="42" spans="1:26" ht="29.25">
      <c r="A42" s="3288" t="s">
        <v>2069</v>
      </c>
      <c r="B42" s="3289"/>
      <c r="C42" s="264">
        <f ca="1">C32</f>
        <v>3084</v>
      </c>
      <c r="D42" s="317">
        <f ca="1">C33</f>
        <v>1157</v>
      </c>
      <c r="E42" s="317">
        <f ca="1">C34</f>
        <v>4626</v>
      </c>
      <c r="F42" s="318">
        <f ca="1">C35</f>
        <v>308</v>
      </c>
      <c r="G42" s="311"/>
      <c r="H42" s="311"/>
      <c r="I42" s="319"/>
      <c r="J42" s="2032"/>
      <c r="K42" s="1271" t="s">
        <v>361</v>
      </c>
      <c r="L42" s="2049" t="s">
        <v>362</v>
      </c>
      <c r="M42" s="1272" t="s">
        <v>363</v>
      </c>
      <c r="N42" s="2050" t="s">
        <v>364</v>
      </c>
      <c r="O42" s="2051" t="s">
        <v>365</v>
      </c>
      <c r="P42" s="2030"/>
      <c r="V42" s="2030"/>
    </row>
    <row r="43" spans="1:26" ht="30">
      <c r="A43" s="3299" t="s">
        <v>2733</v>
      </c>
      <c r="B43" s="3300"/>
      <c r="C43" s="264">
        <f>IF(H33="正常操作",G33+G34+G35,G34+G35)</f>
        <v>0</v>
      </c>
      <c r="D43" s="317" t="s">
        <v>43</v>
      </c>
      <c r="E43" s="317" t="s">
        <v>44</v>
      </c>
      <c r="F43" s="318" t="s">
        <v>44</v>
      </c>
      <c r="G43" s="2892" t="s">
        <v>951</v>
      </c>
      <c r="H43" s="311"/>
      <c r="I43" s="319"/>
      <c r="J43" s="2032"/>
      <c r="K43" s="1273" t="str">
        <f>C4</f>
        <v>比较法-住宅、综合</v>
      </c>
      <c r="L43" s="1274">
        <f ca="1">IF(L42="估价结果/万元",C19,C20)</f>
        <v>3064</v>
      </c>
      <c r="M43" s="1275">
        <f>C18</f>
        <v>0.5</v>
      </c>
      <c r="N43" s="1276">
        <f ca="1">IF(N42="测算结果/万元",G19,G20)</f>
        <v>3084</v>
      </c>
      <c r="O43" s="1277">
        <f ca="1">IF(O42="最终结果/万元",C32,C33)</f>
        <v>3084</v>
      </c>
      <c r="P43" s="2030"/>
      <c r="V43" s="2030"/>
    </row>
    <row r="44" spans="1:26" ht="30.75" thickBot="1">
      <c r="A44" s="3288" t="str">
        <f>IF(OR(项目基本情况!E8="抵押价格",项目基本情况!E8="已注销及未注销"),"3.抵押价格","——")</f>
        <v>3.抵押价格</v>
      </c>
      <c r="B44" s="3289"/>
      <c r="C44" s="264">
        <f ca="1">IF(A44="——","——",C42-C43)</f>
        <v>3084</v>
      </c>
      <c r="D44" s="317">
        <f ca="1">ROUND(C44*10000/'数据-汇总表'!E3,0)</f>
        <v>1157</v>
      </c>
      <c r="E44" s="317">
        <f ca="1">ROUND(C44*10000/'数据-汇总表'!D3,0)</f>
        <v>4626</v>
      </c>
      <c r="F44" s="318">
        <f ca="1">ROUND(C44/('数据-汇总表'!D3/666.67),0)</f>
        <v>308</v>
      </c>
      <c r="G44" s="311"/>
      <c r="H44" s="311"/>
      <c r="I44" s="319"/>
      <c r="J44" s="2032"/>
      <c r="K44" s="1278" t="str">
        <f>D4</f>
        <v>剩余法-待开发</v>
      </c>
      <c r="L44" s="1279">
        <f ca="1">IF(L42="估价结果/万元",D19,D20)</f>
        <v>3103</v>
      </c>
      <c r="M44" s="1280">
        <f>D18</f>
        <v>0.5</v>
      </c>
      <c r="N44" s="1281"/>
      <c r="O44" s="1282"/>
      <c r="P44" s="2030"/>
      <c r="V44" s="2030"/>
    </row>
    <row r="45" spans="1:26" ht="15">
      <c r="A45" s="3294" t="str">
        <f>IF(项目基本情况!E8="已注销及未注销","4.抵押担保权已注销时的抵押价格",IF(项目基本情况!E8="已注销","3.抵押担保权已注销时的抵押价格","——"))</f>
        <v>——</v>
      </c>
      <c r="B45" s="329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290" t="str">
        <f>IF(项目基本情况!E9="抵押净值",IF(A45="——","4.抵押净值","5.抵押净值"),"——")</f>
        <v>——</v>
      </c>
      <c r="B46" s="3291"/>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5" t="s">
        <v>374</v>
      </c>
      <c r="B63" s="3336"/>
      <c r="C63" s="3337"/>
      <c r="D63" s="341">
        <f ca="1">ROUND(C42*F63,0)</f>
        <v>1850</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296" t="s">
        <v>378</v>
      </c>
      <c r="B64" s="3297"/>
      <c r="C64" s="3297"/>
      <c r="D64" s="3297"/>
      <c r="E64" s="3297"/>
      <c r="F64" s="3297"/>
      <c r="G64" s="3298"/>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292" t="s">
        <v>386</v>
      </c>
      <c r="B66" s="3293"/>
      <c r="C66" s="3293"/>
      <c r="D66" s="261">
        <f ca="1">IF(H66="情况1",0,IF(H66="情况2",D70,IF(H66="情况3",D71,IF(H66="情况4",D72))))</f>
        <v>99</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50" t="s">
        <v>385</v>
      </c>
      <c r="M66" s="3351"/>
      <c r="N66" s="2484"/>
      <c r="O66" s="2485"/>
      <c r="P66" s="2486"/>
      <c r="Q66" s="2030"/>
      <c r="R66" s="2030"/>
      <c r="S66" s="2030"/>
      <c r="T66" s="2030"/>
      <c r="U66" s="2030"/>
      <c r="V66" s="2030"/>
    </row>
    <row r="67" spans="1:22" ht="25.5" customHeight="1">
      <c r="A67" s="352" t="s">
        <v>390</v>
      </c>
      <c r="B67" s="3283" t="s">
        <v>391</v>
      </c>
      <c r="C67" s="3283"/>
      <c r="D67" s="353">
        <v>0</v>
      </c>
      <c r="E67" s="41" t="s">
        <v>392</v>
      </c>
      <c r="F67" s="62" t="s">
        <v>21</v>
      </c>
      <c r="G67" s="3338"/>
      <c r="H67" s="311"/>
      <c r="I67" s="1292"/>
      <c r="J67" s="2037"/>
      <c r="K67" s="1978">
        <v>2</v>
      </c>
      <c r="L67" s="3349" t="s">
        <v>389</v>
      </c>
      <c r="M67" s="3349"/>
      <c r="N67" s="1325">
        <f>'数据-取费表'!B2</f>
        <v>43215</v>
      </c>
      <c r="O67" s="1325"/>
      <c r="P67" s="1325"/>
      <c r="Q67" s="2030"/>
      <c r="R67" s="2030"/>
      <c r="S67" s="2030"/>
      <c r="T67" s="2030"/>
      <c r="U67" s="2030"/>
      <c r="V67" s="2030"/>
    </row>
    <row r="68" spans="1:22" ht="25.5" customHeight="1">
      <c r="A68" s="354"/>
      <c r="B68" s="3283" t="s">
        <v>394</v>
      </c>
      <c r="C68" s="3283"/>
      <c r="D68" s="355"/>
      <c r="E68" s="77"/>
      <c r="F68" s="356"/>
      <c r="G68" s="3339"/>
      <c r="H68" s="311"/>
      <c r="I68" s="1292"/>
      <c r="J68" s="2037"/>
      <c r="K68" s="1978">
        <v>3</v>
      </c>
      <c r="L68" s="3349" t="s">
        <v>393</v>
      </c>
      <c r="M68" s="3349"/>
      <c r="N68" s="1293">
        <f ca="1">C42</f>
        <v>3084</v>
      </c>
      <c r="O68" s="1293"/>
      <c r="P68" s="1293"/>
      <c r="Q68" s="2030"/>
      <c r="R68" s="2030"/>
      <c r="S68" s="2030"/>
      <c r="T68" s="2030"/>
      <c r="U68" s="2030"/>
      <c r="V68" s="2030"/>
    </row>
    <row r="69" spans="1:22" ht="12" customHeight="1">
      <c r="A69" s="357"/>
      <c r="B69" s="3283" t="s">
        <v>395</v>
      </c>
      <c r="C69" s="3283"/>
      <c r="D69" s="358"/>
      <c r="E69" s="73"/>
      <c r="F69" s="356"/>
      <c r="G69" s="3340"/>
      <c r="H69" s="311"/>
      <c r="I69" s="1292"/>
      <c r="J69" s="2037"/>
      <c r="K69" s="1294">
        <v>4</v>
      </c>
      <c r="L69" s="3354" t="s">
        <v>2886</v>
      </c>
      <c r="M69" s="3355"/>
      <c r="N69" s="1295">
        <f ca="1">C44</f>
        <v>3084</v>
      </c>
      <c r="O69" s="1295"/>
      <c r="P69" s="1295"/>
      <c r="Q69" s="2030"/>
      <c r="R69" s="2030"/>
      <c r="S69" s="2030"/>
      <c r="T69" s="2030"/>
      <c r="U69" s="2030"/>
      <c r="V69" s="2030"/>
    </row>
    <row r="70" spans="1:22" ht="24" customHeight="1">
      <c r="A70" s="359" t="s">
        <v>396</v>
      </c>
      <c r="B70" s="3283" t="s">
        <v>397</v>
      </c>
      <c r="C70" s="3283"/>
      <c r="D70" s="358">
        <f ca="1">ROUND(D63*'数据-取费表'!B41/(1+'数据-取费表'!C42),0)</f>
        <v>99</v>
      </c>
      <c r="E70" s="17" t="s">
        <v>398</v>
      </c>
      <c r="F70" s="360">
        <f>'数据-取费表'!B41</f>
        <v>5.6000000000000001E-2</v>
      </c>
      <c r="G70" s="361"/>
      <c r="H70" s="311"/>
      <c r="I70" s="1292"/>
      <c r="J70" s="2037"/>
      <c r="K70" s="3088"/>
      <c r="L70" s="3089"/>
      <c r="M70" s="3089"/>
      <c r="N70" s="3090" t="s">
        <v>2891</v>
      </c>
      <c r="O70" s="3089"/>
      <c r="P70" s="3091"/>
      <c r="Q70" s="2030"/>
      <c r="R70" s="2030"/>
      <c r="S70" s="2030"/>
      <c r="T70" s="2030"/>
      <c r="U70" s="2030"/>
      <c r="V70" s="2030"/>
    </row>
    <row r="71" spans="1:22" ht="12" customHeight="1">
      <c r="A71" s="359" t="s">
        <v>404</v>
      </c>
      <c r="B71" s="3284" t="s">
        <v>405</v>
      </c>
      <c r="C71" s="3285"/>
      <c r="D71" s="358">
        <f ca="1">ROUND(D63*'数据-取费表'!B41/(1+'数据-取费表'!C42),0)</f>
        <v>99</v>
      </c>
      <c r="E71" s="17" t="s">
        <v>398</v>
      </c>
      <c r="F71" s="360">
        <f>'数据-取费表'!B41</f>
        <v>5.6000000000000001E-2</v>
      </c>
      <c r="G71" s="361"/>
      <c r="H71" s="311"/>
      <c r="I71" s="1292"/>
      <c r="J71" s="2037"/>
      <c r="K71" s="3087" t="s">
        <v>399</v>
      </c>
      <c r="L71" s="3356" t="s">
        <v>400</v>
      </c>
      <c r="M71" s="3356"/>
      <c r="N71" s="3087" t="s">
        <v>401</v>
      </c>
      <c r="O71" s="3087" t="s">
        <v>402</v>
      </c>
      <c r="P71" s="3087" t="s">
        <v>403</v>
      </c>
      <c r="Q71" s="2030"/>
      <c r="R71" s="2030"/>
      <c r="S71" s="2030"/>
      <c r="T71" s="2030"/>
      <c r="U71" s="2030"/>
      <c r="V71" s="2030"/>
    </row>
    <row r="72" spans="1:22" ht="12" customHeight="1">
      <c r="A72" s="359" t="s">
        <v>407</v>
      </c>
      <c r="B72" s="3284" t="s">
        <v>408</v>
      </c>
      <c r="C72" s="3285"/>
      <c r="D72" s="358">
        <f ca="1">C86</f>
        <v>0</v>
      </c>
      <c r="E72" s="73" t="s">
        <v>409</v>
      </c>
      <c r="F72" s="360">
        <f>'数据-取费表'!B41</f>
        <v>5.6000000000000001E-2</v>
      </c>
      <c r="G72" s="361"/>
      <c r="H72" s="1298"/>
      <c r="I72" s="1292"/>
      <c r="J72" s="2037"/>
      <c r="K72" s="1978">
        <v>1</v>
      </c>
      <c r="L72" s="3331" t="s">
        <v>406</v>
      </c>
      <c r="M72" s="3331"/>
      <c r="N72" s="1296">
        <f ca="1">D66</f>
        <v>99</v>
      </c>
      <c r="O72" s="1861" t="str">
        <f>E66</f>
        <v>销售额×税（费）率</v>
      </c>
      <c r="P72" s="1297">
        <f>F66</f>
        <v>5.6000000000000001E-2</v>
      </c>
      <c r="Q72" s="2030"/>
      <c r="R72" s="2030"/>
      <c r="S72" s="2030"/>
      <c r="T72" s="2030"/>
      <c r="U72" s="2030"/>
      <c r="V72" s="2030"/>
    </row>
    <row r="73" spans="1:22" ht="24" customHeight="1">
      <c r="A73" s="3325" t="s">
        <v>411</v>
      </c>
      <c r="B73" s="3293"/>
      <c r="C73" s="3293"/>
      <c r="D73" s="362">
        <f>IF(H73="个人住宅",0,ROUND(D63*I73,0))</f>
        <v>0</v>
      </c>
      <c r="E73" s="17" t="s">
        <v>412</v>
      </c>
      <c r="F73" s="360" t="str">
        <f>IF(H73="正常",I73,"免征")</f>
        <v>免征</v>
      </c>
      <c r="G73" s="361"/>
      <c r="H73" s="191" t="s">
        <v>2458</v>
      </c>
      <c r="I73" s="360">
        <f>'数据-取费表'!B49</f>
        <v>5.0000000000000001E-4</v>
      </c>
      <c r="J73" s="2037"/>
      <c r="K73" s="1978">
        <v>2</v>
      </c>
      <c r="L73" s="3331" t="s">
        <v>410</v>
      </c>
      <c r="M73" s="3331"/>
      <c r="N73" s="1296">
        <f t="shared" ref="N73:P74" si="1">D73</f>
        <v>0</v>
      </c>
      <c r="O73" s="1861" t="str">
        <f t="shared" si="1"/>
        <v>销售额×税（费）率</v>
      </c>
      <c r="P73" s="1297" t="str">
        <f t="shared" si="1"/>
        <v>免征</v>
      </c>
      <c r="Q73" s="2030"/>
      <c r="R73" s="2030"/>
      <c r="S73" s="2030"/>
      <c r="T73" s="2030"/>
      <c r="U73" s="2030"/>
      <c r="V73" s="2030"/>
    </row>
    <row r="74" spans="1:22" ht="24.75">
      <c r="A74" s="3325" t="s">
        <v>415</v>
      </c>
      <c r="B74" s="3293"/>
      <c r="C74" s="3293"/>
      <c r="D74" s="362">
        <f ca="1">IF(H74="个人住宅",D75,D76)</f>
        <v>422</v>
      </c>
      <c r="E74" s="17" t="s">
        <v>416</v>
      </c>
      <c r="F74" s="360" t="str">
        <f>IF(H74="正常",F76,"免征")</f>
        <v>——</v>
      </c>
      <c r="G74" s="983" t="s">
        <v>417</v>
      </c>
      <c r="H74" s="363" t="s">
        <v>413</v>
      </c>
      <c r="I74" s="42"/>
      <c r="J74" s="2037"/>
      <c r="K74" s="1978">
        <v>3</v>
      </c>
      <c r="L74" s="3331" t="s">
        <v>414</v>
      </c>
      <c r="M74" s="3331"/>
      <c r="N74" s="1296">
        <f t="shared" ca="1" si="1"/>
        <v>422</v>
      </c>
      <c r="O74" s="1861" t="str">
        <f t="shared" si="1"/>
        <v>增值额×税（费）率</v>
      </c>
      <c r="P74" s="1299" t="str">
        <f t="shared" si="1"/>
        <v>——</v>
      </c>
      <c r="Q74" s="2030"/>
      <c r="R74" s="2030"/>
      <c r="S74" s="2030"/>
      <c r="T74" s="2030"/>
      <c r="U74" s="2030"/>
      <c r="V74" s="2030"/>
    </row>
    <row r="75" spans="1:22" ht="24">
      <c r="A75" s="359" t="s">
        <v>418</v>
      </c>
      <c r="B75" s="3281" t="s">
        <v>419</v>
      </c>
      <c r="C75" s="3311"/>
      <c r="D75" s="364">
        <v>0</v>
      </c>
      <c r="E75" s="41" t="s">
        <v>420</v>
      </c>
      <c r="F75" s="365"/>
      <c r="G75" s="361"/>
      <c r="H75" s="42"/>
      <c r="I75" s="42"/>
      <c r="J75" s="2037"/>
      <c r="K75" s="3080">
        <f>IF(H77="非个人房产","",4)</f>
        <v>4</v>
      </c>
      <c r="L75" s="3331" t="str">
        <f>IF(H77="非个人房产","——","个人所得税")</f>
        <v>个人所得税</v>
      </c>
      <c r="M75" s="3331"/>
      <c r="N75" s="1300">
        <f ca="1">D77</f>
        <v>19</v>
      </c>
      <c r="O75" s="1874" t="str">
        <f>E77</f>
        <v>销售额×税（费）率</v>
      </c>
      <c r="P75" s="1301">
        <f>F77</f>
        <v>0.01</v>
      </c>
      <c r="Q75" s="2030"/>
      <c r="R75" s="2030"/>
      <c r="S75" s="2030"/>
      <c r="T75" s="2030"/>
      <c r="U75" s="2030"/>
      <c r="V75" s="2030"/>
    </row>
    <row r="76" spans="1:22" ht="24.75">
      <c r="A76" s="359" t="s">
        <v>396</v>
      </c>
      <c r="B76" s="3281" t="s">
        <v>422</v>
      </c>
      <c r="C76" s="3282"/>
      <c r="D76" s="362">
        <f ca="1">IF(H76="转让取得",C99,C115)</f>
        <v>422</v>
      </c>
      <c r="E76" s="17" t="s">
        <v>423</v>
      </c>
      <c r="F76" s="53" t="s">
        <v>21</v>
      </c>
      <c r="G76" s="361"/>
      <c r="H76" s="363" t="s">
        <v>424</v>
      </c>
      <c r="I76" s="42"/>
      <c r="J76" s="2037"/>
      <c r="K76" s="3080" t="str">
        <f>IF(项目基本情况!K6="上海银行",IF(K75="",4,K75+1),"")</f>
        <v/>
      </c>
      <c r="L76" s="3342" t="str">
        <f>IF(项目基本情况!K6="上海银行","其他处置费用","")</f>
        <v/>
      </c>
      <c r="M76" s="3343"/>
      <c r="N76" s="1296" t="str">
        <f>IF(项目基本情况!K6="上海银行",N89,"")</f>
        <v/>
      </c>
      <c r="O76" s="3344" t="str">
        <f>IF(项目基本情况!K6="上海银行","包含处置中涉及的律师、诉讼、拍卖、评估等费用","")</f>
        <v/>
      </c>
      <c r="P76" s="3345"/>
      <c r="Q76" s="2030"/>
      <c r="R76" s="2030"/>
      <c r="S76" s="2030"/>
      <c r="T76" s="2030"/>
      <c r="U76" s="2030"/>
      <c r="V76" s="2030"/>
    </row>
    <row r="77" spans="1:22" ht="26.25" thickBot="1">
      <c r="A77" s="3333" t="s">
        <v>426</v>
      </c>
      <c r="B77" s="3334"/>
      <c r="C77" s="3334"/>
      <c r="D77" s="366">
        <f ca="1">IF(H77="非个人房产","——",IF(H77="个人住宅",0,ROUND(D63*I77,0)))</f>
        <v>19</v>
      </c>
      <c r="E77" s="367" t="str">
        <f>IF(H77="非个人房产","——","销售额×税（费）率")</f>
        <v>销售额×税（费）率</v>
      </c>
      <c r="F77" s="368">
        <f>IF(H77="非个人房产","——",IF(H77="个人住宅","免征",I77))</f>
        <v>0.01</v>
      </c>
      <c r="G77" s="984" t="s">
        <v>417</v>
      </c>
      <c r="H77" s="363" t="s">
        <v>2887</v>
      </c>
      <c r="I77" s="369">
        <v>0.01</v>
      </c>
      <c r="J77" s="2037"/>
      <c r="K77" s="3332">
        <f>IF(AND(K75="",K76=""),4,IF(项目基本情况!K6="上海银行",K76+1,K75+1))</f>
        <v>5</v>
      </c>
      <c r="L77" s="3331" t="s">
        <v>2888</v>
      </c>
      <c r="M77" s="3086" t="s">
        <v>421</v>
      </c>
      <c r="N77" s="1302"/>
      <c r="O77" s="1303">
        <f ca="1">SUMIF(N72:N76,"&lt;9e307")</f>
        <v>540</v>
      </c>
      <c r="P77" s="1304"/>
      <c r="Q77" s="3084">
        <f ca="1">O77/N69</f>
        <v>0.17509727626459143</v>
      </c>
      <c r="R77" s="2030"/>
      <c r="S77" s="2030"/>
      <c r="T77" s="2030"/>
      <c r="U77" s="2030"/>
      <c r="V77" s="2030"/>
    </row>
    <row r="78" spans="1:22" ht="12" customHeight="1">
      <c r="A78" s="1305"/>
      <c r="B78" s="311"/>
      <c r="C78" s="311"/>
      <c r="D78" s="311"/>
      <c r="E78" s="42"/>
      <c r="F78" s="42"/>
      <c r="G78" s="42"/>
      <c r="H78" s="1003"/>
      <c r="I78" s="311"/>
      <c r="J78" s="2037"/>
      <c r="K78" s="3332"/>
      <c r="L78" s="3331"/>
      <c r="M78" s="3086" t="s">
        <v>425</v>
      </c>
      <c r="N78" s="1302"/>
      <c r="O78" s="1303" t="str">
        <f ca="1">NUMBERSTRING(INT(O77*10000),2)&amp;"元整"</f>
        <v>伍佰肆拾万元整</v>
      </c>
      <c r="P78" s="1304"/>
      <c r="Q78" s="2030"/>
      <c r="R78" s="2030"/>
      <c r="S78" s="2030"/>
      <c r="T78" s="2030"/>
      <c r="U78" s="2030"/>
      <c r="V78" s="2030"/>
    </row>
    <row r="79" spans="1:22" ht="13.5" thickBot="1">
      <c r="A79" s="3326" t="s">
        <v>427</v>
      </c>
      <c r="B79" s="3326"/>
      <c r="C79" s="3326"/>
      <c r="D79" s="3326"/>
      <c r="E79" s="3326"/>
      <c r="F79" s="42"/>
      <c r="G79" s="42"/>
      <c r="H79" s="1003"/>
      <c r="I79" s="311"/>
      <c r="J79" s="2037"/>
      <c r="K79" s="3352">
        <f>K77+1</f>
        <v>6</v>
      </c>
      <c r="L79" s="3331" t="s">
        <v>2889</v>
      </c>
      <c r="M79" s="3086" t="s">
        <v>421</v>
      </c>
      <c r="N79" s="1302"/>
      <c r="O79" s="1303">
        <f ca="1">N69-O77</f>
        <v>2544</v>
      </c>
      <c r="P79" s="1304"/>
      <c r="Q79" s="2030"/>
      <c r="R79" s="2030"/>
      <c r="S79" s="2030"/>
      <c r="T79" s="2030"/>
      <c r="U79" s="2030"/>
      <c r="V79" s="2030"/>
    </row>
    <row r="80" spans="1:22" ht="25.5">
      <c r="A80" s="3321" t="s">
        <v>428</v>
      </c>
      <c r="B80" s="3322"/>
      <c r="C80" s="994"/>
      <c r="D80" s="994" t="s">
        <v>429</v>
      </c>
      <c r="E80" s="370" t="s">
        <v>430</v>
      </c>
      <c r="F80" s="42"/>
      <c r="G80" s="42"/>
      <c r="H80" s="1003"/>
      <c r="I80" s="311"/>
      <c r="J80" s="2030"/>
      <c r="K80" s="3353"/>
      <c r="L80" s="3331"/>
      <c r="M80" s="3086" t="s">
        <v>425</v>
      </c>
      <c r="N80" s="1302"/>
      <c r="O80" s="1303" t="str">
        <f ca="1">NUMBERSTRING(INT(O79*10000),2)&amp;"元整"</f>
        <v>贰仟伍佰肆拾肆万元整</v>
      </c>
      <c r="P80" s="1304"/>
      <c r="Q80" s="2030"/>
      <c r="R80" s="2030"/>
      <c r="S80" s="2030"/>
      <c r="T80" s="2030"/>
      <c r="U80" s="2030"/>
      <c r="V80" s="2030"/>
    </row>
    <row r="81" spans="1:26" ht="13.5" thickBot="1">
      <c r="A81" s="381" t="s">
        <v>1823</v>
      </c>
      <c r="B81" s="371" t="s">
        <v>431</v>
      </c>
      <c r="C81" s="372">
        <f ca="1">ROUND((C82+C83)/(1+'数据-取费表'!C42),0)</f>
        <v>1762</v>
      </c>
      <c r="D81" s="373"/>
      <c r="E81" s="374"/>
      <c r="F81" s="42"/>
      <c r="G81" s="42"/>
      <c r="H81" s="1003"/>
      <c r="I81" s="311"/>
      <c r="J81" s="2030"/>
      <c r="K81" s="3080">
        <f>K79+1</f>
        <v>7</v>
      </c>
      <c r="L81" s="3329" t="s">
        <v>2890</v>
      </c>
      <c r="M81" s="3330"/>
      <c r="N81" s="1306"/>
      <c r="O81" s="1307">
        <f ca="1">ROUND(O79*10000/'数据-汇总表'!E3,0)</f>
        <v>954</v>
      </c>
      <c r="P81" s="1308"/>
      <c r="Q81" s="2030"/>
      <c r="R81" s="2030"/>
      <c r="S81" s="2030"/>
      <c r="T81" s="2030"/>
      <c r="U81" s="2030"/>
      <c r="V81" s="2030"/>
    </row>
    <row r="82" spans="1:26" ht="13.5" thickTop="1">
      <c r="A82" s="375" t="s">
        <v>1824</v>
      </c>
      <c r="B82" s="376" t="s">
        <v>432</v>
      </c>
      <c r="C82" s="377">
        <f ca="1">D63</f>
        <v>1850</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433</v>
      </c>
      <c r="C83" s="380">
        <v>0</v>
      </c>
      <c r="D83" s="378"/>
      <c r="E83" s="379"/>
      <c r="F83" s="42"/>
      <c r="G83" s="42"/>
      <c r="H83" s="1003"/>
      <c r="I83" s="311"/>
      <c r="J83" s="2030"/>
      <c r="K83" s="3341" t="s">
        <v>2877</v>
      </c>
      <c r="L83" s="3092" t="s">
        <v>2878</v>
      </c>
      <c r="M83" s="3082">
        <f ca="1">IF(N69&gt;10000,N69*0.5%,IF(AND(N69&gt;1000,N69&lt;=10000),N69*1%,IF(AND(N69&gt;100,N69&lt;=1000),N69*3%,IF(AND(N69&gt;10,N69&lt;=100),N69*5%,N69*8%))))</f>
        <v>30.84</v>
      </c>
      <c r="N83" s="53">
        <f ca="1">ROUND(M83,1)</f>
        <v>30.8</v>
      </c>
      <c r="O83" s="3085"/>
      <c r="P83" s="2030"/>
      <c r="Q83" s="2030"/>
      <c r="R83" s="2030"/>
      <c r="S83" s="2030"/>
      <c r="T83" s="2030"/>
      <c r="U83" s="2030"/>
      <c r="V83" s="2030"/>
    </row>
    <row r="84" spans="1:26" ht="12.75">
      <c r="A84" s="381" t="s">
        <v>1826</v>
      </c>
      <c r="B84" s="382" t="s">
        <v>434</v>
      </c>
      <c r="C84" s="383">
        <v>2000</v>
      </c>
      <c r="D84" s="384" t="s">
        <v>19</v>
      </c>
      <c r="E84" s="3127" t="s">
        <v>2946</v>
      </c>
      <c r="F84" s="42"/>
      <c r="G84" s="42"/>
      <c r="H84" s="1003"/>
      <c r="I84" s="311"/>
      <c r="J84" s="2030"/>
      <c r="K84" s="3341"/>
      <c r="L84" s="3092" t="s">
        <v>2879</v>
      </c>
      <c r="M84" s="3082">
        <f ca="1">IF(N69&gt;2000,N69*0.5%,IF(AND(N69&gt;1000,N69&lt;=2000),N69*0.6%,IF(AND(N69&gt;500,N69&lt;=1000),N69*0.7%,IF(AND(N69&gt;200,N69&lt;=500),N69*0.8%,IF(AND(N69&gt;100,N69&lt;=200),N69*0.9%,IF(AND(N69&gt;50,N69&lt;=100),N69*1%,IF(AND(N69&gt;20,N69&lt;=50),N69*1.5%,IF(AND(N69&gt;10,N69&lt;=20),N69*2%,IF(AND(N69&gt;1,N69&lt;=10),N69*2.5%)))))))))</f>
        <v>15.42</v>
      </c>
      <c r="N84" s="53">
        <f t="shared" ref="N84:N85" ca="1" si="2">ROUND(M84,1)</f>
        <v>15.4</v>
      </c>
      <c r="O84" s="2030" t="s">
        <v>2880</v>
      </c>
      <c r="P84" s="2030"/>
      <c r="Q84" s="2030"/>
      <c r="R84" s="2030"/>
      <c r="S84" s="2030"/>
      <c r="T84" s="2030"/>
      <c r="U84" s="2030"/>
      <c r="V84" s="2030"/>
    </row>
    <row r="85" spans="1:26" ht="12.75">
      <c r="A85" s="381" t="s">
        <v>1827</v>
      </c>
      <c r="B85" s="382" t="s">
        <v>435</v>
      </c>
      <c r="C85" s="385">
        <f ca="1">C81-C84</f>
        <v>-238</v>
      </c>
      <c r="D85" s="378" t="s">
        <v>19</v>
      </c>
      <c r="E85" s="379"/>
      <c r="F85" s="42"/>
      <c r="G85" s="42"/>
      <c r="H85" s="1003"/>
      <c r="I85" s="311"/>
      <c r="J85" s="2030"/>
      <c r="K85" s="3341"/>
      <c r="L85" s="3092" t="s">
        <v>2881</v>
      </c>
      <c r="M85" s="3082">
        <f ca="1">IF(N69&gt;1000,N69*0.1%,IF(AND(N69&gt;500,N69&lt;=1000),N69*0.5%,IF(AND(N69&gt;50,N69&lt;=500),N69*1%,IF(AND(N69&gt;1,N69&lt;=50),N69*1.5%))))</f>
        <v>3.0840000000000001</v>
      </c>
      <c r="N85" s="53">
        <f t="shared" ca="1" si="2"/>
        <v>3.1</v>
      </c>
      <c r="O85" s="2030" t="s">
        <v>2880</v>
      </c>
      <c r="P85" s="2030"/>
      <c r="Q85" s="2030"/>
      <c r="R85" s="2030"/>
      <c r="S85" s="2030"/>
      <c r="T85" s="2030"/>
      <c r="U85" s="2030"/>
      <c r="V85" s="2030"/>
    </row>
    <row r="86" spans="1:26" ht="13.5" thickBot="1">
      <c r="A86" s="386" t="s">
        <v>1828</v>
      </c>
      <c r="B86" s="387" t="s">
        <v>436</v>
      </c>
      <c r="C86" s="388">
        <f ca="1">IF(C85&lt;=0,0,ROUND(C85*D86,0))</f>
        <v>0</v>
      </c>
      <c r="D86" s="389">
        <f>'数据-取费表'!B41</f>
        <v>5.6000000000000001E-2</v>
      </c>
      <c r="E86" s="390"/>
      <c r="F86" s="42"/>
      <c r="G86" s="42"/>
      <c r="H86" s="1003"/>
      <c r="I86" s="311"/>
      <c r="J86" s="2030"/>
      <c r="K86" s="3341"/>
      <c r="L86" s="3092" t="s">
        <v>2882</v>
      </c>
      <c r="M86" s="3082">
        <f ca="1">N69*0.5%</f>
        <v>15.42</v>
      </c>
      <c r="N86" s="53">
        <f ca="1">IF(M86&gt;0.5,0.5,ROUND(M86,0))</f>
        <v>0.5</v>
      </c>
      <c r="O86" s="2030" t="s">
        <v>2883</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41"/>
      <c r="L87" s="3092" t="s">
        <v>2884</v>
      </c>
      <c r="M87" s="3082">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85"/>
      <c r="P87" s="311"/>
      <c r="Q87" s="2030"/>
      <c r="R87" s="2030"/>
      <c r="S87" s="2030"/>
      <c r="T87" s="2030"/>
      <c r="U87" s="2030"/>
      <c r="V87" s="2030"/>
      <c r="W87" s="292"/>
      <c r="X87" s="292"/>
      <c r="Y87" s="292"/>
      <c r="Z87" s="292"/>
    </row>
    <row r="88" spans="1:26" s="1314" customFormat="1" ht="15" thickBot="1">
      <c r="A88" s="3323" t="s">
        <v>437</v>
      </c>
      <c r="B88" s="3324"/>
      <c r="C88" s="3324"/>
      <c r="D88" s="3324"/>
      <c r="E88" s="3324"/>
      <c r="F88" s="3324"/>
      <c r="G88" s="3324"/>
      <c r="H88" s="3324"/>
      <c r="I88" s="1315"/>
      <c r="J88" s="2038"/>
      <c r="K88" s="3341"/>
      <c r="L88" s="3092" t="s">
        <v>2885</v>
      </c>
      <c r="M88" s="3082">
        <f ca="1">IF(N69&gt;10000,N69*0.5%,IF(AND(N69&gt;5000,N69&lt;=10000),N69*1%,IF(AND(N69&gt;1000,N69&lt;=5000),N69*2%,IF(AND(N69&gt;200,N69&lt;=1000),N69*3%,N69*5%))))</f>
        <v>61.68</v>
      </c>
      <c r="N88" s="53">
        <f ca="1">ROUND(M88,1)</f>
        <v>61.7</v>
      </c>
      <c r="O88" s="3085"/>
      <c r="P88" s="11"/>
      <c r="Q88" s="2035"/>
      <c r="R88" s="2035"/>
      <c r="S88" s="2035"/>
      <c r="T88" s="2035"/>
      <c r="U88" s="2035"/>
      <c r="V88" s="2035"/>
      <c r="W88" s="2039"/>
      <c r="X88" s="2039"/>
      <c r="Y88" s="2039"/>
      <c r="Z88" s="2039"/>
    </row>
    <row r="89" spans="1:26" s="1314" customFormat="1" ht="14.25">
      <c r="A89" s="3321" t="s">
        <v>428</v>
      </c>
      <c r="B89" s="3322"/>
      <c r="C89" s="994"/>
      <c r="D89" s="994" t="s">
        <v>429</v>
      </c>
      <c r="E89" s="391" t="s">
        <v>438</v>
      </c>
      <c r="F89" s="392"/>
      <c r="G89" s="392"/>
      <c r="H89" s="393"/>
      <c r="I89" s="1316"/>
      <c r="J89" s="2040"/>
      <c r="K89" s="3341"/>
      <c r="L89" s="3092" t="s">
        <v>27</v>
      </c>
      <c r="M89" s="3083"/>
      <c r="N89" s="53">
        <f ca="1">ROUND(SUM(N83:N88),0)</f>
        <v>114</v>
      </c>
      <c r="O89" s="3093">
        <f ca="1">N89/N69</f>
        <v>3.6964980544747082E-2</v>
      </c>
      <c r="P89" s="2035"/>
      <c r="Q89" s="2035"/>
      <c r="R89" s="2035"/>
      <c r="S89" s="2035"/>
      <c r="T89" s="2035"/>
      <c r="U89" s="2035"/>
      <c r="V89" s="2035"/>
      <c r="W89" s="2039"/>
      <c r="X89" s="2039"/>
      <c r="Y89" s="2039"/>
      <c r="Z89" s="2039"/>
    </row>
    <row r="90" spans="1:26" s="1314" customFormat="1" ht="14.25">
      <c r="A90" s="381" t="s">
        <v>1823</v>
      </c>
      <c r="B90" s="382" t="s">
        <v>439</v>
      </c>
      <c r="C90" s="385">
        <f ca="1">ROUND(D63/(1+'数据-取费表'!C42),0)</f>
        <v>1762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440</v>
      </c>
      <c r="C91" s="385">
        <f ca="1">C92+C96</f>
        <v>2592</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446</v>
      </c>
      <c r="C94" s="378">
        <f>IF(F93="购房发票",ROUND(C93*H93*5%,0),0)</f>
        <v>500</v>
      </c>
      <c r="D94" s="401">
        <v>0.05</v>
      </c>
      <c r="E94" s="3284" t="s">
        <v>447</v>
      </c>
      <c r="F94" s="3283"/>
      <c r="G94" s="3283"/>
      <c r="H94" s="332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2432</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450</v>
      </c>
      <c r="C96" s="405">
        <f ca="1">ROUND(D63*D96/(1+'数据-取费表'!C42),0)</f>
        <v>11</v>
      </c>
      <c r="D96" s="406">
        <f>'数据-取费表'!B43</f>
        <v>6.000000000000001E-3</v>
      </c>
      <c r="E96" s="3312" t="s">
        <v>2431</v>
      </c>
      <c r="F96" s="3313"/>
      <c r="G96" s="3313"/>
      <c r="H96" s="3314"/>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451</v>
      </c>
      <c r="C97" s="385">
        <f ca="1">C90-C91</f>
        <v>-830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3" t="s">
        <v>454</v>
      </c>
      <c r="B101" s="3324"/>
      <c r="C101" s="3324"/>
      <c r="D101" s="3324"/>
      <c r="E101" s="3324"/>
      <c r="F101" s="3324"/>
      <c r="G101" s="3324"/>
      <c r="H101" s="3324"/>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1" t="s">
        <v>428</v>
      </c>
      <c r="B102" s="3322"/>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439</v>
      </c>
      <c r="C103" s="385">
        <f ca="1">ROUND(D63/(1+'数据-取费表'!C42),0)</f>
        <v>1762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440</v>
      </c>
      <c r="C104" s="385">
        <f ca="1">IF(H106="仅含出让金",C105+C108+C109+C110+C111+C112,C105+C109+C110+C111+C112)</f>
        <v>706</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456</v>
      </c>
      <c r="C106" s="416">
        <v>555</v>
      </c>
      <c r="D106" s="406"/>
      <c r="E106" s="417" t="s">
        <v>457</v>
      </c>
      <c r="F106" s="986"/>
      <c r="G106" s="418" t="s">
        <v>458</v>
      </c>
      <c r="H106" s="419" t="s">
        <v>2442</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461</v>
      </c>
      <c r="C109" s="405">
        <f>IF(H109="——",IF(F1="现房",'剩余法-现房'!C18,'剩余法-待开发'!C18),I109)</f>
        <v>55</v>
      </c>
      <c r="D109" s="406"/>
      <c r="E109" s="3315" t="s">
        <v>462</v>
      </c>
      <c r="F109" s="3313"/>
      <c r="G109" s="3313"/>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463</v>
      </c>
      <c r="C110" s="405">
        <f>ROUND((C105+C108+C109)*D110,0)</f>
        <v>63</v>
      </c>
      <c r="D110" s="406">
        <v>0.1</v>
      </c>
      <c r="E110" s="3315" t="s">
        <v>464</v>
      </c>
      <c r="F110" s="3313"/>
      <c r="G110" s="3313"/>
      <c r="H110" s="3314"/>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450</v>
      </c>
      <c r="C111" s="405">
        <f ca="1">ROUND(D63*D111/(1+'数据-取费表'!C42),0)</f>
        <v>11</v>
      </c>
      <c r="D111" s="406">
        <f>'数据-取费表'!B43</f>
        <v>6.000000000000001E-3</v>
      </c>
      <c r="E111" s="3312" t="s">
        <v>2431</v>
      </c>
      <c r="F111" s="3313"/>
      <c r="G111" s="3313"/>
      <c r="H111" s="3314"/>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465</v>
      </c>
      <c r="C112" s="405">
        <f>ROUND(C108*D112,0)</f>
        <v>0</v>
      </c>
      <c r="D112" s="406">
        <v>0.2</v>
      </c>
      <c r="E112" s="3315" t="s">
        <v>2456</v>
      </c>
      <c r="F112" s="3313"/>
      <c r="G112" s="3313"/>
      <c r="H112" s="3314"/>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451</v>
      </c>
      <c r="C113" s="385">
        <f ca="1">ROUND(C103-C104,0)</f>
        <v>1056</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452</v>
      </c>
      <c r="C114" s="407">
        <f ca="1">IF(C113&lt;=0,0,C113/C104)</f>
        <v>1.4957507082152974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453</v>
      </c>
      <c r="C115" s="408">
        <f ca="1">ROUND(IF(C113&lt;=0,0,IF(C114&gt;=200%,C113*60%-C104*35%,IF(C114&gt;=100%,C113*50%-C104*15%,IF(C114&gt;=50%,C113*40%-C104*5%,IF(C114&lt;50%,C113*30%,0))))),0)</f>
        <v>422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F58" sqref="F5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3064</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1149</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4596</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306</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66" t="s">
        <v>522</v>
      </c>
      <c r="D6" s="3367"/>
      <c r="E6" s="3366" t="s">
        <v>523</v>
      </c>
      <c r="F6" s="3367"/>
      <c r="G6" s="3366" t="s">
        <v>524</v>
      </c>
      <c r="H6" s="3367"/>
      <c r="I6" s="3366" t="s">
        <v>525</v>
      </c>
      <c r="J6" s="3367"/>
      <c r="K6" s="514" t="s">
        <v>526</v>
      </c>
      <c r="L6" s="2135"/>
      <c r="M6" s="2134"/>
      <c r="N6" s="2134"/>
      <c r="O6" s="2136"/>
      <c r="P6" s="3368" t="s">
        <v>527</v>
      </c>
      <c r="Q6" s="3369"/>
      <c r="R6" s="3374" t="s">
        <v>523</v>
      </c>
      <c r="S6" s="3375"/>
      <c r="T6" s="3374" t="s">
        <v>524</v>
      </c>
      <c r="U6" s="3375"/>
      <c r="V6" s="3361" t="s">
        <v>525</v>
      </c>
      <c r="W6" s="3361"/>
      <c r="X6" s="1568"/>
      <c r="Y6" s="3374" t="s">
        <v>527</v>
      </c>
      <c r="Z6" s="3375"/>
      <c r="AA6" s="3363" t="s">
        <v>523</v>
      </c>
      <c r="AB6" s="3364" t="s">
        <v>524</v>
      </c>
      <c r="AC6" s="3363" t="s">
        <v>525</v>
      </c>
    </row>
    <row r="7" spans="1:30" ht="20.25">
      <c r="A7" s="515"/>
      <c r="B7" s="516"/>
      <c r="C7" s="3384" t="s">
        <v>2933</v>
      </c>
      <c r="D7" s="3383"/>
      <c r="E7" s="3382" t="s">
        <v>3002</v>
      </c>
      <c r="F7" s="3383"/>
      <c r="G7" s="3382" t="s">
        <v>3007</v>
      </c>
      <c r="H7" s="3383"/>
      <c r="I7" s="3382" t="s">
        <v>3009</v>
      </c>
      <c r="J7" s="3383"/>
      <c r="K7" s="514"/>
      <c r="L7" s="2135"/>
      <c r="M7" s="2134"/>
      <c r="N7" s="2134"/>
      <c r="O7" s="2136"/>
      <c r="P7" s="3370"/>
      <c r="Q7" s="3371"/>
      <c r="R7" s="3376"/>
      <c r="S7" s="3377"/>
      <c r="T7" s="3376"/>
      <c r="U7" s="3377"/>
      <c r="V7" s="3361"/>
      <c r="W7" s="3361"/>
      <c r="X7" s="1568"/>
      <c r="Y7" s="3376"/>
      <c r="Z7" s="3377"/>
      <c r="AA7" s="3364"/>
      <c r="AB7" s="3364"/>
      <c r="AC7" s="3364"/>
    </row>
    <row r="8" spans="1:30" ht="21" thickBot="1">
      <c r="A8" s="515"/>
      <c r="B8" s="516"/>
      <c r="C8" s="3385" t="s">
        <v>2937</v>
      </c>
      <c r="D8" s="3386"/>
      <c r="E8" s="3387" t="s">
        <v>3003</v>
      </c>
      <c r="F8" s="3386"/>
      <c r="G8" s="3380" t="s">
        <v>3008</v>
      </c>
      <c r="H8" s="3381"/>
      <c r="I8" s="3380" t="s">
        <v>3010</v>
      </c>
      <c r="J8" s="3381"/>
      <c r="K8" s="514" t="s">
        <v>528</v>
      </c>
      <c r="L8" s="2135"/>
      <c r="M8" s="2134"/>
      <c r="N8" s="2134"/>
      <c r="O8" s="2136"/>
      <c r="P8" s="3372"/>
      <c r="Q8" s="3373"/>
      <c r="R8" s="3376"/>
      <c r="S8" s="3377"/>
      <c r="T8" s="3378"/>
      <c r="U8" s="3379"/>
      <c r="V8" s="3361"/>
      <c r="W8" s="3361"/>
      <c r="X8" s="1568"/>
      <c r="Y8" s="3378"/>
      <c r="Z8" s="3379"/>
      <c r="AA8" s="3365"/>
      <c r="AB8" s="3365"/>
      <c r="AC8" s="3365"/>
    </row>
    <row r="9" spans="1:30" s="1220" customFormat="1" ht="21" thickBot="1">
      <c r="A9" s="2938"/>
      <c r="B9" s="2945" t="s">
        <v>529</v>
      </c>
      <c r="C9" s="2937">
        <f>'数据-取费表'!B2</f>
        <v>43215</v>
      </c>
      <c r="D9" s="520">
        <v>100</v>
      </c>
      <c r="E9" s="521">
        <v>43139</v>
      </c>
      <c r="F9" s="522">
        <f>SUMIF(72:72,YEAR(E9)&amp;"-"&amp;INT((MONTH(E9)+2)/3),73:73)</f>
        <v>99.5</v>
      </c>
      <c r="G9" s="523">
        <v>43096</v>
      </c>
      <c r="H9" s="520">
        <f>SUMIF(72:72,YEAR(G9)&amp;"-"&amp;INT((MONTH(G9)+2)/3),73:73)</f>
        <v>99</v>
      </c>
      <c r="I9" s="523">
        <v>43096</v>
      </c>
      <c r="J9" s="520">
        <f>SUMIF(72:72,YEAR(I9)&amp;"-"&amp;INT((MONTH(I9)+2)/3),73:73)</f>
        <v>99</v>
      </c>
      <c r="K9" s="524"/>
      <c r="L9" s="2137"/>
      <c r="M9" s="2134"/>
      <c r="N9" s="2134"/>
      <c r="O9" s="2138"/>
      <c r="P9" s="3393" t="s">
        <v>530</v>
      </c>
      <c r="Q9" s="3395"/>
      <c r="R9" s="1569" t="s">
        <v>8</v>
      </c>
      <c r="S9" s="1570">
        <f t="shared" ref="S9:S17" si="0">F9</f>
        <v>99.5</v>
      </c>
      <c r="T9" s="1569" t="s">
        <v>8</v>
      </c>
      <c r="U9" s="1570">
        <f t="shared" ref="U9:U17" si="1">H9</f>
        <v>99</v>
      </c>
      <c r="V9" s="1569" t="s">
        <v>8</v>
      </c>
      <c r="W9" s="1570">
        <f t="shared" ref="W9:W17" si="2">J9</f>
        <v>99</v>
      </c>
      <c r="X9" s="1571"/>
      <c r="Y9" s="3393" t="s">
        <v>530</v>
      </c>
      <c r="Z9" s="3394"/>
      <c r="AA9" s="1572">
        <f>D9/F9</f>
        <v>1.0050251256281406</v>
      </c>
      <c r="AB9" s="1572">
        <f>D9/H9</f>
        <v>1.0101010101010102</v>
      </c>
      <c r="AC9" s="1572">
        <f>D9/J9</f>
        <v>1.0101010101010102</v>
      </c>
    </row>
    <row r="10" spans="1:30" s="1220" customFormat="1" ht="21" thickBot="1">
      <c r="A10" s="2939"/>
      <c r="B10" s="2946" t="s">
        <v>531</v>
      </c>
      <c r="C10" s="856" t="s">
        <v>532</v>
      </c>
      <c r="D10" s="520">
        <v>100</v>
      </c>
      <c r="E10" s="525" t="s">
        <v>3004</v>
      </c>
      <c r="F10" s="522">
        <f>SUMIF(75:75,E10,76:76)-SUMIF(75:75,C10,76:76)+100</f>
        <v>100</v>
      </c>
      <c r="G10" s="525" t="s">
        <v>3004</v>
      </c>
      <c r="H10" s="520">
        <f>SUMIF(75:75,G10,76:76)-SUMIF(75:75,C10,76:76)+100</f>
        <v>100</v>
      </c>
      <c r="I10" s="525" t="s">
        <v>3004</v>
      </c>
      <c r="J10" s="520">
        <f>SUMIF(75:75,I10,76:76)-SUMIF(75:75,C10,76:76)+100</f>
        <v>100</v>
      </c>
      <c r="K10" s="524"/>
      <c r="L10" s="2137"/>
      <c r="M10" s="2134"/>
      <c r="N10" s="2134"/>
      <c r="O10" s="2138"/>
      <c r="P10" s="3393" t="s">
        <v>533</v>
      </c>
      <c r="Q10" s="3394"/>
      <c r="R10" s="1569" t="s">
        <v>8</v>
      </c>
      <c r="S10" s="1570">
        <f t="shared" si="0"/>
        <v>100</v>
      </c>
      <c r="T10" s="1569" t="s">
        <v>8</v>
      </c>
      <c r="U10" s="1570">
        <f t="shared" si="1"/>
        <v>100</v>
      </c>
      <c r="V10" s="1569" t="s">
        <v>8</v>
      </c>
      <c r="W10" s="1570">
        <f t="shared" si="2"/>
        <v>100</v>
      </c>
      <c r="X10" s="1571"/>
      <c r="Y10" s="3393" t="s">
        <v>533</v>
      </c>
      <c r="Z10" s="3394"/>
      <c r="AA10" s="1572">
        <f t="shared" ref="AA10:AA47" si="3">D10/F10</f>
        <v>1</v>
      </c>
      <c r="AB10" s="1572">
        <f t="shared" ref="AB10:AB47" si="4">D10/H10</f>
        <v>1</v>
      </c>
      <c r="AC10" s="1572">
        <f t="shared" ref="AC10:AC47" si="5">D10/J10</f>
        <v>1</v>
      </c>
    </row>
    <row r="11" spans="1:30" s="1220" customFormat="1" ht="20.25">
      <c r="A11" s="2940"/>
      <c r="B11" s="2947" t="s">
        <v>2759</v>
      </c>
      <c r="C11" s="2934" t="s">
        <v>2993</v>
      </c>
      <c r="D11" s="254">
        <v>100</v>
      </c>
      <c r="E11" s="526" t="s">
        <v>2993</v>
      </c>
      <c r="F11" s="254">
        <f>SUMIF(77:77,E11,78:78)-SUMIF(77:77,C11,78:78)+100</f>
        <v>100</v>
      </c>
      <c r="G11" s="526" t="s">
        <v>2993</v>
      </c>
      <c r="H11" s="254">
        <f>SUMIF(77:77,G11,78:78)-SUMIF(77:77,C11,78:78)+100</f>
        <v>100</v>
      </c>
      <c r="I11" s="526" t="s">
        <v>2993</v>
      </c>
      <c r="J11" s="254">
        <f>SUMIF(77:77,I11,78:78)-SUMIF(77:77,C11,78:78)+100</f>
        <v>100</v>
      </c>
      <c r="K11" s="524"/>
      <c r="L11" s="2137"/>
      <c r="M11" s="2134"/>
      <c r="N11" s="2134"/>
      <c r="O11" s="2139"/>
      <c r="P11" s="3360" t="s">
        <v>535</v>
      </c>
      <c r="Q11" s="1151" t="str">
        <f t="shared" ref="Q11:Q17" si="6">B11</f>
        <v>用途</v>
      </c>
      <c r="R11" s="1569" t="s">
        <v>8</v>
      </c>
      <c r="S11" s="1570">
        <f t="shared" si="0"/>
        <v>100</v>
      </c>
      <c r="T11" s="1569" t="s">
        <v>8</v>
      </c>
      <c r="U11" s="1570">
        <f t="shared" si="1"/>
        <v>100</v>
      </c>
      <c r="V11" s="1569" t="s">
        <v>8</v>
      </c>
      <c r="W11" s="1570">
        <f t="shared" si="2"/>
        <v>100</v>
      </c>
      <c r="X11" s="1571"/>
      <c r="Y11" s="3306" t="s">
        <v>536</v>
      </c>
      <c r="Z11" s="1150" t="str">
        <f t="shared" ref="Z11:Z17" si="7">Q11</f>
        <v>用途</v>
      </c>
      <c r="AA11" s="1572">
        <f t="shared" si="3"/>
        <v>1</v>
      </c>
      <c r="AB11" s="1572">
        <f t="shared" si="4"/>
        <v>1</v>
      </c>
      <c r="AC11" s="1572">
        <f t="shared" si="5"/>
        <v>1</v>
      </c>
    </row>
    <row r="12" spans="1:30" s="1338" customFormat="1" ht="27">
      <c r="A12" s="2941"/>
      <c r="B12" s="2946" t="s">
        <v>2760</v>
      </c>
      <c r="C12" s="910">
        <f>'数据-取费表'!F6</f>
        <v>32.79</v>
      </c>
      <c r="D12" s="255">
        <v>100</v>
      </c>
      <c r="E12" s="529" t="s">
        <v>3005</v>
      </c>
      <c r="F12" s="255">
        <f>ROUND(100/'数据-取费表'!G16,0)</f>
        <v>108</v>
      </c>
      <c r="G12" s="530" t="s">
        <v>3005</v>
      </c>
      <c r="H12" s="255">
        <f>ROUND(100/'数据-取费表'!G16,0)</f>
        <v>108</v>
      </c>
      <c r="I12" s="530" t="s">
        <v>3005</v>
      </c>
      <c r="J12" s="255">
        <f>ROUND(100/'数据-取费表'!G16,0)</f>
        <v>108</v>
      </c>
      <c r="K12" s="531"/>
      <c r="L12" s="2140"/>
      <c r="M12" s="2134"/>
      <c r="N12" s="2134"/>
      <c r="O12" s="2141"/>
      <c r="P12" s="3360"/>
      <c r="Q12" s="1151" t="str">
        <f t="shared" si="6"/>
        <v>土地使用年限（年）</v>
      </c>
      <c r="R12" s="1569" t="s">
        <v>8</v>
      </c>
      <c r="S12" s="1570">
        <f t="shared" si="0"/>
        <v>108</v>
      </c>
      <c r="T12" s="1569" t="s">
        <v>8</v>
      </c>
      <c r="U12" s="1570">
        <f t="shared" si="1"/>
        <v>108</v>
      </c>
      <c r="V12" s="1569" t="s">
        <v>8</v>
      </c>
      <c r="W12" s="1570">
        <f t="shared" si="2"/>
        <v>108</v>
      </c>
      <c r="X12" s="1571"/>
      <c r="Y12" s="3306"/>
      <c r="Z12" s="1150" t="str">
        <f t="shared" si="7"/>
        <v>土地使用年限（年）</v>
      </c>
      <c r="AA12" s="1572">
        <f t="shared" si="3"/>
        <v>0.92592592592592593</v>
      </c>
      <c r="AB12" s="1572">
        <f t="shared" si="4"/>
        <v>0.92592592592592593</v>
      </c>
      <c r="AC12" s="1572">
        <f t="shared" si="5"/>
        <v>0.92592592592592593</v>
      </c>
    </row>
    <row r="13" spans="1:30" ht="20.25">
      <c r="A13" s="2942"/>
      <c r="B13" s="2946" t="s">
        <v>2761</v>
      </c>
      <c r="C13" s="534">
        <f>'数据-汇总表'!I4</f>
        <v>4</v>
      </c>
      <c r="D13" s="255">
        <v>100</v>
      </c>
      <c r="E13" s="533">
        <v>4.5</v>
      </c>
      <c r="F13" s="255">
        <f>LOOKUP(E13,82:82,83:83)-LOOKUP(C13,82:82,83:83)+100</f>
        <v>100</v>
      </c>
      <c r="G13" s="534">
        <v>2</v>
      </c>
      <c r="H13" s="255">
        <f>LOOKUP(G13,82:82,83:83)-LOOKUP(C13,82:82,83:83)+100</f>
        <v>110</v>
      </c>
      <c r="I13" s="533">
        <v>2.5</v>
      </c>
      <c r="J13" s="255">
        <f>LOOKUP(I13,82:82,83:83)-LOOKUP(C13,82:82,83:83)+100</f>
        <v>110</v>
      </c>
      <c r="K13" s="3187">
        <v>5</v>
      </c>
      <c r="L13" s="2142"/>
      <c r="M13" s="2134"/>
      <c r="N13" s="2134"/>
      <c r="O13" s="2143"/>
      <c r="P13" s="3360"/>
      <c r="Q13" s="1151" t="str">
        <f t="shared" si="6"/>
        <v>容积率</v>
      </c>
      <c r="R13" s="1569" t="s">
        <v>8</v>
      </c>
      <c r="S13" s="1570">
        <f t="shared" si="0"/>
        <v>100</v>
      </c>
      <c r="T13" s="1569" t="s">
        <v>8</v>
      </c>
      <c r="U13" s="1570">
        <f t="shared" si="1"/>
        <v>110</v>
      </c>
      <c r="V13" s="1569" t="s">
        <v>8</v>
      </c>
      <c r="W13" s="1570">
        <f t="shared" si="2"/>
        <v>110</v>
      </c>
      <c r="X13" s="1571"/>
      <c r="Y13" s="3306"/>
      <c r="Z13" s="1150" t="str">
        <f t="shared" si="7"/>
        <v>容积率</v>
      </c>
      <c r="AA13" s="1572">
        <f t="shared" si="3"/>
        <v>1</v>
      </c>
      <c r="AB13" s="1572">
        <f t="shared" si="4"/>
        <v>0.90909090909090906</v>
      </c>
      <c r="AC13" s="1572">
        <f t="shared" si="5"/>
        <v>0.90909090909090906</v>
      </c>
    </row>
    <row r="14" spans="1:30" s="1220" customFormat="1" ht="20.25" hidden="1">
      <c r="A14" s="2939"/>
      <c r="B14" s="2948" t="s">
        <v>2762</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0"/>
      <c r="Q14" s="1151" t="str">
        <f t="shared" si="6"/>
        <v>配建</v>
      </c>
      <c r="R14" s="1569" t="s">
        <v>8</v>
      </c>
      <c r="S14" s="1570">
        <f t="shared" si="0"/>
        <v>100</v>
      </c>
      <c r="T14" s="1569" t="s">
        <v>8</v>
      </c>
      <c r="U14" s="1570">
        <f t="shared" si="1"/>
        <v>100</v>
      </c>
      <c r="V14" s="1569" t="s">
        <v>8</v>
      </c>
      <c r="W14" s="1570">
        <f t="shared" si="2"/>
        <v>100</v>
      </c>
      <c r="X14" s="1571"/>
      <c r="Y14" s="3306"/>
      <c r="Z14" s="1150" t="str">
        <f t="shared" si="7"/>
        <v>配建</v>
      </c>
      <c r="AA14" s="1572">
        <f>D14/F14</f>
        <v>1</v>
      </c>
      <c r="AB14" s="1572">
        <f>D14/H14</f>
        <v>1</v>
      </c>
      <c r="AC14" s="1572">
        <f>D14/J14</f>
        <v>1</v>
      </c>
    </row>
    <row r="15" spans="1:30" ht="20.25" hidden="1">
      <c r="A15" s="2943"/>
      <c r="B15" s="2949">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0"/>
      <c r="Q15" s="1151">
        <f t="shared" si="6"/>
        <v>111</v>
      </c>
      <c r="R15" s="1569" t="s">
        <v>8</v>
      </c>
      <c r="S15" s="1570">
        <f t="shared" si="0"/>
        <v>100</v>
      </c>
      <c r="T15" s="1569" t="s">
        <v>8</v>
      </c>
      <c r="U15" s="1570">
        <f t="shared" si="1"/>
        <v>100</v>
      </c>
      <c r="V15" s="1569" t="s">
        <v>8</v>
      </c>
      <c r="W15" s="1570">
        <f t="shared" si="2"/>
        <v>100</v>
      </c>
      <c r="X15" s="1571"/>
      <c r="Y15" s="3306"/>
      <c r="Z15" s="1150">
        <f t="shared" si="7"/>
        <v>111</v>
      </c>
      <c r="AA15" s="1572">
        <f>D15/F15</f>
        <v>1</v>
      </c>
      <c r="AB15" s="1572">
        <f>D15/H15</f>
        <v>1</v>
      </c>
      <c r="AC15" s="1572">
        <f>D15/J15</f>
        <v>1</v>
      </c>
    </row>
    <row r="16" spans="1:30" ht="21" hidden="1" thickBot="1">
      <c r="A16" s="2944"/>
      <c r="B16" s="2950">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0"/>
      <c r="Q16" s="1151">
        <f t="shared" si="6"/>
        <v>111</v>
      </c>
      <c r="R16" s="1569" t="s">
        <v>8</v>
      </c>
      <c r="S16" s="1570">
        <f t="shared" si="0"/>
        <v>100</v>
      </c>
      <c r="T16" s="1569" t="s">
        <v>8</v>
      </c>
      <c r="U16" s="1570">
        <f t="shared" si="1"/>
        <v>100</v>
      </c>
      <c r="V16" s="1569" t="s">
        <v>8</v>
      </c>
      <c r="W16" s="1570">
        <f t="shared" si="2"/>
        <v>100</v>
      </c>
      <c r="X16" s="1571"/>
      <c r="Y16" s="3306"/>
      <c r="Z16" s="1150">
        <f t="shared" si="7"/>
        <v>111</v>
      </c>
      <c r="AA16" s="1572">
        <f>D16/F16</f>
        <v>1</v>
      </c>
      <c r="AB16" s="1572">
        <f>D16/H16</f>
        <v>1</v>
      </c>
      <c r="AC16" s="1572">
        <f>D16/J16</f>
        <v>1</v>
      </c>
    </row>
    <row r="17" spans="1:29" ht="99.75" hidden="1">
      <c r="A17" s="2936"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44"/>
      <c r="M17" s="2134"/>
      <c r="N17" s="2134"/>
      <c r="O17" s="2143"/>
      <c r="P17" s="3396" t="s">
        <v>540</v>
      </c>
      <c r="Q17" s="1573" t="str">
        <f t="shared" si="6"/>
        <v>居住社区成熟度</v>
      </c>
      <c r="R17" s="1574" t="s">
        <v>8</v>
      </c>
      <c r="S17" s="1575">
        <f t="shared" si="0"/>
        <v>100</v>
      </c>
      <c r="T17" s="1574" t="s">
        <v>8</v>
      </c>
      <c r="U17" s="1575">
        <f t="shared" si="1"/>
        <v>100</v>
      </c>
      <c r="V17" s="1574" t="s">
        <v>8</v>
      </c>
      <c r="W17" s="1575">
        <f t="shared" si="2"/>
        <v>100</v>
      </c>
      <c r="X17" s="1568"/>
      <c r="Y17" s="3396" t="s">
        <v>540</v>
      </c>
      <c r="Z17" s="1576" t="str">
        <f t="shared" si="7"/>
        <v>居住社区成熟度</v>
      </c>
      <c r="AA17" s="1577">
        <f t="shared" si="3"/>
        <v>1</v>
      </c>
      <c r="AB17" s="1577">
        <f t="shared" si="4"/>
        <v>1</v>
      </c>
      <c r="AC17" s="1577">
        <f t="shared" si="5"/>
        <v>1</v>
      </c>
    </row>
    <row r="18" spans="1:29" ht="20.25" hidden="1">
      <c r="A18" s="532"/>
      <c r="B18" s="553"/>
      <c r="C18" s="554" t="s">
        <v>3018</v>
      </c>
      <c r="D18" s="557"/>
      <c r="E18" s="558" t="s">
        <v>3018</v>
      </c>
      <c r="F18" s="555"/>
      <c r="G18" s="556" t="s">
        <v>3018</v>
      </c>
      <c r="H18" s="559"/>
      <c r="I18" s="558" t="s">
        <v>3018</v>
      </c>
      <c r="J18" s="555"/>
      <c r="K18" s="531"/>
      <c r="L18" s="2144"/>
      <c r="M18" s="2134"/>
      <c r="N18" s="2134"/>
      <c r="O18" s="2143"/>
      <c r="P18" s="3397"/>
      <c r="Q18" s="1573"/>
      <c r="R18" s="1574"/>
      <c r="S18" s="1575"/>
      <c r="T18" s="1574"/>
      <c r="U18" s="1575"/>
      <c r="V18" s="1574"/>
      <c r="W18" s="1575"/>
      <c r="X18" s="1568"/>
      <c r="Y18" s="3397"/>
      <c r="Z18" s="1576"/>
      <c r="AA18" s="1577">
        <v>1</v>
      </c>
      <c r="AB18" s="1577">
        <v>1</v>
      </c>
      <c r="AC18" s="1577">
        <v>1</v>
      </c>
    </row>
    <row r="19" spans="1:29" ht="71.25">
      <c r="A19" s="532"/>
      <c r="B19" s="3188"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90</v>
      </c>
      <c r="I19" s="564"/>
      <c r="J19" s="565">
        <f>SUMIF(92:92,I20,93:93)-SUMIF(92:92,C20,93:93)+100</f>
        <v>90</v>
      </c>
      <c r="K19" s="3187">
        <v>5</v>
      </c>
      <c r="L19" s="2144"/>
      <c r="M19" s="2134"/>
      <c r="N19" s="2134"/>
      <c r="O19" s="2143"/>
      <c r="P19" s="3397"/>
      <c r="Q19" s="1573" t="str">
        <f>B19</f>
        <v>商业繁华度</v>
      </c>
      <c r="R19" s="1574" t="s">
        <v>8</v>
      </c>
      <c r="S19" s="1575">
        <f>F19</f>
        <v>100</v>
      </c>
      <c r="T19" s="1574" t="s">
        <v>8</v>
      </c>
      <c r="U19" s="1575">
        <f>H19</f>
        <v>90</v>
      </c>
      <c r="V19" s="1574" t="s">
        <v>8</v>
      </c>
      <c r="W19" s="1575">
        <f>J19</f>
        <v>90</v>
      </c>
      <c r="X19" s="1568"/>
      <c r="Y19" s="3397"/>
      <c r="Z19" s="1576" t="str">
        <f>Q19</f>
        <v>商业繁华度</v>
      </c>
      <c r="AA19" s="1577">
        <f t="shared" si="3"/>
        <v>1</v>
      </c>
      <c r="AB19" s="1577">
        <f t="shared" si="4"/>
        <v>1.1111111111111112</v>
      </c>
      <c r="AC19" s="1577">
        <f t="shared" si="5"/>
        <v>1.1111111111111112</v>
      </c>
    </row>
    <row r="20" spans="1:29" ht="20.25">
      <c r="A20" s="532"/>
      <c r="B20" s="566"/>
      <c r="C20" s="567" t="s">
        <v>3018</v>
      </c>
      <c r="D20" s="563"/>
      <c r="E20" s="567" t="s">
        <v>3018</v>
      </c>
      <c r="F20" s="559"/>
      <c r="G20" s="3190" t="s">
        <v>3037</v>
      </c>
      <c r="H20" s="555"/>
      <c r="I20" s="3190" t="s">
        <v>3037</v>
      </c>
      <c r="J20" s="555"/>
      <c r="K20" s="531"/>
      <c r="L20" s="2144"/>
      <c r="M20" s="2134"/>
      <c r="N20" s="2134"/>
      <c r="O20" s="2143"/>
      <c r="P20" s="3397"/>
      <c r="Q20" s="1573"/>
      <c r="R20" s="1574"/>
      <c r="S20" s="1575"/>
      <c r="T20" s="1574"/>
      <c r="U20" s="1575"/>
      <c r="V20" s="1574"/>
      <c r="W20" s="1575"/>
      <c r="X20" s="1568"/>
      <c r="Y20" s="3397"/>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97"/>
      <c r="Q21" s="1573" t="str">
        <f>B21</f>
        <v>办公集聚程度</v>
      </c>
      <c r="R21" s="1574" t="s">
        <v>8</v>
      </c>
      <c r="S21" s="1575">
        <f>F21</f>
        <v>100</v>
      </c>
      <c r="T21" s="1574" t="s">
        <v>8</v>
      </c>
      <c r="U21" s="1575">
        <f>H21</f>
        <v>100</v>
      </c>
      <c r="V21" s="1574" t="s">
        <v>8</v>
      </c>
      <c r="W21" s="1575">
        <f>J21</f>
        <v>100</v>
      </c>
      <c r="X21" s="1568"/>
      <c r="Y21" s="3397"/>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397"/>
      <c r="Q22" s="1573"/>
      <c r="R22" s="1574"/>
      <c r="S22" s="1575"/>
      <c r="T22" s="1574"/>
      <c r="U22" s="1575"/>
      <c r="V22" s="1574"/>
      <c r="W22" s="1575"/>
      <c r="X22" s="1568"/>
      <c r="Y22" s="3397"/>
      <c r="Z22" s="1576"/>
      <c r="AA22" s="1577">
        <v>1</v>
      </c>
      <c r="AB22" s="1577">
        <v>1</v>
      </c>
      <c r="AC22" s="1577">
        <v>1</v>
      </c>
    </row>
    <row r="23" spans="1:29" ht="85.5">
      <c r="A23" s="532"/>
      <c r="B23" s="3188"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98</v>
      </c>
      <c r="I23" s="564"/>
      <c r="J23" s="559">
        <f>SUMIF(96:96,I24,97:97)-SUMIF(96:96,C24,97:97)+100</f>
        <v>98</v>
      </c>
      <c r="K23" s="3187">
        <v>2</v>
      </c>
      <c r="L23" s="2144"/>
      <c r="M23" s="2134"/>
      <c r="N23" s="2134"/>
      <c r="O23" s="2143"/>
      <c r="P23" s="3397"/>
      <c r="Q23" s="1573" t="str">
        <f>B23</f>
        <v>交通便捷度</v>
      </c>
      <c r="R23" s="1574" t="s">
        <v>8</v>
      </c>
      <c r="S23" s="1575">
        <f>F23</f>
        <v>100</v>
      </c>
      <c r="T23" s="1574" t="s">
        <v>8</v>
      </c>
      <c r="U23" s="1575">
        <f>H23</f>
        <v>98</v>
      </c>
      <c r="V23" s="1574" t="s">
        <v>8</v>
      </c>
      <c r="W23" s="1575">
        <f>J23</f>
        <v>98</v>
      </c>
      <c r="X23" s="1568"/>
      <c r="Y23" s="3397"/>
      <c r="Z23" s="1576" t="str">
        <f>Q23</f>
        <v>交通便捷度</v>
      </c>
      <c r="AA23" s="1577">
        <f t="shared" si="3"/>
        <v>1</v>
      </c>
      <c r="AB23" s="1577">
        <f t="shared" si="4"/>
        <v>1.0204081632653061</v>
      </c>
      <c r="AC23" s="1577">
        <f t="shared" si="5"/>
        <v>1.0204081632653061</v>
      </c>
    </row>
    <row r="24" spans="1:29" ht="20.25">
      <c r="A24" s="532"/>
      <c r="B24" s="578"/>
      <c r="C24" s="554" t="s">
        <v>3018</v>
      </c>
      <c r="D24" s="557"/>
      <c r="E24" s="567" t="s">
        <v>3018</v>
      </c>
      <c r="F24" s="555"/>
      <c r="G24" s="3190" t="s">
        <v>3026</v>
      </c>
      <c r="H24" s="555"/>
      <c r="I24" s="3190" t="s">
        <v>3026</v>
      </c>
      <c r="J24" s="555"/>
      <c r="K24" s="531"/>
      <c r="L24" s="2144"/>
      <c r="M24" s="2134"/>
      <c r="N24" s="2134"/>
      <c r="O24" s="2143"/>
      <c r="P24" s="3397"/>
      <c r="Q24" s="1573"/>
      <c r="R24" s="1574"/>
      <c r="S24" s="1575"/>
      <c r="T24" s="1574"/>
      <c r="U24" s="1575"/>
      <c r="V24" s="1574"/>
      <c r="W24" s="1575"/>
      <c r="X24" s="1568"/>
      <c r="Y24" s="3397"/>
      <c r="Z24" s="1576"/>
      <c r="AA24" s="1577">
        <v>1</v>
      </c>
      <c r="AB24" s="1577">
        <v>1</v>
      </c>
      <c r="AC24" s="1577">
        <v>1</v>
      </c>
    </row>
    <row r="25" spans="1:29" ht="27">
      <c r="A25" s="515"/>
      <c r="B25" s="3189" t="s">
        <v>544</v>
      </c>
      <c r="C25" s="573">
        <f>估价对象房地状况!C19</f>
        <v>0</v>
      </c>
      <c r="D25" s="563">
        <v>100</v>
      </c>
      <c r="E25" s="564"/>
      <c r="F25" s="565">
        <f>SUMIF(98:98,E26,99:99)-SUMIF(98:98,C26,99:99)+100</f>
        <v>100</v>
      </c>
      <c r="G25" s="562"/>
      <c r="H25" s="559">
        <f>SUMIF(98:98,G26,99:99)-SUMIF(98:98,C26,99:99)+100</f>
        <v>96</v>
      </c>
      <c r="I25" s="564"/>
      <c r="J25" s="559">
        <f>SUMIF(98:98,I26,99:99)-SUMIF(98:98,C26,99:99)+100</f>
        <v>96</v>
      </c>
      <c r="K25" s="3187">
        <v>2</v>
      </c>
      <c r="L25" s="2144"/>
      <c r="M25" s="2134"/>
      <c r="N25" s="2134"/>
      <c r="O25" s="2143"/>
      <c r="P25" s="3397"/>
      <c r="Q25" s="1573" t="str">
        <f t="shared" ref="Q25:Q39" si="8">B25</f>
        <v>区域土地利用方向</v>
      </c>
      <c r="R25" s="1574" t="s">
        <v>8</v>
      </c>
      <c r="S25" s="1575">
        <f>F25</f>
        <v>100</v>
      </c>
      <c r="T25" s="1574" t="s">
        <v>8</v>
      </c>
      <c r="U25" s="1575">
        <f>H25</f>
        <v>96</v>
      </c>
      <c r="V25" s="1574" t="s">
        <v>8</v>
      </c>
      <c r="W25" s="1575">
        <f>J25</f>
        <v>96</v>
      </c>
      <c r="X25" s="1568"/>
      <c r="Y25" s="3397"/>
      <c r="Z25" s="1576" t="str">
        <f>Q25</f>
        <v>区域土地利用方向</v>
      </c>
      <c r="AA25" s="1577">
        <f t="shared" si="3"/>
        <v>1</v>
      </c>
      <c r="AB25" s="1577">
        <f t="shared" si="4"/>
        <v>1.0416666666666667</v>
      </c>
      <c r="AC25" s="1577">
        <f t="shared" si="5"/>
        <v>1.0416666666666667</v>
      </c>
    </row>
    <row r="26" spans="1:29" ht="20.25">
      <c r="A26" s="515"/>
      <c r="B26" s="1007"/>
      <c r="C26" s="554" t="s">
        <v>3018</v>
      </c>
      <c r="D26" s="557"/>
      <c r="E26" s="567" t="s">
        <v>3018</v>
      </c>
      <c r="F26" s="555"/>
      <c r="G26" s="567" t="s">
        <v>3037</v>
      </c>
      <c r="H26" s="555"/>
      <c r="I26" s="567" t="s">
        <v>3037</v>
      </c>
      <c r="J26" s="555"/>
      <c r="K26" s="531"/>
      <c r="L26" s="2144"/>
      <c r="M26" s="2134"/>
      <c r="N26" s="2134"/>
      <c r="O26" s="2143"/>
      <c r="P26" s="3397"/>
      <c r="Q26" s="1573"/>
      <c r="R26" s="1574"/>
      <c r="S26" s="1575"/>
      <c r="T26" s="1574"/>
      <c r="U26" s="1575"/>
      <c r="V26" s="1574"/>
      <c r="W26" s="1575"/>
      <c r="X26" s="1568"/>
      <c r="Y26" s="3397"/>
      <c r="Z26" s="1576"/>
      <c r="AA26" s="1577"/>
      <c r="AB26" s="1577"/>
      <c r="AC26" s="1577"/>
    </row>
    <row r="27" spans="1:29" ht="57">
      <c r="A27" s="515"/>
      <c r="B27" s="2617" t="s">
        <v>3038</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4"/>
      <c r="M27" s="2134"/>
      <c r="N27" s="2134"/>
      <c r="O27" s="2143"/>
      <c r="P27" s="3397"/>
      <c r="Q27" s="1573" t="str">
        <f t="shared" si="8"/>
        <v>自然及人文环境状况</v>
      </c>
      <c r="R27" s="1574" t="s">
        <v>8</v>
      </c>
      <c r="S27" s="1575">
        <f>F27</f>
        <v>100</v>
      </c>
      <c r="T27" s="1574" t="s">
        <v>8</v>
      </c>
      <c r="U27" s="1575">
        <f>H27</f>
        <v>100</v>
      </c>
      <c r="V27" s="1574" t="s">
        <v>8</v>
      </c>
      <c r="W27" s="1575">
        <f>J27</f>
        <v>100</v>
      </c>
      <c r="X27" s="1568"/>
      <c r="Y27" s="3397"/>
      <c r="Z27" s="1576" t="str">
        <f>Q27</f>
        <v>自然及人文环境状况</v>
      </c>
      <c r="AA27" s="1577">
        <f t="shared" si="3"/>
        <v>1</v>
      </c>
      <c r="AB27" s="1577">
        <f t="shared" si="4"/>
        <v>1</v>
      </c>
      <c r="AC27" s="1577">
        <f t="shared" si="5"/>
        <v>1</v>
      </c>
    </row>
    <row r="28" spans="1:29" ht="20.25">
      <c r="A28" s="515"/>
      <c r="B28" s="566"/>
      <c r="C28" s="554" t="s">
        <v>3018</v>
      </c>
      <c r="D28" s="557"/>
      <c r="E28" s="576" t="s">
        <v>3018</v>
      </c>
      <c r="F28" s="555"/>
      <c r="G28" s="554" t="s">
        <v>3018</v>
      </c>
      <c r="H28" s="555"/>
      <c r="I28" s="576" t="s">
        <v>3018</v>
      </c>
      <c r="J28" s="555"/>
      <c r="K28" s="531"/>
      <c r="L28" s="2144"/>
      <c r="M28" s="2134"/>
      <c r="N28" s="2134"/>
      <c r="O28" s="2143"/>
      <c r="P28" s="3397"/>
      <c r="Q28" s="1573"/>
      <c r="R28" s="1574"/>
      <c r="S28" s="1575"/>
      <c r="T28" s="1574"/>
      <c r="U28" s="1575"/>
      <c r="V28" s="1574"/>
      <c r="W28" s="1575"/>
      <c r="X28" s="1568"/>
      <c r="Y28" s="3397"/>
      <c r="Z28" s="1576"/>
      <c r="AA28" s="1577">
        <v>1</v>
      </c>
      <c r="AB28" s="1577">
        <v>1</v>
      </c>
      <c r="AC28" s="1577">
        <v>1</v>
      </c>
    </row>
    <row r="29" spans="1:29" s="1220" customFormat="1" ht="42.75">
      <c r="A29" s="577"/>
      <c r="B29" s="2617"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397"/>
      <c r="Q29" s="1151" t="str">
        <f t="shared" si="8"/>
        <v>公共配套设施</v>
      </c>
      <c r="R29" s="1569" t="s">
        <v>8</v>
      </c>
      <c r="S29" s="1570">
        <f>F29</f>
        <v>100</v>
      </c>
      <c r="T29" s="1569" t="s">
        <v>8</v>
      </c>
      <c r="U29" s="1570">
        <f>H29</f>
        <v>100</v>
      </c>
      <c r="V29" s="1569" t="s">
        <v>8</v>
      </c>
      <c r="W29" s="1570">
        <f>J29</f>
        <v>100</v>
      </c>
      <c r="X29" s="1571"/>
      <c r="Y29" s="3397"/>
      <c r="Z29" s="1150" t="str">
        <f>Q29</f>
        <v>公共配套设施</v>
      </c>
      <c r="AA29" s="1577">
        <f>D29/F29</f>
        <v>1</v>
      </c>
      <c r="AB29" s="1577">
        <f>D29/H29</f>
        <v>1</v>
      </c>
      <c r="AC29" s="1577">
        <f>D29/J29</f>
        <v>1</v>
      </c>
    </row>
    <row r="30" spans="1:29" s="1220" customFormat="1" ht="20.25">
      <c r="A30" s="577"/>
      <c r="B30" s="566"/>
      <c r="C30" s="579" t="s">
        <v>3018</v>
      </c>
      <c r="D30" s="557"/>
      <c r="E30" s="576" t="s">
        <v>3018</v>
      </c>
      <c r="F30" s="555"/>
      <c r="G30" s="554" t="s">
        <v>3018</v>
      </c>
      <c r="H30" s="555"/>
      <c r="I30" s="576" t="s">
        <v>3018</v>
      </c>
      <c r="J30" s="555"/>
      <c r="K30" s="531"/>
      <c r="L30" s="2137"/>
      <c r="M30" s="2134"/>
      <c r="N30" s="2134"/>
      <c r="O30" s="2139"/>
      <c r="P30" s="3397"/>
      <c r="Q30" s="1151"/>
      <c r="R30" s="1569"/>
      <c r="S30" s="1570"/>
      <c r="T30" s="1569"/>
      <c r="U30" s="1570"/>
      <c r="V30" s="1569"/>
      <c r="W30" s="1570"/>
      <c r="X30" s="1571"/>
      <c r="Y30" s="3397"/>
      <c r="Z30" s="1150"/>
      <c r="AA30" s="1577">
        <v>1</v>
      </c>
      <c r="AB30" s="1577">
        <v>1</v>
      </c>
      <c r="AC30" s="1577">
        <v>1</v>
      </c>
    </row>
    <row r="31" spans="1:29" s="1220" customFormat="1" ht="28.5" hidden="1">
      <c r="A31" s="577"/>
      <c r="B31" s="2617"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37"/>
      <c r="M31" s="2134"/>
      <c r="N31" s="2134"/>
      <c r="O31" s="2139"/>
      <c r="P31" s="3397"/>
      <c r="Q31" s="2604" t="str">
        <f t="shared" ref="Q31" si="9">B31</f>
        <v>基础设施水平</v>
      </c>
      <c r="R31" s="1569" t="s">
        <v>8</v>
      </c>
      <c r="S31" s="1570">
        <f>F31</f>
        <v>100</v>
      </c>
      <c r="T31" s="1569" t="s">
        <v>8</v>
      </c>
      <c r="U31" s="1570">
        <f>H31</f>
        <v>100</v>
      </c>
      <c r="V31" s="1569" t="s">
        <v>8</v>
      </c>
      <c r="W31" s="1570">
        <f>J31</f>
        <v>100</v>
      </c>
      <c r="X31" s="1571"/>
      <c r="Y31" s="3397"/>
      <c r="Z31" s="2601" t="str">
        <f>Q31</f>
        <v>基础设施水平</v>
      </c>
      <c r="AA31" s="1577">
        <f>D31/F31</f>
        <v>1</v>
      </c>
      <c r="AB31" s="1577">
        <f>D31/H31</f>
        <v>1</v>
      </c>
      <c r="AC31" s="1577">
        <f>D31/J31</f>
        <v>1</v>
      </c>
    </row>
    <row r="32" spans="1:29" s="1220" customFormat="1" ht="20.25" hidden="1">
      <c r="A32" s="577"/>
      <c r="B32" s="566"/>
      <c r="C32" s="579" t="s">
        <v>3017</v>
      </c>
      <c r="D32" s="557"/>
      <c r="E32" s="2618" t="s">
        <v>3017</v>
      </c>
      <c r="F32" s="555"/>
      <c r="G32" s="579" t="s">
        <v>3017</v>
      </c>
      <c r="H32" s="555"/>
      <c r="I32" s="579" t="s">
        <v>3017</v>
      </c>
      <c r="J32" s="555"/>
      <c r="K32" s="531"/>
      <c r="L32" s="2137"/>
      <c r="M32" s="2134"/>
      <c r="N32" s="2134"/>
      <c r="O32" s="2139"/>
      <c r="P32" s="3397"/>
      <c r="Q32" s="2604"/>
      <c r="R32" s="1569"/>
      <c r="S32" s="1570"/>
      <c r="T32" s="1569"/>
      <c r="U32" s="1570"/>
      <c r="V32" s="1569"/>
      <c r="W32" s="1570"/>
      <c r="X32" s="1571"/>
      <c r="Y32" s="3397"/>
      <c r="Z32" s="2601"/>
      <c r="AA32" s="1577">
        <v>1</v>
      </c>
      <c r="AB32" s="1577">
        <v>1</v>
      </c>
      <c r="AC32" s="1577">
        <v>1</v>
      </c>
    </row>
    <row r="33" spans="1:29" ht="20.25">
      <c r="A33" s="532"/>
      <c r="B33" s="566" t="s">
        <v>546</v>
      </c>
      <c r="C33" s="580" t="s">
        <v>3025</v>
      </c>
      <c r="D33" s="575">
        <v>100</v>
      </c>
      <c r="E33" s="583" t="s">
        <v>3025</v>
      </c>
      <c r="F33" s="540">
        <f>SUMIF(106:106,E33,107:107)-SUMIF(106:106,C33,107:107)+100</f>
        <v>100</v>
      </c>
      <c r="G33" s="580" t="s">
        <v>3025</v>
      </c>
      <c r="H33" s="540">
        <f>SUMIF(106:106,G33,107:107)-SUMIF(106:106,C33,107:107)+100</f>
        <v>100</v>
      </c>
      <c r="I33" s="580" t="s">
        <v>3025</v>
      </c>
      <c r="J33" s="540">
        <f>SUMIF(106:106,I33,107:107)-SUMIF(106:106,C33,107:107)+100</f>
        <v>100</v>
      </c>
      <c r="K33" s="535">
        <v>2</v>
      </c>
      <c r="L33" s="2144"/>
      <c r="M33" s="2134"/>
      <c r="N33" s="2134"/>
      <c r="O33" s="2143"/>
      <c r="P33" s="339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7"/>
      <c r="Z33" s="1576" t="str">
        <f t="shared" ref="Z33:Z47" si="13">Q33</f>
        <v>临街状况</v>
      </c>
      <c r="AA33" s="1577">
        <f t="shared" si="3"/>
        <v>1</v>
      </c>
      <c r="AB33" s="1577">
        <f t="shared" si="4"/>
        <v>1</v>
      </c>
      <c r="AC33" s="1577">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98</v>
      </c>
      <c r="K34" s="535">
        <v>2</v>
      </c>
      <c r="L34" s="2144"/>
      <c r="M34" s="2134"/>
      <c r="N34" s="2134"/>
      <c r="O34" s="2143"/>
      <c r="P34" s="3397"/>
      <c r="Q34" s="1573" t="str">
        <f t="shared" si="8"/>
        <v>毗邻道路的类型与等级</v>
      </c>
      <c r="R34" s="1574" t="s">
        <v>8</v>
      </c>
      <c r="S34" s="1575">
        <f t="shared" si="10"/>
        <v>100</v>
      </c>
      <c r="T34" s="1574" t="s">
        <v>8</v>
      </c>
      <c r="U34" s="1575">
        <f t="shared" si="11"/>
        <v>100</v>
      </c>
      <c r="V34" s="1574" t="s">
        <v>8</v>
      </c>
      <c r="W34" s="1575">
        <f t="shared" si="12"/>
        <v>98</v>
      </c>
      <c r="X34" s="1568"/>
      <c r="Y34" s="3397"/>
      <c r="Z34" s="1576" t="str">
        <f t="shared" si="13"/>
        <v>毗邻道路的类型与等级</v>
      </c>
      <c r="AA34" s="1577">
        <f t="shared" si="3"/>
        <v>1</v>
      </c>
      <c r="AB34" s="1577">
        <f t="shared" si="4"/>
        <v>1</v>
      </c>
      <c r="AC34" s="1577">
        <f t="shared" si="5"/>
        <v>1.0204081632653061</v>
      </c>
    </row>
    <row r="35" spans="1:29" ht="21" thickBot="1">
      <c r="A35" s="532"/>
      <c r="B35" s="566"/>
      <c r="C35" s="554" t="s">
        <v>3020</v>
      </c>
      <c r="D35" s="557"/>
      <c r="E35" s="576" t="s">
        <v>3020</v>
      </c>
      <c r="F35" s="555"/>
      <c r="G35" s="554" t="s">
        <v>3020</v>
      </c>
      <c r="H35" s="555"/>
      <c r="I35" s="576" t="s">
        <v>3022</v>
      </c>
      <c r="J35" s="555"/>
      <c r="K35" s="581"/>
      <c r="L35" s="2144"/>
      <c r="M35" s="2134"/>
      <c r="N35" s="2134"/>
      <c r="O35" s="2143"/>
      <c r="P35" s="3397"/>
      <c r="Q35" s="1573"/>
      <c r="R35" s="1574"/>
      <c r="S35" s="1575"/>
      <c r="T35" s="1574"/>
      <c r="U35" s="1575"/>
      <c r="V35" s="1574"/>
      <c r="W35" s="1575"/>
      <c r="X35" s="1568"/>
      <c r="Y35" s="3397"/>
      <c r="Z35" s="1576"/>
      <c r="AA35" s="1577">
        <v>1</v>
      </c>
      <c r="AB35" s="1577">
        <v>1</v>
      </c>
      <c r="AC35" s="1577">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97"/>
      <c r="Q36" s="1573" t="str">
        <f t="shared" si="8"/>
        <v>土地级别</v>
      </c>
      <c r="R36" s="1574" t="s">
        <v>8</v>
      </c>
      <c r="S36" s="1575">
        <f t="shared" si="10"/>
        <v>100</v>
      </c>
      <c r="T36" s="1574" t="s">
        <v>8</v>
      </c>
      <c r="U36" s="1575">
        <f t="shared" si="11"/>
        <v>100</v>
      </c>
      <c r="V36" s="1574" t="s">
        <v>8</v>
      </c>
      <c r="W36" s="1575">
        <f t="shared" si="12"/>
        <v>100</v>
      </c>
      <c r="X36" s="1568"/>
      <c r="Y36" s="3397"/>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97"/>
      <c r="Q37" s="1573">
        <f t="shared" si="8"/>
        <v>111</v>
      </c>
      <c r="R37" s="1574" t="s">
        <v>8</v>
      </c>
      <c r="S37" s="1575">
        <f t="shared" si="10"/>
        <v>100</v>
      </c>
      <c r="T37" s="1574" t="s">
        <v>8</v>
      </c>
      <c r="U37" s="1575">
        <f t="shared" si="11"/>
        <v>100</v>
      </c>
      <c r="V37" s="1574" t="s">
        <v>8</v>
      </c>
      <c r="W37" s="1575">
        <f t="shared" si="12"/>
        <v>100</v>
      </c>
      <c r="X37" s="1568"/>
      <c r="Y37" s="3397"/>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8" t="s">
        <v>549</v>
      </c>
      <c r="Q38" s="1573">
        <f t="shared" si="8"/>
        <v>111</v>
      </c>
      <c r="R38" s="1574" t="s">
        <v>8</v>
      </c>
      <c r="S38" s="1575">
        <f t="shared" si="10"/>
        <v>100</v>
      </c>
      <c r="T38" s="1574" t="s">
        <v>8</v>
      </c>
      <c r="U38" s="1575">
        <f t="shared" si="11"/>
        <v>100</v>
      </c>
      <c r="V38" s="1574" t="s">
        <v>8</v>
      </c>
      <c r="W38" s="1575">
        <f t="shared" si="12"/>
        <v>100</v>
      </c>
      <c r="X38" s="1568"/>
      <c r="Y38" s="3399" t="s">
        <v>549</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9"/>
      <c r="Q39" s="1573">
        <f t="shared" si="8"/>
        <v>111</v>
      </c>
      <c r="R39" s="1578" t="s">
        <v>8</v>
      </c>
      <c r="S39" s="1579">
        <f t="shared" si="10"/>
        <v>100</v>
      </c>
      <c r="T39" s="1578" t="s">
        <v>8</v>
      </c>
      <c r="U39" s="1579">
        <f t="shared" si="11"/>
        <v>100</v>
      </c>
      <c r="V39" s="1578" t="s">
        <v>8</v>
      </c>
      <c r="W39" s="1579">
        <f t="shared" si="12"/>
        <v>100</v>
      </c>
      <c r="X39" s="1580"/>
      <c r="Y39" s="3399"/>
      <c r="Z39" s="1581">
        <f t="shared" si="13"/>
        <v>111</v>
      </c>
      <c r="AA39" s="1577">
        <f t="shared" si="3"/>
        <v>1</v>
      </c>
      <c r="AB39" s="1577">
        <f t="shared" si="4"/>
        <v>1</v>
      </c>
      <c r="AC39" s="1577">
        <f t="shared" si="5"/>
        <v>1</v>
      </c>
    </row>
    <row r="40" spans="1:29" ht="20.25">
      <c r="A40" s="2933" t="s">
        <v>2758</v>
      </c>
      <c r="B40" s="595" t="s">
        <v>551</v>
      </c>
      <c r="C40" s="596">
        <f>'数据-基础表'!A3</f>
        <v>6666.4</v>
      </c>
      <c r="D40" s="597">
        <v>100</v>
      </c>
      <c r="E40" s="596">
        <v>10625.66</v>
      </c>
      <c r="F40" s="597">
        <f>LOOKUP(E40,119:119,120:120)-LOOKUP(C40,119:119,120:120)+100</f>
        <v>100</v>
      </c>
      <c r="G40" s="596">
        <v>80660.570000000007</v>
      </c>
      <c r="H40" s="597">
        <f>LOOKUP(G40,119:119,120:120)-LOOKUP(C40,119:119,120:120)+100</f>
        <v>104</v>
      </c>
      <c r="I40" s="598">
        <v>31255.09</v>
      </c>
      <c r="J40" s="597">
        <f>LOOKUP(I40,119:119,120:120)-LOOKUP(C40,119:119,120:120)+100</f>
        <v>101</v>
      </c>
      <c r="K40" s="581"/>
      <c r="L40" s="2144"/>
      <c r="M40" s="2134"/>
      <c r="N40" s="2134"/>
      <c r="O40" s="2143"/>
      <c r="P40" s="3399"/>
      <c r="Q40" s="1573" t="str">
        <f>B40</f>
        <v>宗地面积</v>
      </c>
      <c r="R40" s="1574" t="s">
        <v>8</v>
      </c>
      <c r="S40" s="1575">
        <f t="shared" si="10"/>
        <v>100</v>
      </c>
      <c r="T40" s="1574" t="s">
        <v>8</v>
      </c>
      <c r="U40" s="1575">
        <f t="shared" si="11"/>
        <v>104</v>
      </c>
      <c r="V40" s="1574" t="s">
        <v>8</v>
      </c>
      <c r="W40" s="1575">
        <f t="shared" si="12"/>
        <v>101</v>
      </c>
      <c r="X40" s="1568"/>
      <c r="Y40" s="3399"/>
      <c r="Z40" s="1576" t="str">
        <f t="shared" si="13"/>
        <v>宗地面积</v>
      </c>
      <c r="AA40" s="1577">
        <f t="shared" si="3"/>
        <v>1</v>
      </c>
      <c r="AB40" s="1577">
        <f t="shared" si="4"/>
        <v>0.96153846153846156</v>
      </c>
      <c r="AC40" s="1577">
        <f t="shared" si="5"/>
        <v>0.99009900990099009</v>
      </c>
    </row>
    <row r="41" spans="1:29" ht="20.25">
      <c r="A41" s="594"/>
      <c r="B41" s="527" t="s">
        <v>552</v>
      </c>
      <c r="C41" s="599" t="s">
        <v>3015</v>
      </c>
      <c r="D41" s="540">
        <v>100</v>
      </c>
      <c r="E41" s="599" t="s">
        <v>3015</v>
      </c>
      <c r="F41" s="540">
        <f>SUMIF(121:121,E41,122:122)-SUMIF(121:121,C41,122:122)+100</f>
        <v>100</v>
      </c>
      <c r="G41" s="599" t="s">
        <v>3015</v>
      </c>
      <c r="H41" s="540">
        <f>SUMIF(121:121,G41,122:122)-SUMIF(121:121,C41,122:122)+100</f>
        <v>100</v>
      </c>
      <c r="I41" s="599" t="s">
        <v>3015</v>
      </c>
      <c r="J41" s="540">
        <f>SUMIF(121:121,I41,122:122)-SUMIF(121:121,C41,122:122)+100</f>
        <v>100</v>
      </c>
      <c r="K41" s="584"/>
      <c r="L41" s="2144"/>
      <c r="M41" s="2134"/>
      <c r="N41" s="2134"/>
      <c r="O41" s="2143"/>
      <c r="P41" s="3399"/>
      <c r="Q41" s="1573" t="str">
        <f t="shared" ref="Q41:Q47" si="14">B41</f>
        <v>宗地形状</v>
      </c>
      <c r="R41" s="1574" t="s">
        <v>8</v>
      </c>
      <c r="S41" s="1575">
        <f t="shared" si="10"/>
        <v>100</v>
      </c>
      <c r="T41" s="1574" t="s">
        <v>8</v>
      </c>
      <c r="U41" s="1575">
        <f t="shared" si="11"/>
        <v>100</v>
      </c>
      <c r="V41" s="1574" t="s">
        <v>8</v>
      </c>
      <c r="W41" s="1575">
        <f t="shared" si="12"/>
        <v>100</v>
      </c>
      <c r="X41" s="1568"/>
      <c r="Y41" s="3399"/>
      <c r="Z41" s="1576" t="str">
        <f t="shared" si="13"/>
        <v>宗地形状</v>
      </c>
      <c r="AA41" s="1577">
        <f t="shared" si="3"/>
        <v>1</v>
      </c>
      <c r="AB41" s="1577">
        <f t="shared" si="4"/>
        <v>1</v>
      </c>
      <c r="AC41" s="1577">
        <f t="shared" si="5"/>
        <v>1</v>
      </c>
    </row>
    <row r="42" spans="1:29" ht="20.25">
      <c r="A42" s="594"/>
      <c r="B42" s="527" t="s">
        <v>553</v>
      </c>
      <c r="C42" s="599" t="s">
        <v>3016</v>
      </c>
      <c r="D42" s="540">
        <v>100</v>
      </c>
      <c r="E42" s="599" t="s">
        <v>3016</v>
      </c>
      <c r="F42" s="540">
        <f>SUMIF(123:123,E42,124:124)-SUMIF(123:123,C42,124:124)+100</f>
        <v>100</v>
      </c>
      <c r="G42" s="599" t="s">
        <v>3016</v>
      </c>
      <c r="H42" s="540">
        <f>SUMIF(123:123,G42,124:124)-SUMIF(123:123,C42,124:124)+100</f>
        <v>100</v>
      </c>
      <c r="I42" s="599" t="s">
        <v>3016</v>
      </c>
      <c r="J42" s="540">
        <f>SUMIF(123:123,I42,124:124)-SUMIF(123:123,C42,124:124)+100</f>
        <v>100</v>
      </c>
      <c r="K42" s="584"/>
      <c r="L42" s="2144"/>
      <c r="M42" s="2134"/>
      <c r="N42" s="2134"/>
      <c r="O42" s="2143"/>
      <c r="P42" s="3399"/>
      <c r="Q42" s="1573" t="str">
        <f t="shared" si="14"/>
        <v>临街宽度及深度</v>
      </c>
      <c r="R42" s="1574" t="s">
        <v>8</v>
      </c>
      <c r="S42" s="1575">
        <f t="shared" si="10"/>
        <v>100</v>
      </c>
      <c r="T42" s="1574" t="s">
        <v>8</v>
      </c>
      <c r="U42" s="1575">
        <f t="shared" si="11"/>
        <v>100</v>
      </c>
      <c r="V42" s="1574" t="s">
        <v>8</v>
      </c>
      <c r="W42" s="1575">
        <f t="shared" si="12"/>
        <v>100</v>
      </c>
      <c r="X42" s="1568"/>
      <c r="Y42" s="3399"/>
      <c r="Z42" s="1576" t="str">
        <f t="shared" si="13"/>
        <v>临街宽度及深度</v>
      </c>
      <c r="AA42" s="1577">
        <f t="shared" si="3"/>
        <v>1</v>
      </c>
      <c r="AB42" s="1577">
        <f t="shared" si="4"/>
        <v>1</v>
      </c>
      <c r="AC42" s="1577">
        <f t="shared" si="5"/>
        <v>1</v>
      </c>
    </row>
    <row r="43" spans="1:29" s="1220" customFormat="1" ht="20.25">
      <c r="A43" s="600"/>
      <c r="B43" s="1897" t="s">
        <v>2427</v>
      </c>
      <c r="C43" s="601" t="s">
        <v>3017</v>
      </c>
      <c r="D43" s="255">
        <v>100</v>
      </c>
      <c r="E43" s="601" t="s">
        <v>3017</v>
      </c>
      <c r="F43" s="540">
        <f>SUMIF(125:125,E43,126:126)-SUMIF(125:125,C43,126:126)+100</f>
        <v>100</v>
      </c>
      <c r="G43" s="601" t="s">
        <v>3017</v>
      </c>
      <c r="H43" s="540">
        <f>SUMIF(125:125,G43,126:126)-SUMIF(125:125,C43,126:126)+100</f>
        <v>100</v>
      </c>
      <c r="I43" s="601" t="s">
        <v>3017</v>
      </c>
      <c r="J43" s="540">
        <f>SUMIF(125:125,I43,126:126)-SUMIF(125:125,C43,126:126)+100</f>
        <v>100</v>
      </c>
      <c r="K43" s="584"/>
      <c r="L43" s="2137"/>
      <c r="M43" s="2134"/>
      <c r="N43" s="2134"/>
      <c r="O43" s="2139"/>
      <c r="P43" s="3399"/>
      <c r="Q43" s="1573" t="str">
        <f t="shared" si="14"/>
        <v>宗地开发程度</v>
      </c>
      <c r="R43" s="1569" t="s">
        <v>8</v>
      </c>
      <c r="S43" s="1570">
        <f t="shared" si="10"/>
        <v>100</v>
      </c>
      <c r="T43" s="1569" t="s">
        <v>8</v>
      </c>
      <c r="U43" s="1570">
        <f t="shared" si="11"/>
        <v>100</v>
      </c>
      <c r="V43" s="1569" t="s">
        <v>8</v>
      </c>
      <c r="W43" s="1570">
        <f t="shared" si="12"/>
        <v>100</v>
      </c>
      <c r="X43" s="1571"/>
      <c r="Y43" s="3399"/>
      <c r="Z43" s="1150" t="str">
        <f t="shared" si="13"/>
        <v>宗地开发程度</v>
      </c>
      <c r="AA43" s="1572">
        <f t="shared" si="3"/>
        <v>1</v>
      </c>
      <c r="AB43" s="1572">
        <f t="shared" si="4"/>
        <v>1</v>
      </c>
      <c r="AC43" s="1572">
        <f t="shared" si="5"/>
        <v>1</v>
      </c>
    </row>
    <row r="44" spans="1:29" ht="21" thickBot="1">
      <c r="A44" s="594"/>
      <c r="B44" s="527" t="s">
        <v>554</v>
      </c>
      <c r="C44" s="599" t="s">
        <v>3018</v>
      </c>
      <c r="D44" s="540">
        <v>100</v>
      </c>
      <c r="E44" s="599" t="s">
        <v>3018</v>
      </c>
      <c r="F44" s="540">
        <f>SUMIF(127:127,E44,128:128)-SUMIF(127:127,C44,128:128)+100</f>
        <v>100</v>
      </c>
      <c r="G44" s="599" t="s">
        <v>3018</v>
      </c>
      <c r="H44" s="540">
        <f>SUMIF(127:127,G44,128:128)-SUMIF(127:127,C44,128:128)+100</f>
        <v>100</v>
      </c>
      <c r="I44" s="599" t="s">
        <v>3018</v>
      </c>
      <c r="J44" s="540">
        <f>SUMIF(127:127,I44,128:128)-SUMIF(127:127,C44,128:128)+100</f>
        <v>100</v>
      </c>
      <c r="K44" s="584"/>
      <c r="L44" s="2144"/>
      <c r="M44" s="2134"/>
      <c r="N44" s="2134"/>
      <c r="O44" s="2143"/>
      <c r="P44" s="3399" t="s">
        <v>549</v>
      </c>
      <c r="Q44" s="1573" t="str">
        <f t="shared" si="14"/>
        <v>工程地质条件</v>
      </c>
      <c r="R44" s="1574" t="s">
        <v>8</v>
      </c>
      <c r="S44" s="1575">
        <f t="shared" si="10"/>
        <v>100</v>
      </c>
      <c r="T44" s="1574" t="s">
        <v>8</v>
      </c>
      <c r="U44" s="1575">
        <f t="shared" si="11"/>
        <v>100</v>
      </c>
      <c r="V44" s="1574" t="s">
        <v>8</v>
      </c>
      <c r="W44" s="1575">
        <f t="shared" si="12"/>
        <v>100</v>
      </c>
      <c r="X44" s="1568"/>
      <c r="Y44" s="3399" t="s">
        <v>549</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99"/>
      <c r="Q45" s="1573">
        <f t="shared" si="14"/>
        <v>111</v>
      </c>
      <c r="R45" s="1574" t="s">
        <v>8</v>
      </c>
      <c r="S45" s="1575">
        <f t="shared" si="10"/>
        <v>100</v>
      </c>
      <c r="T45" s="1574" t="s">
        <v>8</v>
      </c>
      <c r="U45" s="1575">
        <f t="shared" si="11"/>
        <v>100</v>
      </c>
      <c r="V45" s="1574" t="s">
        <v>8</v>
      </c>
      <c r="W45" s="1575">
        <f t="shared" si="12"/>
        <v>100</v>
      </c>
      <c r="X45" s="1568"/>
      <c r="Y45" s="3399"/>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9"/>
      <c r="Q46" s="1573">
        <f t="shared" si="14"/>
        <v>111</v>
      </c>
      <c r="R46" s="1574" t="s">
        <v>8</v>
      </c>
      <c r="S46" s="1575">
        <f t="shared" si="10"/>
        <v>100</v>
      </c>
      <c r="T46" s="1574" t="s">
        <v>8</v>
      </c>
      <c r="U46" s="1575">
        <f t="shared" si="11"/>
        <v>100</v>
      </c>
      <c r="V46" s="1574" t="s">
        <v>8</v>
      </c>
      <c r="W46" s="1575">
        <f t="shared" si="12"/>
        <v>100</v>
      </c>
      <c r="X46" s="1568"/>
      <c r="Y46" s="3399"/>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9"/>
      <c r="Q47" s="1573">
        <f t="shared" si="14"/>
        <v>111</v>
      </c>
      <c r="R47" s="1578" t="s">
        <v>8</v>
      </c>
      <c r="S47" s="1579">
        <f t="shared" si="10"/>
        <v>100</v>
      </c>
      <c r="T47" s="1578" t="s">
        <v>8</v>
      </c>
      <c r="U47" s="1579">
        <f t="shared" si="11"/>
        <v>100</v>
      </c>
      <c r="V47" s="1578" t="s">
        <v>8</v>
      </c>
      <c r="W47" s="1579">
        <f t="shared" si="12"/>
        <v>100</v>
      </c>
      <c r="X47" s="1580"/>
      <c r="Y47" s="3399"/>
      <c r="Z47" s="1581">
        <f t="shared" si="13"/>
        <v>111</v>
      </c>
      <c r="AA47" s="1577">
        <f t="shared" si="3"/>
        <v>1</v>
      </c>
      <c r="AB47" s="1577">
        <f t="shared" si="4"/>
        <v>1</v>
      </c>
      <c r="AC47" s="1577">
        <f t="shared" si="5"/>
        <v>1</v>
      </c>
    </row>
    <row r="48" spans="1:29" ht="20.25">
      <c r="A48" s="607" t="s">
        <v>555</v>
      </c>
      <c r="B48" s="608" t="s">
        <v>3027</v>
      </c>
      <c r="C48" s="609" t="s">
        <v>1</v>
      </c>
      <c r="D48" s="610"/>
      <c r="E48" s="611">
        <v>1241.78</v>
      </c>
      <c r="F48" s="612"/>
      <c r="G48" s="613">
        <v>1199.99</v>
      </c>
      <c r="H48" s="614"/>
      <c r="I48" s="611">
        <v>1115.94</v>
      </c>
      <c r="J48" s="614"/>
      <c r="K48" s="1340"/>
      <c r="L48" s="2146"/>
      <c r="M48" s="2134"/>
      <c r="N48" s="2134"/>
      <c r="O48" s="2147"/>
      <c r="P48" s="3360" t="str">
        <f>A48</f>
        <v>成交单价</v>
      </c>
      <c r="Q48" s="3360"/>
      <c r="R48" s="3361">
        <f>E48</f>
        <v>1241.78</v>
      </c>
      <c r="S48" s="3361"/>
      <c r="T48" s="3361">
        <f>G48</f>
        <v>1199.99</v>
      </c>
      <c r="U48" s="3361"/>
      <c r="V48" s="3361">
        <f>I48</f>
        <v>1115.94</v>
      </c>
      <c r="W48" s="3361"/>
      <c r="X48" s="1560"/>
      <c r="Y48" s="1582"/>
      <c r="Z48" s="1560"/>
      <c r="AA48" s="1560"/>
      <c r="AB48" s="1560"/>
      <c r="AC48" s="1560"/>
    </row>
    <row r="49" spans="1:29" ht="21" thickBot="1">
      <c r="A49" s="615" t="s">
        <v>2696</v>
      </c>
      <c r="B49" s="616"/>
      <c r="C49" s="617">
        <f>R50</f>
        <v>1149</v>
      </c>
      <c r="D49" s="618"/>
      <c r="E49" s="617">
        <f>R49</f>
        <v>1156</v>
      </c>
      <c r="F49" s="619"/>
      <c r="G49" s="620">
        <f>T49</f>
        <v>1159</v>
      </c>
      <c r="H49" s="618"/>
      <c r="I49" s="617">
        <f>V49</f>
        <v>1132</v>
      </c>
      <c r="J49" s="618"/>
      <c r="K49" s="1341"/>
      <c r="L49" s="2146"/>
      <c r="M49" s="2134"/>
      <c r="N49" s="2134"/>
      <c r="O49" s="2147"/>
      <c r="P49" s="3360" t="str">
        <f>A49</f>
        <v>比较价格（元/平方米）</v>
      </c>
      <c r="Q49" s="3360"/>
      <c r="R49" s="3362">
        <f>ROUND(PRODUCT(R48,AA9:AA47),0)</f>
        <v>1156</v>
      </c>
      <c r="S49" s="3362"/>
      <c r="T49" s="3362">
        <f>ROUND(PRODUCT(T48,AB9:AB47),0)</f>
        <v>1159</v>
      </c>
      <c r="U49" s="3362"/>
      <c r="V49" s="3362">
        <f>ROUND(PRODUCT(V48,AC9:AC47),0)</f>
        <v>1132</v>
      </c>
      <c r="W49" s="3362"/>
      <c r="X49" s="1560"/>
      <c r="Y49" s="1560"/>
      <c r="Z49" s="1560"/>
      <c r="AA49" s="1560"/>
      <c r="AB49" s="1560"/>
      <c r="AC49" s="1560"/>
    </row>
    <row r="50" spans="1:29" ht="21" thickBot="1">
      <c r="A50" s="621" t="s">
        <v>2939</v>
      </c>
      <c r="B50" s="622"/>
      <c r="C50" s="623">
        <f>R50</f>
        <v>1149</v>
      </c>
      <c r="D50" s="623"/>
      <c r="E50" s="623"/>
      <c r="F50" s="623"/>
      <c r="G50" s="623"/>
      <c r="H50" s="623"/>
      <c r="I50" s="623"/>
      <c r="J50" s="623"/>
      <c r="K50" s="1342"/>
      <c r="L50" s="2146"/>
      <c r="M50" s="2134"/>
      <c r="N50" s="2134"/>
      <c r="O50" s="2147"/>
      <c r="P50" s="3357" t="str">
        <f>A50</f>
        <v>估价对象XX用房的比较价格（楼面单价，元/平方米）</v>
      </c>
      <c r="Q50" s="3358"/>
      <c r="R50" s="3359">
        <f>ROUND(AVERAGE(R49:V49),0)</f>
        <v>1149</v>
      </c>
      <c r="S50" s="3359"/>
      <c r="T50" s="3359"/>
      <c r="U50" s="3359"/>
      <c r="V50" s="3359"/>
      <c r="W50" s="3359"/>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7.4204152249135014E-2</v>
      </c>
      <c r="F53" s="627" t="str">
        <f>IF(OR(E53&gt;=0.3,E53&lt;=-0.3),"超过30%","")</f>
        <v/>
      </c>
      <c r="G53" s="626">
        <f>IF(G48&lt;G49,G49/G48-1,G48/G49-1)</f>
        <v>3.5366695427092365E-2</v>
      </c>
      <c r="H53" s="627" t="str">
        <f>IF(OR(G53&gt;=0.3,G53&lt;=-0.3),"超过30%","")</f>
        <v/>
      </c>
      <c r="I53" s="626">
        <f>IF(I48&lt;I49,I49/I48-1,I48/I49-1)</f>
        <v>1.4391454737709752E-2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2.5951557093426558E-3</v>
      </c>
      <c r="F54" s="627" t="str">
        <f>IF(OR(E54&gt;=0.2,E54&lt;=-0.2),"超过20%","")</f>
        <v/>
      </c>
      <c r="G54" s="626">
        <f>IF(G49&lt;I49,I49/G49-1,G49/I49-1)</f>
        <v>2.3851590106007015E-2</v>
      </c>
      <c r="H54" s="627" t="str">
        <f>IF(OR(G54&gt;=0.2,G54&lt;=-0.2),"超过20%","")</f>
        <v/>
      </c>
      <c r="I54" s="626">
        <f>IF(I49&lt;E49,E49/I49-1,I49/E49-1)</f>
        <v>2.1201413427561766E-2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3.4825290210751758E-2</v>
      </c>
      <c r="F55" s="627" t="str">
        <f>IF(OR(E55&gt;=0.3,E55&lt;=-0.3),"超过30%","")</f>
        <v/>
      </c>
      <c r="G55" s="626">
        <f>IF(G48&lt;I48,I48/G48-1,G48/I48-1)</f>
        <v>7.5317669408749621E-2</v>
      </c>
      <c r="H55" s="627" t="str">
        <f>IF(OR(G55&gt;=0.3,G55&lt;=-0.3),"超过30%","")</f>
        <v/>
      </c>
      <c r="I55" s="626">
        <f>IF(I48&lt;E48,E48/I48-1,I48/E48-1)</f>
        <v>0.1127659193146584</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1724</v>
      </c>
      <c r="D57" s="2229" t="s">
        <v>2295</v>
      </c>
      <c r="E57" s="631" t="s">
        <v>561</v>
      </c>
      <c r="F57" s="632" t="s">
        <v>562</v>
      </c>
      <c r="G57" s="3388" t="s">
        <v>2283</v>
      </c>
      <c r="H57" s="3389"/>
      <c r="I57" s="1556" t="s">
        <v>1722</v>
      </c>
      <c r="J57" s="1556" t="str">
        <f>项目基本情况!F41</f>
        <v>河北省</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1149</v>
      </c>
      <c r="C58" s="635">
        <v>1</v>
      </c>
      <c r="D58" s="2230">
        <v>1</v>
      </c>
      <c r="E58" s="635">
        <f>'数据-汇总表'!E8+'数据-汇总表'!E9</f>
        <v>26666</v>
      </c>
      <c r="F58" s="636">
        <f t="shared" ref="F58:F67" si="15">ROUND(B58*E58/10000,0)</f>
        <v>3064</v>
      </c>
      <c r="G58" s="3390"/>
      <c r="H58" s="3391"/>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392"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392"/>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392"/>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392"/>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2296</v>
      </c>
      <c r="E68" s="643">
        <f>IF(B48="楼面地价",SUM(E58:E67),'数据-汇总表'!D3)</f>
        <v>26666</v>
      </c>
      <c r="F68" s="644">
        <f>IF(B48="楼面地价",SUM(F58:F67),ROUND(C50*E68/10000,0))</f>
        <v>3064</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2018-4-1</v>
      </c>
      <c r="D70" s="2825">
        <f>EDATE(C70,-3)</f>
        <v>43101</v>
      </c>
      <c r="E70" s="2825">
        <f t="shared" ref="E70:N70" si="18">EDATE(D70,-3)</f>
        <v>43009</v>
      </c>
      <c r="F70" s="2825">
        <f t="shared" si="18"/>
        <v>42917</v>
      </c>
      <c r="G70" s="2825">
        <f t="shared" si="18"/>
        <v>42826</v>
      </c>
      <c r="H70" s="2825">
        <f t="shared" si="18"/>
        <v>42736</v>
      </c>
      <c r="I70" s="2825">
        <f t="shared" si="18"/>
        <v>42644</v>
      </c>
      <c r="J70" s="2825">
        <f t="shared" si="18"/>
        <v>42552</v>
      </c>
      <c r="K70" s="2825">
        <f t="shared" si="18"/>
        <v>42461</v>
      </c>
      <c r="L70" s="2825">
        <f t="shared" si="18"/>
        <v>42370</v>
      </c>
      <c r="M70" s="2825">
        <f t="shared" si="18"/>
        <v>42278</v>
      </c>
      <c r="N70" s="2825">
        <f t="shared" si="18"/>
        <v>42186</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2535</v>
      </c>
      <c r="B72" s="2595"/>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2650</v>
      </c>
      <c r="B73" s="479" t="str">
        <f>"北京市平均增长率"&amp;TEXT(SUMIF(基准地价!N21:N25,A73,基准地价!P21:P25),"0.00%")</f>
        <v>北京市平均增长率2.27%</v>
      </c>
      <c r="C73" s="894">
        <v>100</v>
      </c>
      <c r="D73" s="730">
        <v>99.5</v>
      </c>
      <c r="E73" s="730">
        <v>99</v>
      </c>
      <c r="F73" s="730">
        <v>98.5</v>
      </c>
      <c r="G73" s="730">
        <v>98</v>
      </c>
      <c r="H73" s="730">
        <v>97.5</v>
      </c>
      <c r="I73" s="730">
        <v>97</v>
      </c>
      <c r="J73" s="730">
        <v>96.5</v>
      </c>
      <c r="K73" s="730">
        <v>96</v>
      </c>
      <c r="L73" s="730">
        <v>95.5</v>
      </c>
      <c r="M73" s="730">
        <v>95</v>
      </c>
      <c r="N73" s="730">
        <v>94.5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2649</v>
      </c>
      <c r="B74" s="2831"/>
      <c r="C74" s="2816"/>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576</v>
      </c>
      <c r="B77" s="665" t="s">
        <v>534</v>
      </c>
      <c r="C77" s="3183" t="s">
        <v>3006</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1（含）-2</v>
      </c>
      <c r="D81" s="682" t="str">
        <f t="shared" ref="D81:L81" si="20">D82&amp;"（含）"&amp;"-"&amp;E82</f>
        <v>2（含）-3</v>
      </c>
      <c r="E81" s="682" t="str">
        <f t="shared" si="20"/>
        <v>3（含）-4</v>
      </c>
      <c r="F81" s="682" t="str">
        <f t="shared" si="20"/>
        <v>4（含）-5</v>
      </c>
      <c r="G81" s="682" t="str">
        <f t="shared" si="20"/>
        <v>5（含）-6</v>
      </c>
      <c r="H81" s="682" t="str">
        <f t="shared" si="20"/>
        <v>6（含）-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2</v>
      </c>
      <c r="E82" s="541">
        <v>3</v>
      </c>
      <c r="F82" s="541">
        <v>4</v>
      </c>
      <c r="G82" s="541">
        <v>5</v>
      </c>
      <c r="H82" s="541">
        <v>6</v>
      </c>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95</v>
      </c>
      <c r="E93" s="679">
        <f>D93-$K19</f>
        <v>90</v>
      </c>
      <c r="F93" s="679">
        <f>E93-$K19</f>
        <v>85</v>
      </c>
      <c r="G93" s="679">
        <f>F93-$K19</f>
        <v>80</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2551</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2553</v>
      </c>
      <c r="C104" s="2624" t="s">
        <v>2554</v>
      </c>
      <c r="D104" s="2624" t="s">
        <v>2555</v>
      </c>
      <c r="E104" s="2624" t="s">
        <v>2556</v>
      </c>
      <c r="F104" s="2624" t="s">
        <v>2557</v>
      </c>
      <c r="G104" s="2624" t="s">
        <v>2558</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185" t="s">
        <v>3019</v>
      </c>
      <c r="D108" s="3185" t="s">
        <v>3021</v>
      </c>
      <c r="E108" s="3185" t="s">
        <v>3023</v>
      </c>
      <c r="F108" s="3185" t="s">
        <v>3024</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1(含)-20000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v>
      </c>
      <c r="J118" s="3119" t="str">
        <f t="shared" si="25"/>
        <v>(含)-</v>
      </c>
      <c r="K118" s="3119" t="str">
        <f t="shared" si="25"/>
        <v>(含)-</v>
      </c>
      <c r="L118" s="3120" t="str">
        <f t="shared" si="25"/>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1</v>
      </c>
      <c r="D119" s="730">
        <v>20000</v>
      </c>
      <c r="E119" s="730">
        <v>40000</v>
      </c>
      <c r="F119" s="730">
        <v>60000</v>
      </c>
      <c r="G119" s="730">
        <v>80000</v>
      </c>
      <c r="H119" s="730">
        <v>100000</v>
      </c>
      <c r="I119" s="730">
        <v>120000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00">
        <v>103</v>
      </c>
      <c r="G120" s="726">
        <v>104</v>
      </c>
      <c r="H120" s="726">
        <v>105</v>
      </c>
      <c r="I120" s="700">
        <v>106</v>
      </c>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3184" t="s">
        <v>3011</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3185" t="s">
        <v>3012</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2428</v>
      </c>
      <c r="C125" s="1376" t="s">
        <v>3013</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3185" t="s">
        <v>3014</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7</v>
      </c>
    </row>
    <row r="2" spans="1:31" s="2043" customFormat="1" ht="18" customHeight="1">
      <c r="A2" s="2103" t="s">
        <v>467</v>
      </c>
      <c r="B2" s="2107">
        <f ca="1">C36</f>
        <v>3103</v>
      </c>
      <c r="C2" s="2106"/>
      <c r="D2" s="2106"/>
      <c r="E2" s="2106"/>
      <c r="F2" s="2106"/>
      <c r="G2" s="2106"/>
      <c r="H2" s="2106"/>
      <c r="I2" s="2106"/>
      <c r="J2" s="2106"/>
      <c r="K2" s="2106"/>
    </row>
    <row r="3" spans="1:31" s="2043" customFormat="1" ht="18" customHeight="1">
      <c r="A3" s="2108" t="s">
        <v>1684</v>
      </c>
      <c r="B3" s="2109">
        <f ca="1">ROUND(B2*10000/IF(B1="",'数据-汇总表'!E3,INDIRECT("'数据-取费表'!K"&amp;$K$1)),0)</f>
        <v>1164</v>
      </c>
      <c r="C3" s="2106"/>
      <c r="D3" s="2106"/>
      <c r="E3" s="2106"/>
      <c r="F3" s="2106"/>
      <c r="G3" s="2106"/>
      <c r="H3" s="2106"/>
      <c r="I3" s="2106"/>
      <c r="J3" s="2106"/>
      <c r="K3" s="2106"/>
    </row>
    <row r="4" spans="1:31" s="2043" customFormat="1" ht="18" customHeight="1">
      <c r="A4" s="426" t="s">
        <v>468</v>
      </c>
      <c r="B4" s="427">
        <f ca="1">ROUND(B2*10000/IF(B1="",'数据-汇总表'!D3,INDIRECT("'数据-取费表'!R"&amp;$K$1)),0)</f>
        <v>4655</v>
      </c>
      <c r="C4" s="428"/>
      <c r="D4" s="422"/>
      <c r="E4" s="422"/>
      <c r="F4" s="422"/>
      <c r="G4" s="422"/>
      <c r="H4" s="422"/>
      <c r="I4" s="422"/>
      <c r="J4" s="422"/>
      <c r="K4" s="422"/>
    </row>
    <row r="5" spans="1:31" s="2043" customFormat="1" ht="18" customHeight="1" thickBot="1">
      <c r="A5" s="429"/>
      <c r="B5" s="430">
        <f ca="1">ROUND(B2/(IF(B1="",'数据-汇总表'!D3,INDIRECT("'数据-取费表'!R"&amp;$K$1))/666.67),0)</f>
        <v>310</v>
      </c>
      <c r="C5" s="431" t="s">
        <v>469</v>
      </c>
      <c r="D5" s="422"/>
      <c r="E5" s="422"/>
      <c r="F5" s="422"/>
      <c r="G5" s="422"/>
      <c r="H5" s="422"/>
      <c r="I5" s="422"/>
      <c r="J5" s="422"/>
      <c r="K5" s="422"/>
    </row>
    <row r="6" spans="1:31" s="2113" customFormat="1" ht="16.5" customHeight="1">
      <c r="A6" s="2854" t="s">
        <v>1842</v>
      </c>
      <c r="B6" s="2855"/>
      <c r="C6" s="2856">
        <f ca="1">SUM(C10:K10)</f>
        <v>18016</v>
      </c>
      <c r="D6" s="2855"/>
      <c r="E6" s="2855"/>
      <c r="F6" s="2855"/>
      <c r="G6" s="2855"/>
      <c r="H6" s="2855"/>
      <c r="I6" s="2855"/>
      <c r="J6" s="2855"/>
      <c r="K6" s="2857"/>
    </row>
    <row r="7" spans="1:31" s="2115" customFormat="1" ht="15">
      <c r="A7" s="2858" t="s">
        <v>470</v>
      </c>
      <c r="B7" s="2859" t="s">
        <v>471</v>
      </c>
      <c r="C7" s="436" t="s">
        <v>3031</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472</v>
      </c>
      <c r="C8" s="2860">
        <f ca="1">不动产收益法!B3</f>
        <v>6756</v>
      </c>
      <c r="D8" s="2860"/>
      <c r="E8" s="2860"/>
      <c r="F8" s="2860"/>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473</v>
      </c>
      <c r="C9" s="441">
        <f>SUMIF('数据-汇总表'!$C19:$C33,'剩余法-待开发'!C7,'数据-汇总表'!$E19:$E33)</f>
        <v>26666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1847</v>
      </c>
      <c r="B10" s="2848" t="s">
        <v>474</v>
      </c>
      <c r="C10" s="3055">
        <f ca="1">不动产收益法!C40</f>
        <v>18016</v>
      </c>
      <c r="D10" s="3055"/>
      <c r="E10" s="3055"/>
      <c r="F10" s="2863"/>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1843</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1848</v>
      </c>
      <c r="B13" s="2869" t="s">
        <v>479</v>
      </c>
      <c r="C13" s="450">
        <f ca="1">IF(B1="",'数据-取费表'!P16,INDIRECT("'数据-取费表'!p"&amp;$K$1)+INDIRECT("'数据-取费表'!t"&amp;$K$1))</f>
        <v>10666</v>
      </c>
      <c r="D13" s="2870"/>
      <c r="E13" s="2871"/>
      <c r="F13" s="2872"/>
      <c r="G13" s="2838"/>
      <c r="H13" s="2839"/>
      <c r="I13" s="2839"/>
      <c r="J13" s="2839"/>
      <c r="K13" s="2840"/>
    </row>
    <row r="14" spans="1:31" s="2118" customFormat="1" ht="13.5" customHeight="1">
      <c r="A14" s="2868" t="s">
        <v>1849</v>
      </c>
      <c r="B14" s="2869" t="s">
        <v>480</v>
      </c>
      <c r="C14" s="53">
        <f ca="1">ROUND(C13*F14,0)</f>
        <v>320</v>
      </c>
      <c r="D14" s="2870"/>
      <c r="E14" s="2871"/>
      <c r="F14" s="2873">
        <f>'数据-取费表'!B33</f>
        <v>0.03</v>
      </c>
      <c r="G14" s="2838" t="s">
        <v>481</v>
      </c>
      <c r="H14" s="2839"/>
      <c r="I14" s="2839"/>
      <c r="J14" s="2839"/>
      <c r="K14" s="2840"/>
    </row>
    <row r="15" spans="1:31" s="2118" customFormat="1" ht="13.5" customHeight="1">
      <c r="A15" s="2868" t="s">
        <v>1850</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9" customFormat="1" ht="13.5" customHeight="1">
      <c r="A16" s="2868" t="s">
        <v>1851</v>
      </c>
      <c r="B16" s="2869" t="s">
        <v>484</v>
      </c>
      <c r="C16" s="53">
        <f ca="1">ROUND(D16*E16/10000,0)</f>
        <v>533</v>
      </c>
      <c r="D16" s="2870">
        <f ca="1">IF(B1="",'数据-汇总表'!E3,INDIRECT("'数据-取费表'!K"&amp;$K$1)+INDIRECT("'数据-取费表'!S"&amp;$K$1))</f>
        <v>26666</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1852</v>
      </c>
      <c r="B17" s="2869" t="s">
        <v>485</v>
      </c>
      <c r="C17" s="2874">
        <f ca="1">ROUND(C13*F17,0)</f>
        <v>160</v>
      </c>
      <c r="D17" s="475"/>
      <c r="E17" s="2874"/>
      <c r="F17" s="2875">
        <f>'数据-取费表'!B36</f>
        <v>1.4999999999999999E-2</v>
      </c>
      <c r="G17" s="261" t="s">
        <v>486</v>
      </c>
      <c r="H17" s="2841"/>
      <c r="I17" s="2841"/>
      <c r="J17" s="2841"/>
      <c r="K17" s="279"/>
    </row>
    <row r="18" spans="1:14" s="2118" customFormat="1" ht="13.5" customHeight="1">
      <c r="A18" s="2876" t="s">
        <v>1853</v>
      </c>
      <c r="B18" s="2877" t="s">
        <v>487</v>
      </c>
      <c r="C18" s="2878">
        <f ca="1">SUM(C13:C17)</f>
        <v>11679</v>
      </c>
      <c r="D18" s="2879"/>
      <c r="E18" s="468"/>
      <c r="F18" s="468"/>
      <c r="G18" s="2842" t="s">
        <v>2433</v>
      </c>
      <c r="H18" s="2843"/>
      <c r="I18" s="2843"/>
      <c r="J18" s="2843"/>
      <c r="K18" s="2844"/>
    </row>
    <row r="19" spans="1:14" s="2118" customFormat="1" ht="13.5" customHeight="1">
      <c r="A19" s="2876" t="s">
        <v>1854</v>
      </c>
      <c r="B19" s="2877" t="s">
        <v>488</v>
      </c>
      <c r="C19" s="2834">
        <f ca="1">ROUND(D19*E19/10000,0)</f>
        <v>0</v>
      </c>
      <c r="D19" s="2880">
        <f ca="1">D16</f>
        <v>26666</v>
      </c>
      <c r="E19" s="2834">
        <f>'数据-取费表'!B32</f>
        <v>0</v>
      </c>
      <c r="F19" s="468"/>
      <c r="G19" s="2838" t="s">
        <v>489</v>
      </c>
      <c r="H19" s="2839"/>
      <c r="I19" s="2843"/>
      <c r="J19" s="2843"/>
      <c r="K19" s="2844"/>
    </row>
    <row r="20" spans="1:14" s="2118" customFormat="1" ht="13.5" customHeight="1">
      <c r="A20" s="2876" t="s">
        <v>1855</v>
      </c>
      <c r="B20" s="2877" t="s">
        <v>490</v>
      </c>
      <c r="C20" s="2834">
        <f ca="1">C21+C22-IF(B1="",'数据-取费表'!B29,IF(G20="已全部缴纳",C21+C22,H20))</f>
        <v>106</v>
      </c>
      <c r="D20" s="2880"/>
      <c r="E20" s="2834"/>
      <c r="F20" s="2881"/>
      <c r="G20" s="3115"/>
      <c r="H20" s="2836"/>
      <c r="I20" s="2837" t="s">
        <v>2654</v>
      </c>
      <c r="J20" s="2843"/>
      <c r="K20" s="2844"/>
    </row>
    <row r="21" spans="1:14" s="2118" customFormat="1" ht="13.5" customHeight="1">
      <c r="A21" s="2868" t="s">
        <v>1856</v>
      </c>
      <c r="B21" s="2869" t="s">
        <v>491</v>
      </c>
      <c r="C21" s="53">
        <f ca="1">ROUND(D21*E21/10000,0)</f>
        <v>0</v>
      </c>
      <c r="D21" s="2870">
        <f ca="1">IF(B1="",'数据-汇总表'!E5,IF(INDIRECT("'数据-取费表'!c"&amp;$K$1)="住宅",INDIRECT("'数据-取费表'!k"&amp;$K$1),0))</f>
        <v>0</v>
      </c>
      <c r="E21" s="53">
        <f>'数据-取费表'!B27</f>
        <v>50</v>
      </c>
      <c r="F21" s="2873"/>
      <c r="G21" s="26"/>
      <c r="H21" s="51"/>
      <c r="I21" s="51"/>
      <c r="J21" s="51"/>
      <c r="K21" s="2845"/>
    </row>
    <row r="22" spans="1:14" s="2118" customFormat="1" ht="13.5" customHeight="1">
      <c r="A22" s="2868" t="s">
        <v>1857</v>
      </c>
      <c r="B22" s="2869" t="s">
        <v>492</v>
      </c>
      <c r="C22" s="53">
        <f ca="1">ROUND(D22*E22/10000,0)</f>
        <v>106</v>
      </c>
      <c r="D22" s="2870">
        <f ca="1">IF(B1="",'数据-汇总表'!E6,IF(INDIRECT("'数据-取费表'!c"&amp;$K$1)="住宅",INDIRECT("'数据-取费表'!s"&amp;$K$1),INDIRECT("'数据-取费表'!k"&amp;$K$1)+INDIRECT("'数据-取费表'!s"&amp;$K$1)))</f>
        <v>26666</v>
      </c>
      <c r="E22" s="53">
        <f>'数据-取费表'!B28</f>
        <v>39.700000000000003</v>
      </c>
      <c r="F22" s="2873"/>
      <c r="G22" s="26"/>
      <c r="H22" s="51"/>
      <c r="I22" s="51"/>
      <c r="J22" s="51"/>
      <c r="K22" s="2845"/>
    </row>
    <row r="23" spans="1:14" s="2118" customFormat="1" ht="13.5" customHeight="1">
      <c r="A23" s="2876" t="s">
        <v>1858</v>
      </c>
      <c r="B23" s="3061" t="s">
        <v>2837</v>
      </c>
      <c r="C23" s="2878">
        <f ca="1">ROUND((C18+C19+C20)*F23,0)</f>
        <v>236</v>
      </c>
      <c r="D23" s="468"/>
      <c r="E23" s="468"/>
      <c r="F23" s="2882">
        <f>'数据-取费表'!B37</f>
        <v>0.02</v>
      </c>
      <c r="G23" s="2838" t="s">
        <v>2434</v>
      </c>
      <c r="H23" s="2839"/>
      <c r="I23" s="2839"/>
      <c r="J23" s="2839"/>
      <c r="K23" s="2840"/>
      <c r="L23" s="2120"/>
      <c r="M23" s="2120"/>
      <c r="N23" s="2120"/>
    </row>
    <row r="24" spans="1:14" s="2118" customFormat="1" ht="13.5" customHeight="1">
      <c r="A24" s="2876" t="s">
        <v>1859</v>
      </c>
      <c r="B24" s="3061" t="s">
        <v>2840</v>
      </c>
      <c r="C24" s="2878">
        <f ca="1">ROUND(C6*F24,0)</f>
        <v>360</v>
      </c>
      <c r="D24" s="475"/>
      <c r="E24" s="473"/>
      <c r="F24" s="2882">
        <f>'数据-取费表'!B38</f>
        <v>0.02</v>
      </c>
      <c r="G24" s="2847" t="s">
        <v>499</v>
      </c>
      <c r="H24" s="2841"/>
      <c r="I24" s="2841"/>
      <c r="J24" s="2841"/>
      <c r="K24" s="279"/>
      <c r="L24" s="2120"/>
      <c r="M24" s="2120"/>
      <c r="N24" s="2120"/>
    </row>
    <row r="25" spans="1:14" s="2121" customFormat="1" ht="13.5" customHeight="1">
      <c r="A25" s="2876" t="s">
        <v>1860</v>
      </c>
      <c r="B25" s="3061" t="s">
        <v>2838</v>
      </c>
      <c r="C25" s="467">
        <f>ROUND(F25/(1+'数据-取费表'!C42),4)</f>
        <v>3.8600000000000002E-2</v>
      </c>
      <c r="D25" s="462" t="s">
        <v>2832</v>
      </c>
      <c r="E25" s="469"/>
      <c r="F25" s="2882">
        <f>'数据-取费表'!B48+'数据-取费表'!B49</f>
        <v>4.0500000000000001E-2</v>
      </c>
      <c r="G25" s="2846" t="s">
        <v>2291</v>
      </c>
      <c r="H25" s="2839"/>
      <c r="I25" s="2839"/>
      <c r="J25" s="2839"/>
      <c r="K25" s="2840"/>
    </row>
    <row r="26" spans="1:14" s="2120" customFormat="1" ht="13.5" customHeight="1">
      <c r="A26" s="2876" t="s">
        <v>1861</v>
      </c>
      <c r="B26" s="3062" t="s">
        <v>2839</v>
      </c>
      <c r="C26" s="2883">
        <f ca="1">C28</f>
        <v>439</v>
      </c>
      <c r="D26" s="467">
        <f ca="1">C27</f>
        <v>7.4899999999999994E-2</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1856</v>
      </c>
      <c r="B27" s="2884" t="s">
        <v>496</v>
      </c>
      <c r="C27" s="2885">
        <f ca="1">ROUND(IF('数据-取费表'!B22&lt;=1,(1+C25)*F26*'数据-取费表'!B24,(1+C25)*(POWER((1+F26),'数据-取费表'!B24)-1)),4)</f>
        <v>7.4899999999999994E-2</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1857</v>
      </c>
      <c r="B28" s="2884" t="s">
        <v>2841</v>
      </c>
      <c r="C28" s="2886">
        <f ca="1">ROUND(IF('数据-取费表'!B22&lt;=1,(C18+C19+C20+C23+C24)*F26*'数据-取费表'!B24/2,(C18+C19+C20+C23+C24)*(POWER((1+F26),'数据-取费表'!B24/2)-1)),0)</f>
        <v>439</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1862</v>
      </c>
      <c r="B29" s="2877" t="s">
        <v>497</v>
      </c>
      <c r="C29" s="2878">
        <f ca="1">ROUND(C6*F29/(1+'数据-取费表'!C42),0)</f>
        <v>961</v>
      </c>
      <c r="D29" s="468"/>
      <c r="E29" s="468"/>
      <c r="F29" s="3063">
        <f>'数据-取费表'!B41</f>
        <v>5.6000000000000001E-2</v>
      </c>
      <c r="G29" s="2847" t="s">
        <v>498</v>
      </c>
      <c r="H29" s="2839"/>
      <c r="I29" s="2839"/>
      <c r="J29" s="2839"/>
      <c r="K29" s="2840"/>
    </row>
    <row r="30" spans="1:14" s="2123" customFormat="1" ht="13.5" customHeight="1">
      <c r="A30" s="1636" t="s">
        <v>1863</v>
      </c>
      <c r="B30" s="2888" t="s">
        <v>500</v>
      </c>
      <c r="C30" s="2883">
        <f ca="1">C31</f>
        <v>13781</v>
      </c>
      <c r="D30" s="477">
        <f ca="1">C32</f>
        <v>0.1135</v>
      </c>
      <c r="E30" s="469" t="s">
        <v>495</v>
      </c>
      <c r="F30" s="471"/>
      <c r="G30" s="2846" t="s">
        <v>2979</v>
      </c>
      <c r="H30" s="2839"/>
      <c r="I30" s="2839"/>
      <c r="J30" s="2839"/>
      <c r="K30" s="2840"/>
    </row>
    <row r="31" spans="1:14" s="2122" customFormat="1" ht="13.5" customHeight="1">
      <c r="A31" s="803" t="s">
        <v>1856</v>
      </c>
      <c r="B31" s="2884"/>
      <c r="C31" s="450">
        <f ca="1">C18+C19+C20+C23+C24+C26+C29</f>
        <v>13781</v>
      </c>
      <c r="D31" s="472"/>
      <c r="E31" s="473"/>
      <c r="F31" s="474"/>
      <c r="G31" s="261"/>
      <c r="H31" s="2841"/>
      <c r="I31" s="2841"/>
      <c r="J31" s="2841"/>
      <c r="K31" s="279"/>
    </row>
    <row r="32" spans="1:14" s="2122" customFormat="1" ht="13.5" customHeight="1">
      <c r="A32" s="803" t="s">
        <v>1857</v>
      </c>
      <c r="B32" s="2884"/>
      <c r="C32" s="53">
        <f ca="1">ROUND(C25+D26,4)</f>
        <v>0.1135</v>
      </c>
      <c r="D32" s="472"/>
      <c r="E32" s="473"/>
      <c r="F32" s="474"/>
      <c r="G32" s="261"/>
      <c r="H32" s="2841"/>
      <c r="I32" s="2841"/>
      <c r="J32" s="2841"/>
      <c r="K32" s="279"/>
    </row>
    <row r="33" spans="1:11" s="2124" customFormat="1" ht="13.5" customHeight="1">
      <c r="A33" s="3060" t="s">
        <v>2836</v>
      </c>
      <c r="B33" s="3058" t="s">
        <v>2834</v>
      </c>
      <c r="C33" s="478">
        <f ca="1">C35</f>
        <v>619</v>
      </c>
      <c r="D33" s="467">
        <f ca="1">C34</f>
        <v>5.1900000000000002E-2</v>
      </c>
      <c r="E33" s="469" t="s">
        <v>495</v>
      </c>
      <c r="F33" s="479">
        <f ca="1">IF(B1="",'数据-取费表'!Q16,INDIRECT("'数据-取费表'!q"&amp;$K$1))</f>
        <v>0.05</v>
      </c>
      <c r="G33" s="2842"/>
      <c r="H33" s="2843"/>
      <c r="I33" s="2843"/>
      <c r="J33" s="2843"/>
      <c r="K33" s="2844"/>
    </row>
    <row r="34" spans="1:11" s="2125" customFormat="1" ht="13.5" customHeight="1">
      <c r="A34" s="375" t="s">
        <v>1856</v>
      </c>
      <c r="B34" s="2889" t="s">
        <v>501</v>
      </c>
      <c r="C34" s="472">
        <f ca="1">ROUND((1+C25)*F33,4)</f>
        <v>5.1900000000000002E-2</v>
      </c>
      <c r="D34" s="472"/>
      <c r="E34" s="473"/>
      <c r="F34" s="480"/>
      <c r="G34" s="261" t="s">
        <v>2292</v>
      </c>
      <c r="H34" s="2841"/>
      <c r="I34" s="2841"/>
      <c r="J34" s="2841"/>
      <c r="K34" s="279"/>
    </row>
    <row r="35" spans="1:11" s="2125" customFormat="1" ht="13.5" customHeight="1" thickBot="1">
      <c r="A35" s="1637" t="s">
        <v>1857</v>
      </c>
      <c r="B35" s="3059" t="s">
        <v>2842</v>
      </c>
      <c r="C35" s="1629">
        <f ca="1">ROUND((C18+C19+C20+C23+C24)*F33,0)</f>
        <v>619</v>
      </c>
      <c r="D35" s="1630"/>
      <c r="E35" s="2890"/>
      <c r="F35" s="1631"/>
      <c r="G35" s="2848"/>
      <c r="H35" s="2849"/>
      <c r="I35" s="2849"/>
      <c r="J35" s="2849"/>
      <c r="K35" s="2850"/>
    </row>
    <row r="36" spans="1:11" s="2087" customFormat="1" ht="13.5" customHeight="1" thickBot="1">
      <c r="A36" s="284" t="s">
        <v>1844</v>
      </c>
      <c r="B36" s="2852"/>
      <c r="C36" s="2891">
        <f ca="1">ROUND((C6-C30-C33)/(1+D30+D33),0)</f>
        <v>3103</v>
      </c>
      <c r="D36" s="2852"/>
      <c r="E36" s="2852"/>
      <c r="F36" s="2852"/>
      <c r="G36" s="2851" t="s">
        <v>2843</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192" t="str">
        <f>项目基本情况!B1</f>
        <v>河北省衡水市桃城区人民路南侧、问津街西侧出让国有建设用地使用权抵押价格预评估</v>
      </c>
      <c r="C37" s="3192"/>
      <c r="D37" s="3192"/>
      <c r="E37" s="3192"/>
      <c r="F37" s="3192"/>
      <c r="G37" s="3192"/>
      <c r="H37" s="3192"/>
      <c r="I37" s="3192"/>
    </row>
    <row r="38" spans="1:9">
      <c r="A38" s="1657"/>
      <c r="B38" s="1657"/>
    </row>
    <row r="39" spans="1:9">
      <c r="A39" s="1655" t="s">
        <v>1901</v>
      </c>
      <c r="B39" s="1655" t="s">
        <v>2048</v>
      </c>
    </row>
    <row r="40" spans="1:9">
      <c r="A40" s="1655"/>
      <c r="B40" s="1655" t="str">
        <f>项目基本情况!B5</f>
        <v>中信信托有限责任公司</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2" sqref="B2"/>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3031</v>
      </c>
      <c r="D1" s="3158" t="s">
        <v>3035</v>
      </c>
      <c r="E1" s="2413" t="s">
        <v>2377</v>
      </c>
      <c r="F1" s="2414">
        <f ca="1">J53</f>
        <v>31.29</v>
      </c>
      <c r="G1" s="774">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1726</v>
      </c>
      <c r="B2" s="775">
        <f ca="1">C40+J29+L46</f>
        <v>18016</v>
      </c>
      <c r="C2" s="2059"/>
      <c r="D2" s="2057"/>
      <c r="E2" s="2058"/>
      <c r="F2" s="2058"/>
      <c r="G2" s="1591"/>
      <c r="H2" s="2059"/>
      <c r="I2" s="2059"/>
      <c r="J2" s="2059"/>
      <c r="K2" s="2060"/>
      <c r="L2" s="2059"/>
      <c r="M2" s="2059"/>
    </row>
    <row r="3" spans="1:33" ht="18" customHeight="1" thickBot="1">
      <c r="A3" s="833" t="s">
        <v>1727</v>
      </c>
      <c r="B3" s="834">
        <f ca="1">IF(ISERROR(B2*10000/F43),0,ROUND(B2*10000/F43,0))</f>
        <v>6756</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2461</v>
      </c>
      <c r="C5" s="55">
        <f ca="1">C6+C10+C12</f>
        <v>1820</v>
      </c>
      <c r="D5" s="2522" t="s">
        <v>2464</v>
      </c>
      <c r="E5" s="2516"/>
      <c r="F5" s="2517"/>
      <c r="G5" s="1593"/>
      <c r="H5" s="781">
        <v>1</v>
      </c>
      <c r="I5" s="782" t="s">
        <v>2461</v>
      </c>
      <c r="J5" s="55">
        <f ca="1">J6+J10+J12</f>
        <v>0</v>
      </c>
      <c r="K5" s="2522" t="s">
        <v>2464</v>
      </c>
      <c r="L5" s="2516"/>
      <c r="M5" s="2517"/>
    </row>
    <row r="6" spans="1:33" ht="18" customHeight="1">
      <c r="A6" s="1832" t="s">
        <v>1824</v>
      </c>
      <c r="B6" s="3402" t="s">
        <v>2466</v>
      </c>
      <c r="C6" s="783">
        <f ca="1">ROUND(F6*F8*F7*(1-F9)/10000,0)</f>
        <v>1820</v>
      </c>
      <c r="D6" s="2523" t="s">
        <v>2465</v>
      </c>
      <c r="E6" s="784" t="s">
        <v>1738</v>
      </c>
      <c r="F6" s="785">
        <f ca="1">INDIRECT("'数据-取费表'!u"&amp;$G$1)</f>
        <v>1819.5000000000002</v>
      </c>
      <c r="G6" s="1593"/>
      <c r="H6" s="2530" t="s">
        <v>2471</v>
      </c>
      <c r="I6" s="3402" t="s">
        <v>2466</v>
      </c>
      <c r="J6" s="783">
        <f ca="1">ROUND(M6*M8*M7*(1-M9)/10000,0)</f>
        <v>0</v>
      </c>
      <c r="K6" s="341" t="s">
        <v>1737</v>
      </c>
      <c r="L6" s="784" t="s">
        <v>1738</v>
      </c>
      <c r="M6" s="785">
        <f ca="1">INDIRECT("'数据-取费表'!z"&amp;$G$1)</f>
        <v>0</v>
      </c>
    </row>
    <row r="7" spans="1:33" ht="18" customHeight="1">
      <c r="A7" s="2526"/>
      <c r="B7" s="3403"/>
      <c r="C7" s="788"/>
      <c r="D7" s="789"/>
      <c r="E7" s="784" t="s">
        <v>1739</v>
      </c>
      <c r="F7" s="785">
        <f ca="1">IF(INDIRECT("'数据-取费表'!ah"&amp;$G$1)="",INDIRECT("'数据-取费表'!k"&amp;$G$1),INDIRECT("'数据-取费表'!ah"&amp;$G$1))</f>
        <v>10000</v>
      </c>
      <c r="G7" s="1593"/>
      <c r="H7" s="2515"/>
      <c r="I7" s="3403"/>
      <c r="J7" s="788"/>
      <c r="K7" s="789"/>
      <c r="L7" s="784" t="s">
        <v>1739</v>
      </c>
      <c r="M7" s="785">
        <f ca="1">F7</f>
        <v>10000</v>
      </c>
    </row>
    <row r="8" spans="1:33" ht="18" customHeight="1">
      <c r="A8" s="2519"/>
      <c r="B8" s="3404"/>
      <c r="C8" s="788"/>
      <c r="D8" s="789"/>
      <c r="E8" s="784" t="s">
        <v>1740</v>
      </c>
      <c r="F8" s="785">
        <f ca="1">INDIRECT("'数据-取费表'!ai"&amp;$G$1)</f>
        <v>1</v>
      </c>
      <c r="G8" s="1593"/>
      <c r="H8" s="2515"/>
      <c r="I8" s="3404"/>
      <c r="J8" s="788"/>
      <c r="K8" s="789"/>
      <c r="L8" s="784" t="s">
        <v>1740</v>
      </c>
      <c r="M8" s="785">
        <f ca="1">INDIRECT("'数据-取费表'!ai"&amp;$G$1)</f>
        <v>1</v>
      </c>
    </row>
    <row r="9" spans="1:33" ht="18" customHeight="1">
      <c r="A9" s="786"/>
      <c r="B9" s="3405"/>
      <c r="C9" s="788"/>
      <c r="D9" s="789"/>
      <c r="E9" s="784" t="s">
        <v>1741</v>
      </c>
      <c r="F9" s="794">
        <f ca="1">INDIRECT("'数据-取费表'!w"&amp;$G$1)</f>
        <v>0</v>
      </c>
      <c r="G9" s="1593"/>
      <c r="H9" s="2531"/>
      <c r="I9" s="3404"/>
      <c r="J9" s="788"/>
      <c r="K9" s="789"/>
      <c r="L9" s="795" t="s">
        <v>1741</v>
      </c>
      <c r="M9" s="796">
        <f ca="1">INDIRECT("'数据-取费表'!ab"&amp;$G$1)</f>
        <v>0</v>
      </c>
    </row>
    <row r="10" spans="1:33" ht="18" customHeight="1">
      <c r="A10" s="1832" t="s">
        <v>2469</v>
      </c>
      <c r="B10" s="2520" t="s">
        <v>2462</v>
      </c>
      <c r="C10" s="799">
        <f ca="1">ROUND(IF(F10="押一",C6/12*F11,IF(F10="押二",C6/12*2*F11,IF(F10="押三",C6/12*3*F11,C11*F11))),0)</f>
        <v>0</v>
      </c>
      <c r="D10" s="2527" t="s">
        <v>2981</v>
      </c>
      <c r="E10" s="2524" t="s">
        <v>2467</v>
      </c>
      <c r="F10" s="2647" t="s">
        <v>3029</v>
      </c>
      <c r="G10" s="1593"/>
      <c r="H10" s="2587" t="s">
        <v>2472</v>
      </c>
      <c r="I10" s="2592" t="s">
        <v>2462</v>
      </c>
      <c r="J10" s="783">
        <f ca="1">ROUND(IF(M10="押一",J6/12*M11,IF(M10="押二",J6/12*2*M11,IF(M10="押三",J6/12*3*M11,J11*M11))),0)</f>
        <v>0</v>
      </c>
      <c r="K10" s="2527" t="s">
        <v>2981</v>
      </c>
      <c r="L10" s="2524" t="s">
        <v>2467</v>
      </c>
      <c r="M10" s="2647"/>
    </row>
    <row r="11" spans="1:33" ht="18" customHeight="1">
      <c r="A11" s="790"/>
      <c r="B11" s="2521" t="s">
        <v>2576</v>
      </c>
      <c r="C11" s="2525"/>
      <c r="D11" s="789"/>
      <c r="E11" s="2524" t="s">
        <v>2468</v>
      </c>
      <c r="F11" s="796">
        <f ca="1">'数据-取费表'!B39</f>
        <v>1.4999999999999999E-2</v>
      </c>
      <c r="G11" s="1593"/>
      <c r="H11" s="2588"/>
      <c r="I11" s="2521" t="s">
        <v>2576</v>
      </c>
      <c r="J11" s="2525"/>
      <c r="K11" s="2589"/>
      <c r="L11" s="2524" t="s">
        <v>2468</v>
      </c>
      <c r="M11" s="2518">
        <f ca="1">'数据-取费表'!B39</f>
        <v>1.4999999999999999E-2</v>
      </c>
    </row>
    <row r="12" spans="1:33" ht="18" customHeight="1" thickBot="1">
      <c r="A12" s="2563" t="s">
        <v>2470</v>
      </c>
      <c r="B12" s="2564" t="s">
        <v>2463</v>
      </c>
      <c r="C12" s="2565"/>
      <c r="D12" s="2566"/>
      <c r="E12" s="2567"/>
      <c r="F12" s="2568"/>
      <c r="G12" s="1593"/>
      <c r="H12" s="2577" t="s">
        <v>2473</v>
      </c>
      <c r="I12" s="2590" t="s">
        <v>2463</v>
      </c>
      <c r="J12" s="2591"/>
      <c r="K12" s="2566"/>
      <c r="L12" s="2567"/>
      <c r="M12" s="2580"/>
    </row>
    <row r="13" spans="1:33" ht="18" customHeight="1" thickTop="1">
      <c r="A13" s="1831">
        <v>2</v>
      </c>
      <c r="B13" s="1829" t="s">
        <v>1742</v>
      </c>
      <c r="C13" s="792">
        <f ca="1">ROUND(C29*F13,0)</f>
        <v>13979</v>
      </c>
      <c r="D13" s="1836" t="s">
        <v>2299</v>
      </c>
      <c r="E13" s="1836" t="s">
        <v>1744</v>
      </c>
      <c r="F13" s="2562">
        <f ca="1">INDIRECT("'数据-取费表'!y"&amp;$G$1)</f>
        <v>1</v>
      </c>
      <c r="G13" s="1593"/>
      <c r="H13" s="1831">
        <v>2</v>
      </c>
      <c r="I13" s="1829" t="s">
        <v>1742</v>
      </c>
      <c r="J13" s="1821">
        <f ca="1">ROUND(J14*J15,0)</f>
        <v>0</v>
      </c>
      <c r="K13" s="1823" t="s">
        <v>1743</v>
      </c>
      <c r="L13" s="2578"/>
      <c r="M13" s="2579"/>
    </row>
    <row r="14" spans="1:33" ht="18" customHeight="1">
      <c r="A14" s="1649" t="s">
        <v>1884</v>
      </c>
      <c r="B14" s="784" t="s">
        <v>644</v>
      </c>
      <c r="C14" s="804">
        <f ca="1">INDIRECT("'数据-取费表'!m"&amp;$G$1)+INDIRECT("'数据-取费表'!t"&amp;$G$1)</f>
        <v>10666</v>
      </c>
      <c r="D14" s="1981" t="s">
        <v>1745</v>
      </c>
      <c r="E14" s="1982"/>
      <c r="F14" s="805"/>
      <c r="G14" s="1593"/>
      <c r="H14" s="1650" t="s">
        <v>1830</v>
      </c>
      <c r="I14" s="2233" t="s">
        <v>2829</v>
      </c>
      <c r="J14" s="53">
        <f ca="1">C29</f>
        <v>13979</v>
      </c>
      <c r="K14" s="26"/>
      <c r="L14" s="801"/>
      <c r="M14" s="802"/>
    </row>
    <row r="15" spans="1:33" s="2066" customFormat="1" ht="18" customHeight="1" thickBot="1">
      <c r="A15" s="1649" t="s">
        <v>1885</v>
      </c>
      <c r="B15" s="784" t="s">
        <v>646</v>
      </c>
      <c r="C15" s="53">
        <f ca="1">ROUND(C14*F15,0)</f>
        <v>320</v>
      </c>
      <c r="D15" s="806" t="s">
        <v>1746</v>
      </c>
      <c r="E15" s="806" t="s">
        <v>1747</v>
      </c>
      <c r="F15" s="807">
        <f>'数据-取费表'!B33</f>
        <v>0.03</v>
      </c>
      <c r="G15" s="1594"/>
      <c r="H15" s="2577" t="s">
        <v>1889</v>
      </c>
      <c r="I15" s="2572" t="s">
        <v>1744</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1457</v>
      </c>
      <c r="K16" s="1823" t="s">
        <v>1750</v>
      </c>
      <c r="L16" s="2512"/>
      <c r="M16" s="2517"/>
    </row>
    <row r="17" spans="1:33" s="2066" customFormat="1" ht="18" customHeight="1">
      <c r="A17" s="1649" t="s">
        <v>1887</v>
      </c>
      <c r="B17" s="784" t="s">
        <v>652</v>
      </c>
      <c r="C17" s="53">
        <f ca="1">ROUND(F17*(F43+INDIRECT("'数据-取费表'!S"&amp;$G$1))/10000,0)</f>
        <v>533</v>
      </c>
      <c r="D17" s="784" t="s">
        <v>1751</v>
      </c>
      <c r="E17" s="784" t="s">
        <v>1752</v>
      </c>
      <c r="F17" s="56">
        <f>'数据-取费表'!B35</f>
        <v>200</v>
      </c>
      <c r="G17" s="1594"/>
      <c r="H17" s="1650" t="s">
        <v>1830</v>
      </c>
      <c r="I17" s="784" t="s">
        <v>655</v>
      </c>
      <c r="J17" s="53">
        <f ca="1">ROUND(IF(项目基本情况!B11="自然人",J5*M17,J18+J19+J20),0)</f>
        <v>1177</v>
      </c>
      <c r="K17" s="2511" t="s">
        <v>1753</v>
      </c>
      <c r="L17" s="2510" t="s">
        <v>1754</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f ca="1">ROUND(C14*F18,0)</f>
        <v>160</v>
      </c>
      <c r="D18" s="784" t="s">
        <v>1746</v>
      </c>
      <c r="E18" s="784" t="s">
        <v>1747</v>
      </c>
      <c r="F18" s="809">
        <f>'数据-取费表'!B36</f>
        <v>1.4999999999999999E-2</v>
      </c>
      <c r="G18" s="1594"/>
      <c r="H18" s="1649" t="s">
        <v>1884</v>
      </c>
      <c r="I18" s="784" t="s">
        <v>1755</v>
      </c>
      <c r="J18" s="53">
        <f ca="1">ROUND(J5*M18/1.05,1)</f>
        <v>0</v>
      </c>
      <c r="K18" s="2510" t="s">
        <v>1756</v>
      </c>
      <c r="L18" s="784" t="s">
        <v>1747</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661</v>
      </c>
      <c r="C19" s="53">
        <f ca="1">SUM(C14:C18)</f>
        <v>11679</v>
      </c>
      <c r="D19" s="261" t="s">
        <v>1757</v>
      </c>
      <c r="E19" s="1984"/>
      <c r="F19" s="56"/>
      <c r="G19" s="1593"/>
      <c r="H19" s="1649" t="s">
        <v>1885</v>
      </c>
      <c r="I19" s="784" t="s">
        <v>1758</v>
      </c>
      <c r="J19" s="53">
        <f ca="1">IF(K19="按租金收入计税",ROUND(J5*M19,1),ROUND(C29*F33*0.7,1))</f>
        <v>1174.2</v>
      </c>
      <c r="K19" s="811" t="s">
        <v>664</v>
      </c>
      <c r="L19" s="784" t="s">
        <v>1747</v>
      </c>
      <c r="M19" s="809">
        <f>IF(K19="按租金收入计税",'数据-取费表'!B51,'数据-取费表'!B50)</f>
        <v>1.2E-2</v>
      </c>
    </row>
    <row r="20" spans="1:33" s="2066" customFormat="1" ht="18" customHeight="1">
      <c r="A20" s="1650" t="s">
        <v>1889</v>
      </c>
      <c r="B20" s="784" t="s">
        <v>665</v>
      </c>
      <c r="C20" s="53">
        <f ca="1">ROUND(C19*F20,0)</f>
        <v>234</v>
      </c>
      <c r="D20" s="812" t="s">
        <v>1759</v>
      </c>
      <c r="E20" s="784" t="s">
        <v>1747</v>
      </c>
      <c r="F20" s="809">
        <f>'数据-取费表'!B37</f>
        <v>0.02</v>
      </c>
      <c r="G20" s="1594"/>
      <c r="H20" s="1652" t="s">
        <v>1880</v>
      </c>
      <c r="I20" s="341" t="s">
        <v>1760</v>
      </c>
      <c r="J20" s="54">
        <f ca="1">ROUND(M20*M21/10000,0)</f>
        <v>3</v>
      </c>
      <c r="K20" s="814" t="s">
        <v>1761</v>
      </c>
      <c r="L20" s="784" t="s">
        <v>1762</v>
      </c>
      <c r="M20" s="640">
        <f>'数据-取费表'!B52</f>
        <v>4</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0.02</v>
      </c>
      <c r="G21" s="1594"/>
      <c r="H21" s="2532"/>
      <c r="I21" s="793"/>
      <c r="J21" s="69"/>
      <c r="K21" s="816"/>
      <c r="L21" s="784" t="s">
        <v>1766</v>
      </c>
      <c r="M21" s="785">
        <f ca="1">INDIRECT("'数据-取费表'!r"&amp;$G$1)</f>
        <v>6666.4</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98" t="str">
        <f>IF(F23&lt;=1,"单利计息。","复利计息。")&amp;"建造成本、管理费用、销售费用产生的利息。"</f>
        <v>复利计息。建造成本、管理费用、销售费用产生的利息。</v>
      </c>
      <c r="E22" s="1984"/>
      <c r="F22" s="56"/>
      <c r="G22" s="1593"/>
      <c r="H22" s="1650" t="s">
        <v>1889</v>
      </c>
      <c r="I22" s="784" t="s">
        <v>1768</v>
      </c>
      <c r="J22" s="53">
        <f ca="1">ROUND(J14*M22,0)</f>
        <v>280</v>
      </c>
      <c r="K22" s="2510" t="s">
        <v>1769</v>
      </c>
      <c r="L22" s="784" t="s">
        <v>1747</v>
      </c>
      <c r="M22" s="817">
        <f ca="1">INDIRECT("'数据-取费表'!Ak"&amp;$G$1)</f>
        <v>0.02</v>
      </c>
    </row>
    <row r="23" spans="1:33" s="2066" customFormat="1" ht="18" customHeight="1">
      <c r="A23" s="1649" t="s">
        <v>1831</v>
      </c>
      <c r="B23" s="784" t="s">
        <v>2538</v>
      </c>
      <c r="C23" s="53">
        <f ca="1">ROUND(IF('数据-取费表'!B22&lt;=1,(C19+C20)*F24*F23/2,(C19+C20)*(POWER((1+F24),F23/2)-1)),0)</f>
        <v>422</v>
      </c>
      <c r="D23" s="2597" t="str">
        <f>IF(F23&lt;=1,"(建造成本+管理费用)×利率×(建设周期÷2)","(建造成本+管理费用)×((1+利率)^(建设周期÷2)-1)")</f>
        <v>(建造成本+管理费用)×((1+利率)^(建设周期÷2)-1)</v>
      </c>
      <c r="E23" s="784" t="s">
        <v>1770</v>
      </c>
      <c r="F23" s="640">
        <f>'数据-取费表'!B20</f>
        <v>1.5</v>
      </c>
      <c r="G23" s="1594"/>
      <c r="H23" s="1650" t="s">
        <v>1890</v>
      </c>
      <c r="I23" s="784" t="s">
        <v>678</v>
      </c>
      <c r="J23" s="53">
        <f ca="1">ROUND(J13*M23,0)</f>
        <v>0</v>
      </c>
      <c r="K23" s="2510" t="s">
        <v>1771</v>
      </c>
      <c r="L23" s="784" t="s">
        <v>1747</v>
      </c>
      <c r="M23" s="818">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6.9999999999999999E-4</v>
      </c>
      <c r="D24" s="2597" t="str">
        <f>IF(F23&lt;=1,"销售费用×利率×(建设周期÷2)","销售费用×((1+利率)^(建设周期÷2)-1)")</f>
        <v>销售费用×((1+利率)^(建设周期÷2)-1)</v>
      </c>
      <c r="E24" s="784" t="s">
        <v>1773</v>
      </c>
      <c r="F24" s="819">
        <f ca="1">'数据-取费表'!B40</f>
        <v>4.7500000000000001E-2</v>
      </c>
      <c r="G24" s="1594"/>
      <c r="H24" s="2577" t="s">
        <v>1891</v>
      </c>
      <c r="I24" s="2572" t="s">
        <v>665</v>
      </c>
      <c r="J24" s="2570">
        <f ca="1">ROUND(J5*M24,0)</f>
        <v>0</v>
      </c>
      <c r="K24" s="2571" t="s">
        <v>1774</v>
      </c>
      <c r="L24" s="2572" t="s">
        <v>1747</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1775</v>
      </c>
      <c r="E25" s="1984"/>
      <c r="F25" s="56"/>
      <c r="G25" s="1593"/>
      <c r="H25" s="1831" t="s">
        <v>1776</v>
      </c>
      <c r="I25" s="3036" t="s">
        <v>2825</v>
      </c>
      <c r="J25" s="792">
        <f ca="1">J5-J16</f>
        <v>-1457</v>
      </c>
      <c r="K25" s="2574" t="s">
        <v>1777</v>
      </c>
      <c r="L25" s="2575"/>
      <c r="M25" s="2576"/>
    </row>
    <row r="26" spans="1:33" ht="18" customHeight="1">
      <c r="A26" s="1649" t="s">
        <v>1831</v>
      </c>
      <c r="B26" s="784" t="s">
        <v>2441</v>
      </c>
      <c r="C26" s="53">
        <f ca="1">ROUND((C19+C20)*F26,0)</f>
        <v>596</v>
      </c>
      <c r="D26" s="812" t="s">
        <v>1778</v>
      </c>
      <c r="E26" s="795" t="s">
        <v>1779</v>
      </c>
      <c r="F26" s="794">
        <f ca="1">INDIRECT("'数据-取费表'!q"&amp;$G$1)</f>
        <v>0.05</v>
      </c>
      <c r="G26" s="1593"/>
      <c r="H26" s="2528" t="s">
        <v>1780</v>
      </c>
      <c r="I26" s="2234" t="s">
        <v>2830</v>
      </c>
      <c r="J26" s="783">
        <f ca="1">IF(J5&lt;&gt;0,ROUND(J25*(1-((1+M28)/(1+M26))^M27)/(M26-M28),0),0)</f>
        <v>0</v>
      </c>
      <c r="K26" s="814" t="s">
        <v>1781</v>
      </c>
      <c r="L26" s="784" t="s">
        <v>2422</v>
      </c>
      <c r="M26" s="794">
        <f ca="1">INDIRECT("'数据-取费表'!I"&amp;$G$1)</f>
        <v>6.5000000000000002E-2</v>
      </c>
    </row>
    <row r="27" spans="1:33" ht="18" customHeight="1">
      <c r="A27" s="1649" t="s">
        <v>1832</v>
      </c>
      <c r="B27" s="784" t="s">
        <v>685</v>
      </c>
      <c r="C27" s="53">
        <f ca="1">ROUND(F21*F26,4)</f>
        <v>1E-3</v>
      </c>
      <c r="D27" s="812" t="s">
        <v>1782</v>
      </c>
      <c r="E27" s="806"/>
      <c r="F27" s="807"/>
      <c r="G27" s="1593"/>
      <c r="H27" s="2529"/>
      <c r="I27" s="787"/>
      <c r="J27" s="788"/>
      <c r="K27" s="821" t="s">
        <v>1783</v>
      </c>
      <c r="L27" s="784" t="s">
        <v>1784</v>
      </c>
      <c r="M27" s="822">
        <f ca="1">INDIRECT("'数据-取费表'!ag"&amp;$G$1)</f>
        <v>0</v>
      </c>
    </row>
    <row r="28" spans="1:33" s="2066" customFormat="1" ht="18" customHeight="1">
      <c r="A28" s="1651" t="s">
        <v>1841</v>
      </c>
      <c r="B28" s="784" t="s">
        <v>686</v>
      </c>
      <c r="C28" s="53">
        <f>ROUND(F28/(1+'数据-取费表'!C42),4)</f>
        <v>5.33E-2</v>
      </c>
      <c r="D28" s="812" t="s">
        <v>2301</v>
      </c>
      <c r="E28" s="784" t="s">
        <v>1785</v>
      </c>
      <c r="F28" s="809">
        <f>'数据-取费表'!B41</f>
        <v>5.6000000000000001E-2</v>
      </c>
      <c r="G28" s="1594"/>
      <c r="H28" s="1831"/>
      <c r="I28" s="791"/>
      <c r="J28" s="792"/>
      <c r="K28" s="816"/>
      <c r="L28" s="784" t="s">
        <v>1786</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1892</v>
      </c>
      <c r="B29" s="2567" t="s">
        <v>2302</v>
      </c>
      <c r="C29" s="2570">
        <f ca="1">ROUND((C19+C20+C23+C26)/(1-F21-C24-C27-C28),0)</f>
        <v>13979</v>
      </c>
      <c r="D29" s="2571"/>
      <c r="E29" s="2572"/>
      <c r="F29" s="2573"/>
      <c r="G29" s="1594"/>
      <c r="H29" s="823" t="s">
        <v>1787</v>
      </c>
      <c r="I29" s="824" t="s">
        <v>1788</v>
      </c>
      <c r="J29" s="825">
        <f ca="1">ROUND(J26/(1+F40)^F41,0)</f>
        <v>0</v>
      </c>
      <c r="K29" s="826" t="s">
        <v>1789</v>
      </c>
      <c r="L29" s="827"/>
      <c r="M29" s="828">
        <f ca="1">INDIRECT("'数据-取费表'!k"&amp;$G$1)</f>
        <v>26666</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f ca="1">ROUND(C31+C36+C37+C38,0)</f>
        <v>662</v>
      </c>
      <c r="D30" s="1823" t="s">
        <v>1791</v>
      </c>
      <c r="E30" s="2512"/>
      <c r="F30" s="2517"/>
      <c r="G30" s="2064"/>
      <c r="H30" s="2067"/>
      <c r="I30" s="2068"/>
      <c r="J30" s="2069"/>
      <c r="K30" s="2070"/>
      <c r="L30" s="2071"/>
      <c r="M30" s="2072"/>
    </row>
    <row r="31" spans="1:33" ht="18" customHeight="1">
      <c r="A31" s="1650" t="s">
        <v>1830</v>
      </c>
      <c r="B31" s="784" t="s">
        <v>655</v>
      </c>
      <c r="C31" s="53">
        <f ca="1">ROUND(IF(项目基本情况!B11="自然人",C5*F31,C32+C33+C34),1)</f>
        <v>318.2</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f ca="1">ROUND(C5*F32/1.05,1)</f>
        <v>97.1</v>
      </c>
      <c r="D32" s="1979" t="s">
        <v>1795</v>
      </c>
      <c r="E32" s="784" t="s">
        <v>1796</v>
      </c>
      <c r="F32" s="809">
        <f>'数据-取费表'!B41</f>
        <v>5.6000000000000001E-2</v>
      </c>
      <c r="G32" s="2064"/>
      <c r="H32" s="2073"/>
      <c r="I32" s="2074"/>
      <c r="J32" s="2075"/>
      <c r="K32" s="2076"/>
      <c r="L32" s="2077"/>
      <c r="M32" s="2078"/>
    </row>
    <row r="33" spans="1:18" ht="18" customHeight="1">
      <c r="A33" s="1649" t="s">
        <v>1832</v>
      </c>
      <c r="B33" s="784" t="s">
        <v>1797</v>
      </c>
      <c r="C33" s="53">
        <f ca="1">IF(D33="按租金收入计税",ROUND(C5*F33,1),IF(D33="按房产原值计税",ROUND(C29*F33*0.7,1),INDIRECT("'数据-取费表'!Aj"&amp;$G$1)))</f>
        <v>218.4</v>
      </c>
      <c r="D33" s="3186" t="s">
        <v>3036</v>
      </c>
      <c r="E33" s="784" t="s">
        <v>1796</v>
      </c>
      <c r="F33" s="809">
        <f>IF(D33="按租金收入计税",'数据-取费表'!B51,'数据-取费表'!B50)</f>
        <v>0.12</v>
      </c>
      <c r="G33" s="2064"/>
      <c r="H33" s="2079"/>
      <c r="I33" s="2079"/>
      <c r="J33" s="2079"/>
      <c r="K33" s="2080"/>
      <c r="L33" s="2079"/>
      <c r="M33" s="2079"/>
    </row>
    <row r="34" spans="1:18" ht="18" customHeight="1">
      <c r="A34" s="1652" t="s">
        <v>1833</v>
      </c>
      <c r="B34" s="341" t="s">
        <v>1798</v>
      </c>
      <c r="C34" s="54">
        <f ca="1">ROUND(F34*F35/10000,1)</f>
        <v>2.7</v>
      </c>
      <c r="D34" s="814" t="s">
        <v>1799</v>
      </c>
      <c r="E34" s="784" t="s">
        <v>1800</v>
      </c>
      <c r="F34" s="640">
        <f>'数据-取费表'!B52</f>
        <v>4</v>
      </c>
      <c r="G34" s="2064"/>
      <c r="H34" s="2067"/>
      <c r="I34" s="835" t="s">
        <v>1813</v>
      </c>
      <c r="J34" s="836"/>
      <c r="K34" s="2082"/>
      <c r="L34" s="2081"/>
      <c r="M34" s="2081"/>
    </row>
    <row r="35" spans="1:18" ht="18" customHeight="1">
      <c r="A35" s="815"/>
      <c r="B35" s="793"/>
      <c r="C35" s="69"/>
      <c r="D35" s="816"/>
      <c r="E35" s="784" t="s">
        <v>1801</v>
      </c>
      <c r="F35" s="785">
        <f ca="1">INDIRECT("'数据-取费表'!r"&amp;$G$1)</f>
        <v>6666.4</v>
      </c>
      <c r="G35" s="2064"/>
      <c r="H35" s="2067"/>
      <c r="I35" s="837" t="s">
        <v>1814</v>
      </c>
      <c r="J35" s="838">
        <f ca="1">ROUND(C13*J36,0)</f>
        <v>1188</v>
      </c>
      <c r="K35" s="2080"/>
      <c r="L35" s="2079"/>
      <c r="M35" s="2079"/>
    </row>
    <row r="36" spans="1:18" ht="18" customHeight="1">
      <c r="A36" s="1650" t="s">
        <v>1889</v>
      </c>
      <c r="B36" s="784" t="s">
        <v>1802</v>
      </c>
      <c r="C36" s="53">
        <f ca="1">ROUND(C29*F36,1)</f>
        <v>279.60000000000002</v>
      </c>
      <c r="D36" s="1979" t="s">
        <v>1803</v>
      </c>
      <c r="E36" s="784" t="s">
        <v>1796</v>
      </c>
      <c r="F36" s="817">
        <f ca="1">INDIRECT("'数据-取费表'!Ak"&amp;$G$1)</f>
        <v>0.02</v>
      </c>
      <c r="G36" s="2064"/>
      <c r="H36" s="2079"/>
      <c r="I36" s="839" t="s">
        <v>1815</v>
      </c>
      <c r="J36" s="840">
        <f ca="1">INDIRECT("'数据-取费表'!j"&amp;$G$1)</f>
        <v>8.5000000000000006E-2</v>
      </c>
      <c r="K36" s="2084"/>
      <c r="L36" s="2079"/>
      <c r="M36" s="2079"/>
    </row>
    <row r="37" spans="1:18" ht="18" customHeight="1">
      <c r="A37" s="1650" t="s">
        <v>1890</v>
      </c>
      <c r="B37" s="784" t="s">
        <v>678</v>
      </c>
      <c r="C37" s="53">
        <f ca="1">ROUND(C13*F37,1)</f>
        <v>28</v>
      </c>
      <c r="D37" s="1979" t="s">
        <v>1804</v>
      </c>
      <c r="E37" s="784" t="s">
        <v>1796</v>
      </c>
      <c r="F37" s="818">
        <f ca="1">INDIRECT("'数据-取费表'!Al"&amp;$G$1)</f>
        <v>2E-3</v>
      </c>
      <c r="G37" s="2064"/>
      <c r="H37" s="2079"/>
      <c r="I37" s="841" t="s">
        <v>1816</v>
      </c>
      <c r="J37" s="842"/>
      <c r="K37" s="2084"/>
      <c r="L37" s="2079"/>
      <c r="M37" s="2079"/>
    </row>
    <row r="38" spans="1:18" ht="18" customHeight="1" thickBot="1">
      <c r="A38" s="2577" t="s">
        <v>1891</v>
      </c>
      <c r="B38" s="2572" t="s">
        <v>665</v>
      </c>
      <c r="C38" s="2570">
        <f ca="1">ROUND(C5*F38,1)</f>
        <v>36.4</v>
      </c>
      <c r="D38" s="2571" t="s">
        <v>1805</v>
      </c>
      <c r="E38" s="2572" t="s">
        <v>1796</v>
      </c>
      <c r="F38" s="2568">
        <f ca="1">INDIRECT("'数据-取费表'!Am"&amp;$G$1)</f>
        <v>0.02</v>
      </c>
      <c r="G38" s="2064"/>
      <c r="H38" s="2079"/>
      <c r="I38" s="843" t="s">
        <v>1817</v>
      </c>
      <c r="J38" s="844"/>
      <c r="K38" s="2085"/>
      <c r="L38" s="2079"/>
      <c r="M38" s="2079"/>
    </row>
    <row r="39" spans="1:18" ht="24.6" customHeight="1" thickTop="1">
      <c r="A39" s="1831" t="s">
        <v>1894</v>
      </c>
      <c r="B39" s="3036" t="s">
        <v>2825</v>
      </c>
      <c r="C39" s="792">
        <f ca="1">C5-C30</f>
        <v>1158</v>
      </c>
      <c r="D39" s="2574" t="s">
        <v>1806</v>
      </c>
      <c r="E39" s="2575"/>
      <c r="F39" s="2576"/>
      <c r="G39" s="2064"/>
      <c r="H39" s="2079"/>
      <c r="I39" s="837" t="s">
        <v>1818</v>
      </c>
      <c r="J39" s="845">
        <f ca="1">ROUND(J35/C39,3)</f>
        <v>1.026</v>
      </c>
      <c r="K39" s="2085"/>
      <c r="L39" s="2079"/>
      <c r="M39" s="2079"/>
    </row>
    <row r="40" spans="1:18" ht="18" customHeight="1">
      <c r="A40" s="781" t="s">
        <v>1895</v>
      </c>
      <c r="B40" s="2234" t="s">
        <v>2303</v>
      </c>
      <c r="C40" s="783">
        <f ca="1">ROUND(C39*(1-((1+F42)/(1+F40))^F41)/(F40-F42),0)</f>
        <v>18016</v>
      </c>
      <c r="D40" s="814" t="s">
        <v>1807</v>
      </c>
      <c r="E40" s="784" t="s">
        <v>2422</v>
      </c>
      <c r="F40" s="794">
        <f ca="1">INDIRECT("'数据-取费表'!I"&amp;$G$1)</f>
        <v>6.5000000000000002E-2</v>
      </c>
      <c r="G40" s="2064"/>
      <c r="H40" s="2064"/>
      <c r="I40" s="837" t="s">
        <v>1819</v>
      </c>
      <c r="J40" s="845">
        <f ca="1">1-J39</f>
        <v>-2.6000000000000023E-2</v>
      </c>
      <c r="K40" s="2085"/>
      <c r="L40" s="2064"/>
      <c r="M40" s="2064"/>
    </row>
    <row r="41" spans="1:18" ht="18" customHeight="1">
      <c r="A41" s="786"/>
      <c r="B41" s="787"/>
      <c r="C41" s="788"/>
      <c r="D41" s="821" t="s">
        <v>1808</v>
      </c>
      <c r="E41" s="784" t="s">
        <v>2971</v>
      </c>
      <c r="F41" s="822">
        <f ca="1">IF(INDIRECT("'数据-取费表'!af"&amp;$G$1)=0,INDIRECT("'数据-取费表'!ae"&amp;$G$1),INDIRECT("'数据-取费表'!af"&amp;$G$1))</f>
        <v>31.29</v>
      </c>
      <c r="G41" s="2064"/>
      <c r="H41" s="1990"/>
      <c r="I41" s="843" t="s">
        <v>1820</v>
      </c>
      <c r="J41" s="846"/>
      <c r="K41" s="2084"/>
      <c r="L41" s="1990"/>
      <c r="M41" s="1990"/>
    </row>
    <row r="42" spans="1:18" ht="18" customHeight="1">
      <c r="A42" s="790"/>
      <c r="B42" s="791"/>
      <c r="C42" s="792"/>
      <c r="D42" s="816"/>
      <c r="E42" s="784" t="s">
        <v>1809</v>
      </c>
      <c r="F42" s="794">
        <f ca="1">INDIRECT("'数据-取费表'!v"&amp;$G$1)</f>
        <v>1.4999999999999999E-2</v>
      </c>
      <c r="G42" s="2064"/>
      <c r="H42" s="1990"/>
      <c r="I42" s="847" t="s">
        <v>1821</v>
      </c>
      <c r="J42" s="845">
        <f ca="1">ROUND(C13/C40,3)</f>
        <v>0.77600000000000002</v>
      </c>
      <c r="K42" s="2084"/>
      <c r="L42" s="1990"/>
      <c r="M42" s="1990"/>
    </row>
    <row r="43" spans="1:18" ht="18" customHeight="1" thickBot="1">
      <c r="A43" s="823" t="s">
        <v>1787</v>
      </c>
      <c r="B43" s="824" t="s">
        <v>1810</v>
      </c>
      <c r="C43" s="825">
        <f ca="1">ROUND(C40*10000/F43,0)</f>
        <v>6756</v>
      </c>
      <c r="D43" s="826" t="s">
        <v>1811</v>
      </c>
      <c r="E43" s="827" t="s">
        <v>1812</v>
      </c>
      <c r="F43" s="828">
        <f ca="1">INDIRECT("'数据-取费表'!k"&amp;$G$1)</f>
        <v>26666</v>
      </c>
      <c r="G43" s="2064"/>
      <c r="H43" s="1990"/>
      <c r="I43" s="847" t="s">
        <v>1822</v>
      </c>
      <c r="J43" s="848">
        <f ca="1">1-J42</f>
        <v>0.22399999999999998</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600">
        <f ca="1">C67-C40</f>
        <v>-22120</v>
      </c>
      <c r="D46" s="2087"/>
      <c r="E46" s="2087"/>
      <c r="F46" s="2087"/>
      <c r="I46" s="2380" t="s">
        <v>2345</v>
      </c>
      <c r="J46" s="2381"/>
      <c r="K46" s="2382"/>
      <c r="L46" s="2383">
        <f>IF(OR(M47="住宅",D1="土地（套用方法）"),0,IF(L48&gt;J51,L60,J60))</f>
        <v>0</v>
      </c>
      <c r="O46" s="2420" t="s">
        <v>2413</v>
      </c>
      <c r="P46" s="1593"/>
      <c r="Q46" s="1605"/>
      <c r="R46" s="1593"/>
    </row>
    <row r="47" spans="1:18" s="2061" customFormat="1" ht="18" customHeight="1" thickBot="1">
      <c r="A47" s="2374">
        <v>1</v>
      </c>
      <c r="B47" s="2375" t="s">
        <v>634</v>
      </c>
      <c r="C47" s="2600">
        <f ca="1">C48+C52+C54</f>
        <v>0</v>
      </c>
      <c r="D47" s="2087"/>
      <c r="E47" s="2087"/>
      <c r="F47" s="2087"/>
      <c r="I47" s="2384" t="s">
        <v>2346</v>
      </c>
      <c r="J47" s="2389" t="s">
        <v>3030</v>
      </c>
      <c r="K47" s="2390" t="s">
        <v>2352</v>
      </c>
      <c r="L47" s="2391">
        <f ca="1">INDIRECT("'数据-取费表'!d"&amp;$G$1)</f>
        <v>40</v>
      </c>
      <c r="M47" s="1605" t="str">
        <f>IF(ISNUMBER(FIND("住宅",C1)),"住宅","非住宅")</f>
        <v>非住宅</v>
      </c>
      <c r="O47" s="2421" t="s">
        <v>2378</v>
      </c>
      <c r="P47" s="2422" t="s">
        <v>2379</v>
      </c>
      <c r="Q47" s="2423" t="s">
        <v>2380</v>
      </c>
      <c r="R47" s="2422" t="s">
        <v>2381</v>
      </c>
    </row>
    <row r="48" spans="1:18" s="2061" customFormat="1" ht="18" customHeight="1" thickBot="1">
      <c r="A48" s="2668" t="s">
        <v>2540</v>
      </c>
      <c r="B48" s="2669" t="s">
        <v>2541</v>
      </c>
      <c r="C48" s="2376">
        <f ca="1">ROUND(F48*F50*F49*(1-F51)/10000,0)</f>
        <v>0</v>
      </c>
      <c r="D48" s="2377" t="s">
        <v>635</v>
      </c>
      <c r="E48" s="2378" t="s">
        <v>2298</v>
      </c>
      <c r="F48" s="2379"/>
      <c r="G48" s="2092"/>
      <c r="I48" s="2385" t="s">
        <v>2347</v>
      </c>
      <c r="J48" s="2392" t="s">
        <v>2353</v>
      </c>
      <c r="K48" s="2393" t="s">
        <v>2354</v>
      </c>
      <c r="L48" s="2394">
        <f ca="1">INDIRECT("'数据-取费表'!f"&amp;$G$1)</f>
        <v>32.79</v>
      </c>
      <c r="O48" s="2424" t="s">
        <v>2382</v>
      </c>
      <c r="P48" s="2425" t="s">
        <v>2408</v>
      </c>
      <c r="Q48" s="2426">
        <f ca="1">C40+J29</f>
        <v>18016</v>
      </c>
      <c r="R48" s="2425" t="s">
        <v>2383</v>
      </c>
    </row>
    <row r="49" spans="1:18" s="2061" customFormat="1" ht="18" customHeight="1" thickBot="1">
      <c r="A49" s="786"/>
      <c r="B49" s="787"/>
      <c r="C49" s="788"/>
      <c r="D49" s="789"/>
      <c r="E49" s="784" t="s">
        <v>1739</v>
      </c>
      <c r="F49" s="785">
        <f ca="1">F7</f>
        <v>10000</v>
      </c>
      <c r="G49" s="2092"/>
      <c r="H49" s="2095"/>
      <c r="I49" s="2385" t="s">
        <v>2348</v>
      </c>
      <c r="J49" s="2395">
        <v>2020</v>
      </c>
      <c r="K49" s="2396" t="s">
        <v>2355</v>
      </c>
      <c r="L49" s="2397"/>
      <c r="O49" s="2424" t="s">
        <v>2384</v>
      </c>
      <c r="P49" s="2425" t="s">
        <v>2409</v>
      </c>
      <c r="Q49" s="2426" t="str">
        <f ca="1">J60</f>
        <v>0</v>
      </c>
      <c r="R49" s="2425" t="s">
        <v>2385</v>
      </c>
    </row>
    <row r="50" spans="1:18" s="2061" customFormat="1" ht="18" customHeight="1" thickBot="1">
      <c r="A50" s="786"/>
      <c r="B50" s="787"/>
      <c r="C50" s="788"/>
      <c r="D50" s="789"/>
      <c r="E50" s="784" t="s">
        <v>1740</v>
      </c>
      <c r="F50" s="785">
        <f ca="1">F8</f>
        <v>1</v>
      </c>
      <c r="G50" s="2097"/>
      <c r="H50" s="2095"/>
      <c r="I50" s="2385" t="s">
        <v>2349</v>
      </c>
      <c r="J50" s="2398">
        <f>SUMPRODUCT((I63:I65=J47)*(J62:L62=J48)*(J63:L65))</f>
        <v>60</v>
      </c>
      <c r="K50" s="2396" t="s">
        <v>2356</v>
      </c>
      <c r="L50" s="2397"/>
      <c r="O50" s="2427" t="s">
        <v>2386</v>
      </c>
      <c r="P50" s="2425" t="s">
        <v>2410</v>
      </c>
      <c r="Q50" s="2426">
        <f ca="1">C29</f>
        <v>13979</v>
      </c>
      <c r="R50" s="2425" t="s">
        <v>2383</v>
      </c>
    </row>
    <row r="51" spans="1:18" s="2061" customFormat="1" ht="18" customHeight="1" thickBot="1">
      <c r="A51" s="786"/>
      <c r="B51" s="787"/>
      <c r="C51" s="788"/>
      <c r="D51" s="789"/>
      <c r="E51" s="784" t="s">
        <v>639</v>
      </c>
      <c r="F51" s="2373"/>
      <c r="H51" s="2095"/>
      <c r="I51" s="2386" t="s">
        <v>2350</v>
      </c>
      <c r="J51" s="2399">
        <f>IF(J49="",J50,J49+J50-YEAR('数据-取费表'!B2))</f>
        <v>62</v>
      </c>
      <c r="K51" s="2385" t="s">
        <v>2357</v>
      </c>
      <c r="L51" s="2400">
        <f ca="1">ROUND(-PV(INDIRECT("'数据-取费表'!h"&amp;$G$1),L48,(C39-C13*J36),0),0)</f>
        <v>-482</v>
      </c>
      <c r="O51" s="2427" t="s">
        <v>2387</v>
      </c>
      <c r="P51" s="2425" t="s">
        <v>2388</v>
      </c>
      <c r="Q51" s="2428" t="e">
        <f ca="1">J58</f>
        <v>#VALUE!</v>
      </c>
      <c r="R51" s="2429"/>
    </row>
    <row r="52" spans="1:18" s="2061" customFormat="1" ht="18" customHeight="1" thickBot="1">
      <c r="A52" s="781" t="s">
        <v>2539</v>
      </c>
      <c r="B52" s="2520" t="s">
        <v>2462</v>
      </c>
      <c r="C52" s="799">
        <f ca="1">ROUND(IF(F52="押一",C48/12*F11,IF(F52="押二",C48/12*2*F11,IF(F52="押三",C48/12*3*F11,C53*F11))),0)</f>
        <v>0</v>
      </c>
      <c r="D52" s="2527" t="s">
        <v>2982</v>
      </c>
      <c r="E52" s="2524" t="s">
        <v>2467</v>
      </c>
      <c r="F52" s="2647"/>
      <c r="I52" s="2387" t="s">
        <v>2424</v>
      </c>
      <c r="J52" s="2401">
        <v>0.09</v>
      </c>
      <c r="K52" s="2387" t="s">
        <v>2423</v>
      </c>
      <c r="L52" s="2401"/>
      <c r="O52" s="2427" t="s">
        <v>2389</v>
      </c>
      <c r="P52" s="2425" t="s">
        <v>2390</v>
      </c>
      <c r="Q52" s="2428">
        <f>J52</f>
        <v>0.09</v>
      </c>
      <c r="R52" s="2429"/>
    </row>
    <row r="53" spans="1:18" s="2061" customFormat="1" ht="39.75" customHeight="1" thickBot="1">
      <c r="A53" s="786"/>
      <c r="B53" s="2521" t="s">
        <v>2576</v>
      </c>
      <c r="C53" s="2525"/>
      <c r="D53" s="2527"/>
      <c r="E53" s="2524"/>
      <c r="F53" s="800"/>
      <c r="I53" s="2388" t="s">
        <v>2351</v>
      </c>
      <c r="J53" s="2402">
        <f ca="1">IF(M47="住宅",J51,IF(D1="——",MIN(J51,L48),IF(D1="土地（套用方法）",MIN(J51,L48-'数据-取费表'!B20))))</f>
        <v>31.29</v>
      </c>
      <c r="K53" s="3400" t="s">
        <v>2973</v>
      </c>
      <c r="L53" s="3401"/>
      <c r="O53" s="2427" t="s">
        <v>2391</v>
      </c>
      <c r="P53" s="2425" t="s">
        <v>2392</v>
      </c>
      <c r="Q53" s="2426">
        <f ca="1">J53</f>
        <v>31.29</v>
      </c>
      <c r="R53" s="2425" t="s">
        <v>2393</v>
      </c>
    </row>
    <row r="54" spans="1:18" s="2061" customFormat="1" ht="18" customHeight="1" thickBot="1">
      <c r="A54" s="2563" t="s">
        <v>2470</v>
      </c>
      <c r="B54" s="2564" t="s">
        <v>2463</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2394</v>
      </c>
      <c r="P54" s="2425" t="s">
        <v>2411</v>
      </c>
      <c r="Q54" s="2426">
        <f ca="1">Q48+Q49</f>
        <v>18016</v>
      </c>
      <c r="R54" s="2429" t="s">
        <v>2395</v>
      </c>
    </row>
    <row r="55" spans="1:18" s="2061" customFormat="1" ht="18" customHeight="1" thickTop="1" thickBot="1">
      <c r="A55" s="797">
        <v>2</v>
      </c>
      <c r="B55" s="798" t="s">
        <v>643</v>
      </c>
      <c r="C55" s="799">
        <f ca="1">C13</f>
        <v>13979</v>
      </c>
      <c r="D55" s="795"/>
      <c r="E55" s="795"/>
      <c r="F55" s="800"/>
      <c r="I55" s="3129" t="s">
        <v>2358</v>
      </c>
      <c r="J55" s="3128" t="e">
        <f ca="1">ROUND(IF(J47="钢混",J57/J50,1-(1-2%)*(J50-J57)/J50),3)</f>
        <v>#VALUE!</v>
      </c>
      <c r="K55" s="2403" t="s">
        <v>2359</v>
      </c>
      <c r="L55" s="2404"/>
      <c r="O55" s="2430" t="s">
        <v>2414</v>
      </c>
      <c r="P55" s="1593"/>
      <c r="Q55" s="1605"/>
      <c r="R55" s="1593"/>
    </row>
    <row r="56" spans="1:18" s="2061" customFormat="1" ht="42.75" customHeight="1" thickBot="1">
      <c r="A56" s="1651"/>
      <c r="B56" s="2233" t="s">
        <v>2304</v>
      </c>
      <c r="C56" s="53">
        <f ca="1">C29</f>
        <v>13979</v>
      </c>
      <c r="D56" s="2665"/>
      <c r="E56" s="784"/>
      <c r="F56" s="809"/>
      <c r="I56" s="2405" t="s">
        <v>2360</v>
      </c>
      <c r="J56" s="3152" t="s">
        <v>1678</v>
      </c>
      <c r="K56" s="2385" t="s">
        <v>2365</v>
      </c>
      <c r="L56" s="2394" t="str">
        <f ca="1">IF(L48&lt;J51,"——",L48-J51)</f>
        <v>——</v>
      </c>
      <c r="O56" s="2421" t="s">
        <v>2378</v>
      </c>
      <c r="P56" s="2422" t="s">
        <v>2379</v>
      </c>
      <c r="Q56" s="2423" t="s">
        <v>2380</v>
      </c>
      <c r="R56" s="2422" t="s">
        <v>2381</v>
      </c>
    </row>
    <row r="57" spans="1:18" s="2061" customFormat="1" ht="28.5" customHeight="1" thickBot="1">
      <c r="A57" s="797" t="s">
        <v>1748</v>
      </c>
      <c r="B57" s="798" t="s">
        <v>650</v>
      </c>
      <c r="C57" s="799">
        <f ca="1">ROUND(C58+C63+C64+C65,0)</f>
        <v>310</v>
      </c>
      <c r="D57" s="26" t="s">
        <v>1750</v>
      </c>
      <c r="E57" s="2666"/>
      <c r="F57" s="56"/>
      <c r="I57" s="2406" t="s">
        <v>2361</v>
      </c>
      <c r="J57" s="2408" t="str">
        <f ca="1">IF(OR(M47="住宅",J51&lt;L48,J56="是"),"——",J51-L48)</f>
        <v>——</v>
      </c>
      <c r="K57" s="2385" t="s">
        <v>2366</v>
      </c>
      <c r="L57" s="2394" t="str">
        <f ca="1">IF(L48&lt;J51,"——",IF(L55="比较法",L49,IF(L55="基准地价",L50,L51)))</f>
        <v>——</v>
      </c>
      <c r="O57" s="2424" t="s">
        <v>2382</v>
      </c>
      <c r="P57" s="2425" t="s">
        <v>2412</v>
      </c>
      <c r="Q57" s="2426">
        <f ca="1">C40+J29</f>
        <v>18016</v>
      </c>
      <c r="R57" s="2425" t="s">
        <v>2383</v>
      </c>
    </row>
    <row r="58" spans="1:18" s="2061" customFormat="1" ht="28.5" customHeight="1" thickBot="1">
      <c r="A58" s="1650" t="s">
        <v>1824</v>
      </c>
      <c r="B58" s="784" t="s">
        <v>655</v>
      </c>
      <c r="C58" s="53">
        <f ca="1">ROUND(IF(项目基本情况!B11="自然人",C47*F58,C59+C60+C61),1)</f>
        <v>2.7</v>
      </c>
      <c r="D58" s="2664" t="s">
        <v>656</v>
      </c>
      <c r="E58" s="2665" t="s">
        <v>689</v>
      </c>
      <c r="F58" s="810" t="str">
        <f ca="1">IF(项目基本情况!B11="企业","",IF(INDIRECT("'数据-取费表'!c"&amp;$G$1)="住宅",5%,IF(F48*F49*F50/12/(1+'数据-取费表'!C42)&gt;20000,12%,7%)))</f>
        <v/>
      </c>
      <c r="I58" s="2406" t="s">
        <v>2362</v>
      </c>
      <c r="J58" s="3130" t="e">
        <f ca="1">IF(J55&lt;0.4,0.4,J55)</f>
        <v>#VALUE!</v>
      </c>
      <c r="K58" s="2385" t="s">
        <v>2367</v>
      </c>
      <c r="L58" s="2394" t="e">
        <f ca="1">ROUND(POWER(1+L52,L47-L48)*(POWER(1+L52,L48)-1)/(POWER(1+L52,L47)-1),4)</f>
        <v>#DIV/0!</v>
      </c>
      <c r="O58" s="2424" t="s">
        <v>2384</v>
      </c>
      <c r="P58" s="2425" t="s">
        <v>2415</v>
      </c>
      <c r="Q58" s="2426">
        <f ca="1">L60</f>
        <v>0</v>
      </c>
      <c r="R58" s="2429" t="s">
        <v>2417</v>
      </c>
    </row>
    <row r="59" spans="1:18" s="2061" customFormat="1" ht="28.5" customHeight="1" thickBot="1">
      <c r="A59" s="1649" t="s">
        <v>1831</v>
      </c>
      <c r="B59" s="784" t="s">
        <v>659</v>
      </c>
      <c r="C59" s="53">
        <f ca="1">ROUND(C47*F59/1.05,1)</f>
        <v>0</v>
      </c>
      <c r="D59" s="2665" t="s">
        <v>1756</v>
      </c>
      <c r="E59" s="784" t="s">
        <v>1747</v>
      </c>
      <c r="F59" s="809">
        <f t="shared" ref="F59:F65" si="0">F32</f>
        <v>5.6000000000000001E-2</v>
      </c>
      <c r="I59" s="2406" t="s">
        <v>2363</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2386</v>
      </c>
      <c r="P59" s="2425" t="s">
        <v>2416</v>
      </c>
      <c r="Q59" s="2426">
        <f>IF(L55="比较法",L49,IF(L55="基准地价",L50,0))</f>
        <v>0</v>
      </c>
      <c r="R59" s="2425" t="s">
        <v>2383</v>
      </c>
    </row>
    <row r="60" spans="1:18" s="2061" customFormat="1" ht="18" customHeight="1" thickBot="1">
      <c r="A60" s="1649" t="s">
        <v>1832</v>
      </c>
      <c r="B60" s="784" t="s">
        <v>1758</v>
      </c>
      <c r="C60" s="53">
        <f ca="1">IF(D60="按租金收入计税",ROUND(C47*F60,1),IF(D60="按房产原值计税",ROUND(C56*F60*0.7,1),INDIRECT("'数据-取费表'!Aj"&amp;$G$1)))</f>
        <v>0</v>
      </c>
      <c r="D60" s="2665" t="str">
        <f>D33</f>
        <v>按租金收入计税</v>
      </c>
      <c r="E60" s="784" t="s">
        <v>1747</v>
      </c>
      <c r="F60" s="809">
        <f t="shared" si="0"/>
        <v>0.12</v>
      </c>
      <c r="I60" s="2407" t="s">
        <v>2364</v>
      </c>
      <c r="J60" s="2409" t="str">
        <f ca="1">IF(OR(M47="住宅",J51&lt;L48,J56="是"),"0",ROUND(J59/(1+J52)^J53,0))</f>
        <v>0</v>
      </c>
      <c r="K60" s="2410" t="s">
        <v>2369</v>
      </c>
      <c r="L60" s="2409">
        <f ca="1">IF(OR(M47="住宅",L48&lt;J51),0,ROUND(L57*(L58/L59-1),0))</f>
        <v>0</v>
      </c>
      <c r="O60" s="2427" t="s">
        <v>2387</v>
      </c>
      <c r="P60" s="2425" t="s">
        <v>2396</v>
      </c>
      <c r="Q60" s="2428">
        <f>L52</f>
        <v>0</v>
      </c>
      <c r="R60" s="2429"/>
    </row>
    <row r="61" spans="1:18" s="2061" customFormat="1" ht="18" customHeight="1" thickBot="1">
      <c r="A61" s="1652" t="s">
        <v>1833</v>
      </c>
      <c r="B61" s="341" t="s">
        <v>667</v>
      </c>
      <c r="C61" s="54">
        <f ca="1">ROUND(F61*F62/10000,1)</f>
        <v>2.7</v>
      </c>
      <c r="D61" s="814" t="s">
        <v>668</v>
      </c>
      <c r="E61" s="784" t="s">
        <v>669</v>
      </c>
      <c r="F61" s="640">
        <f t="shared" si="0"/>
        <v>4</v>
      </c>
      <c r="K61" s="2088"/>
      <c r="O61" s="2427" t="s">
        <v>2389</v>
      </c>
      <c r="P61" s="2425" t="s">
        <v>2397</v>
      </c>
      <c r="Q61" s="2426" t="e">
        <f ca="1">L58</f>
        <v>#DIV/0!</v>
      </c>
      <c r="R61" s="2429" t="s">
        <v>2398</v>
      </c>
    </row>
    <row r="62" spans="1:18" s="2061" customFormat="1" ht="15.75" thickBot="1">
      <c r="A62" s="815"/>
      <c r="B62" s="793"/>
      <c r="C62" s="69"/>
      <c r="D62" s="816"/>
      <c r="E62" s="784" t="s">
        <v>673</v>
      </c>
      <c r="F62" s="785">
        <f t="shared" ca="1" si="0"/>
        <v>6666.4</v>
      </c>
      <c r="I62" s="2411" t="s">
        <v>2370</v>
      </c>
      <c r="J62" s="2412" t="s">
        <v>2371</v>
      </c>
      <c r="K62" s="2412" t="s">
        <v>2372</v>
      </c>
      <c r="L62" s="2412" t="s">
        <v>2353</v>
      </c>
      <c r="M62" s="3131" t="s">
        <v>2948</v>
      </c>
      <c r="O62" s="2427" t="s">
        <v>2391</v>
      </c>
      <c r="P62" s="2425" t="str">
        <f>K59</f>
        <v>建设期及建筑物耐用年限下的土地年期修正系数Kn</v>
      </c>
      <c r="Q62" s="2426" t="e">
        <f ca="1">L59</f>
        <v>#DIV/0!</v>
      </c>
      <c r="R62" s="2429" t="s">
        <v>2400</v>
      </c>
    </row>
    <row r="63" spans="1:18" s="2061" customFormat="1" ht="15.75" thickBot="1">
      <c r="A63" s="1650" t="s">
        <v>1889</v>
      </c>
      <c r="B63" s="784" t="s">
        <v>675</v>
      </c>
      <c r="C63" s="53">
        <f ca="1">ROUND(C56*F63,1)</f>
        <v>279.60000000000002</v>
      </c>
      <c r="D63" s="2665" t="s">
        <v>1803</v>
      </c>
      <c r="E63" s="784" t="s">
        <v>1747</v>
      </c>
      <c r="F63" s="817">
        <f t="shared" ca="1" si="0"/>
        <v>0.02</v>
      </c>
      <c r="I63" s="2411" t="s">
        <v>2373</v>
      </c>
      <c r="J63" s="2412">
        <v>70</v>
      </c>
      <c r="K63" s="2412">
        <v>50</v>
      </c>
      <c r="L63" s="2412">
        <v>80</v>
      </c>
      <c r="M63" s="3132">
        <v>0.02</v>
      </c>
      <c r="O63" s="2424" t="s">
        <v>2394</v>
      </c>
      <c r="P63" s="2425" t="s">
        <v>2411</v>
      </c>
      <c r="Q63" s="2426">
        <f ca="1">Q57+Q58</f>
        <v>18016</v>
      </c>
      <c r="R63" s="2429" t="s">
        <v>2395</v>
      </c>
    </row>
    <row r="64" spans="1:18" s="2061" customFormat="1" ht="16.5" thickBot="1">
      <c r="A64" s="1650" t="s">
        <v>1890</v>
      </c>
      <c r="B64" s="784" t="s">
        <v>678</v>
      </c>
      <c r="C64" s="53">
        <f ca="1">ROUND(C55*F64,1)</f>
        <v>28</v>
      </c>
      <c r="D64" s="2665" t="s">
        <v>679</v>
      </c>
      <c r="E64" s="784" t="s">
        <v>1747</v>
      </c>
      <c r="F64" s="818">
        <f t="shared" ca="1" si="0"/>
        <v>2E-3</v>
      </c>
      <c r="I64" s="2411" t="s">
        <v>2374</v>
      </c>
      <c r="J64" s="2412">
        <v>50</v>
      </c>
      <c r="K64" s="2412">
        <v>35</v>
      </c>
      <c r="L64" s="2412">
        <v>60</v>
      </c>
      <c r="M64" s="3133">
        <v>0</v>
      </c>
      <c r="O64" s="2430" t="s">
        <v>2418</v>
      </c>
      <c r="P64" s="1593"/>
      <c r="Q64" s="1605"/>
      <c r="R64" s="1593"/>
    </row>
    <row r="65" spans="1:18" s="2061" customFormat="1" ht="15.75" thickBot="1">
      <c r="A65" s="1650" t="s">
        <v>1891</v>
      </c>
      <c r="B65" s="784" t="s">
        <v>665</v>
      </c>
      <c r="C65" s="53">
        <f ca="1">ROUND(C47*F65,1)</f>
        <v>0</v>
      </c>
      <c r="D65" s="2665" t="s">
        <v>682</v>
      </c>
      <c r="E65" s="784" t="s">
        <v>1747</v>
      </c>
      <c r="F65" s="794">
        <f t="shared" ca="1" si="0"/>
        <v>0.02</v>
      </c>
      <c r="I65" s="2411" t="s">
        <v>2375</v>
      </c>
      <c r="J65" s="2412">
        <v>40</v>
      </c>
      <c r="K65" s="2412">
        <v>30</v>
      </c>
      <c r="L65" s="2412">
        <v>50</v>
      </c>
      <c r="M65" s="3132">
        <v>0.02</v>
      </c>
      <c r="O65" s="2421" t="s">
        <v>2378</v>
      </c>
      <c r="P65" s="2422" t="s">
        <v>2379</v>
      </c>
      <c r="Q65" s="2423" t="s">
        <v>2380</v>
      </c>
      <c r="R65" s="2422" t="s">
        <v>2381</v>
      </c>
    </row>
    <row r="66" spans="1:18" s="2061" customFormat="1" ht="24.75" thickBot="1">
      <c r="A66" s="797" t="s">
        <v>1776</v>
      </c>
      <c r="B66" s="3037" t="s">
        <v>2825</v>
      </c>
      <c r="C66" s="799">
        <f ca="1">C47-C57</f>
        <v>-310</v>
      </c>
      <c r="D66" s="2664" t="s">
        <v>699</v>
      </c>
      <c r="E66" s="2663"/>
      <c r="F66" s="820"/>
      <c r="K66" s="2088"/>
      <c r="O66" s="2424" t="s">
        <v>2382</v>
      </c>
      <c r="P66" s="2425" t="s">
        <v>2412</v>
      </c>
      <c r="Q66" s="2426">
        <f ca="1">C40+J29</f>
        <v>18016</v>
      </c>
      <c r="R66" s="2425" t="s">
        <v>2383</v>
      </c>
    </row>
    <row r="67" spans="1:18" s="2061" customFormat="1" ht="20.25" thickBot="1">
      <c r="A67" s="781" t="s">
        <v>1780</v>
      </c>
      <c r="B67" s="2234" t="s">
        <v>2303</v>
      </c>
      <c r="C67" s="783">
        <f ca="1">ROUND(C66*(1-((1+F69)/(1+F67))^F68)/(F67-F69),0)</f>
        <v>-4104</v>
      </c>
      <c r="D67" s="814" t="s">
        <v>703</v>
      </c>
      <c r="E67" s="784" t="s">
        <v>704</v>
      </c>
      <c r="F67" s="794">
        <f ca="1">F40</f>
        <v>6.5000000000000002E-2</v>
      </c>
      <c r="K67" s="2088"/>
      <c r="O67" s="2424" t="s">
        <v>2384</v>
      </c>
      <c r="P67" s="2425" t="s">
        <v>2415</v>
      </c>
      <c r="Q67" s="2426">
        <f ca="1">L60</f>
        <v>0</v>
      </c>
      <c r="R67" s="2429" t="s">
        <v>2417</v>
      </c>
    </row>
    <row r="68" spans="1:18" ht="21.75" thickBot="1">
      <c r="A68" s="786"/>
      <c r="B68" s="787"/>
      <c r="C68" s="788"/>
      <c r="D68" s="821" t="s">
        <v>1808</v>
      </c>
      <c r="E68" s="784" t="s">
        <v>1784</v>
      </c>
      <c r="F68" s="822">
        <f ca="1">F41</f>
        <v>31.29</v>
      </c>
      <c r="O68" s="2427" t="s">
        <v>2386</v>
      </c>
      <c r="P68" s="2425" t="s">
        <v>2416</v>
      </c>
      <c r="Q68" s="2431">
        <f ca="1">L51</f>
        <v>-482</v>
      </c>
      <c r="R68" s="2432" t="s">
        <v>2419</v>
      </c>
    </row>
    <row r="69" spans="1:18" ht="20.25" thickBot="1">
      <c r="A69" s="790"/>
      <c r="B69" s="791"/>
      <c r="C69" s="792"/>
      <c r="D69" s="816"/>
      <c r="E69" s="784" t="s">
        <v>709</v>
      </c>
      <c r="F69" s="2373"/>
      <c r="O69" s="2427" t="s">
        <v>2387</v>
      </c>
      <c r="P69" s="2433" t="s">
        <v>2401</v>
      </c>
      <c r="Q69" s="2426">
        <f ca="1">ROUND(Q70-Q71*Q72,0)</f>
        <v>-30</v>
      </c>
      <c r="R69" s="2429"/>
    </row>
    <row r="70" spans="1:18" ht="15.75" thickBot="1">
      <c r="A70" s="823" t="s">
        <v>1787</v>
      </c>
      <c r="B70" s="824" t="s">
        <v>1810</v>
      </c>
      <c r="C70" s="825">
        <f ca="1">ROUND(C67*10000/F70,0)</f>
        <v>-1539</v>
      </c>
      <c r="D70" s="826" t="s">
        <v>1811</v>
      </c>
      <c r="E70" s="827" t="s">
        <v>1812</v>
      </c>
      <c r="F70" s="828">
        <f ca="1">F43</f>
        <v>26666</v>
      </c>
      <c r="O70" s="2427" t="s">
        <v>2402</v>
      </c>
      <c r="P70" s="2433" t="s">
        <v>2403</v>
      </c>
      <c r="Q70" s="2426">
        <f ca="1">C39</f>
        <v>1158</v>
      </c>
      <c r="R70" s="2425" t="s">
        <v>2383</v>
      </c>
    </row>
    <row r="71" spans="1:18" ht="15.75" thickBot="1">
      <c r="O71" s="2427" t="s">
        <v>2404</v>
      </c>
      <c r="P71" s="2433" t="s">
        <v>2405</v>
      </c>
      <c r="Q71" s="2426">
        <f ca="1">C13</f>
        <v>13979</v>
      </c>
      <c r="R71" s="2425" t="s">
        <v>2383</v>
      </c>
    </row>
    <row r="72" spans="1:18" ht="15.75" thickBot="1">
      <c r="O72" s="2427" t="s">
        <v>2406</v>
      </c>
      <c r="P72" s="2433" t="s">
        <v>2407</v>
      </c>
      <c r="Q72" s="2428">
        <f ca="1">J36</f>
        <v>8.5000000000000006E-2</v>
      </c>
      <c r="R72" s="2429"/>
    </row>
    <row r="73" spans="1:18" ht="15.75" thickBot="1">
      <c r="O73" s="2427" t="s">
        <v>2389</v>
      </c>
      <c r="P73" s="2425" t="s">
        <v>2396</v>
      </c>
      <c r="Q73" s="2428">
        <f>L52</f>
        <v>0</v>
      </c>
      <c r="R73" s="2429"/>
    </row>
    <row r="74" spans="1:18" ht="20.25" thickBot="1">
      <c r="O74" s="2427" t="s">
        <v>2391</v>
      </c>
      <c r="P74" s="2425" t="s">
        <v>2397</v>
      </c>
      <c r="Q74" s="2426" t="e">
        <f ca="1">L58</f>
        <v>#DIV/0!</v>
      </c>
      <c r="R74" s="2429" t="s">
        <v>2398</v>
      </c>
    </row>
    <row r="75" spans="1:18" ht="15.75" thickBot="1">
      <c r="O75" s="2427" t="s">
        <v>2420</v>
      </c>
      <c r="P75" s="2425" t="str">
        <f>K59</f>
        <v>建设期及建筑物耐用年限下的土地年期修正系数Kn</v>
      </c>
      <c r="Q75" s="2426" t="e">
        <f ca="1">L59</f>
        <v>#DIV/0!</v>
      </c>
      <c r="R75" s="2429" t="s">
        <v>2400</v>
      </c>
    </row>
    <row r="76" spans="1:18" ht="15.75" thickBot="1">
      <c r="O76" s="2424" t="s">
        <v>2394</v>
      </c>
      <c r="P76" s="2425" t="s">
        <v>2411</v>
      </c>
      <c r="Q76" s="2426">
        <f ca="1">Q66+Q67</f>
        <v>18016</v>
      </c>
      <c r="R76" s="242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0"/>
  <sheetViews>
    <sheetView workbookViewId="0">
      <selection activeCell="E26" sqref="E26:G26"/>
    </sheetView>
  </sheetViews>
  <sheetFormatPr defaultRowHeight="13.5"/>
  <cols>
    <col min="1" max="1" width="10.5" customWidth="1"/>
    <col min="2" max="2" width="12.875" customWidth="1"/>
    <col min="3" max="3" width="8.75" customWidth="1"/>
  </cols>
  <sheetData>
    <row r="1" spans="1:9" ht="14.25">
      <c r="A1" s="3406" t="s">
        <v>2474</v>
      </c>
      <c r="B1" s="3407"/>
      <c r="C1" s="3408"/>
      <c r="D1" s="3409">
        <f>SUM(I10,I15,I20,I21,I23)</f>
        <v>2426</v>
      </c>
      <c r="E1" s="3409"/>
      <c r="F1" s="3409"/>
      <c r="G1" s="3409"/>
      <c r="H1" s="3409"/>
      <c r="I1" s="3410"/>
    </row>
    <row r="2" spans="1:9">
      <c r="A2" s="3411" t="s">
        <v>2475</v>
      </c>
      <c r="B2" s="3412" t="s">
        <v>2476</v>
      </c>
      <c r="C2" s="3412"/>
      <c r="D2" s="2533" t="s">
        <v>2477</v>
      </c>
      <c r="E2" s="2533" t="s">
        <v>2478</v>
      </c>
      <c r="F2" s="2533" t="s">
        <v>2479</v>
      </c>
      <c r="G2" s="2533" t="s">
        <v>2480</v>
      </c>
      <c r="H2" s="2533" t="s">
        <v>2481</v>
      </c>
      <c r="I2" s="2534" t="s">
        <v>2482</v>
      </c>
    </row>
    <row r="3" spans="1:9">
      <c r="A3" s="3411"/>
      <c r="B3" s="3412" t="s">
        <v>2483</v>
      </c>
      <c r="C3" s="3412"/>
      <c r="D3" s="2535"/>
      <c r="E3" s="2533"/>
      <c r="F3" s="2536"/>
      <c r="G3" s="2536"/>
      <c r="H3" s="2537"/>
      <c r="I3" s="2538">
        <f>ROUND(D3*E3*F3*G3*H3/10000,0)</f>
        <v>0</v>
      </c>
    </row>
    <row r="4" spans="1:9">
      <c r="A4" s="3411"/>
      <c r="B4" s="3412" t="s">
        <v>2484</v>
      </c>
      <c r="C4" s="3412"/>
      <c r="D4" s="2535">
        <v>2</v>
      </c>
      <c r="E4" s="2533">
        <v>2000</v>
      </c>
      <c r="F4" s="2536">
        <v>0.8</v>
      </c>
      <c r="G4" s="2536">
        <v>0.3</v>
      </c>
      <c r="H4" s="2537">
        <v>365</v>
      </c>
      <c r="I4" s="2538">
        <f t="shared" ref="I4:I9" si="0">ROUND(D4*E4*F4*G4*H4/10000,0)</f>
        <v>35</v>
      </c>
    </row>
    <row r="5" spans="1:9">
      <c r="A5" s="3411"/>
      <c r="B5" s="3412" t="s">
        <v>2485</v>
      </c>
      <c r="C5" s="3412"/>
      <c r="D5" s="2535"/>
      <c r="E5" s="2533"/>
      <c r="F5" s="2536"/>
      <c r="G5" s="2536"/>
      <c r="H5" s="2537"/>
      <c r="I5" s="2538">
        <f t="shared" si="0"/>
        <v>0</v>
      </c>
    </row>
    <row r="6" spans="1:9">
      <c r="A6" s="3411"/>
      <c r="B6" s="3412" t="s">
        <v>2486</v>
      </c>
      <c r="C6" s="3412"/>
      <c r="D6" s="2535">
        <v>180</v>
      </c>
      <c r="E6" s="2533">
        <v>400</v>
      </c>
      <c r="F6" s="2536">
        <v>0.9</v>
      </c>
      <c r="G6" s="2536">
        <v>0.65</v>
      </c>
      <c r="H6" s="2537">
        <v>365</v>
      </c>
      <c r="I6" s="2538">
        <f>ROUND(D6*E6*F6*G6*H6/10000,0)</f>
        <v>1537</v>
      </c>
    </row>
    <row r="7" spans="1:9">
      <c r="A7" s="3411"/>
      <c r="B7" s="3412" t="s">
        <v>2487</v>
      </c>
      <c r="C7" s="3412"/>
      <c r="D7" s="2535"/>
      <c r="E7" s="2533"/>
      <c r="F7" s="2536"/>
      <c r="G7" s="2536"/>
      <c r="H7" s="2537"/>
      <c r="I7" s="2538">
        <f t="shared" si="0"/>
        <v>0</v>
      </c>
    </row>
    <row r="8" spans="1:9">
      <c r="A8" s="3411"/>
      <c r="B8" s="3412" t="s">
        <v>2488</v>
      </c>
      <c r="C8" s="3412"/>
      <c r="D8" s="2535"/>
      <c r="E8" s="2533"/>
      <c r="F8" s="2536"/>
      <c r="G8" s="2536"/>
      <c r="H8" s="2537"/>
      <c r="I8" s="2538">
        <f t="shared" si="0"/>
        <v>0</v>
      </c>
    </row>
    <row r="9" spans="1:9">
      <c r="A9" s="3411"/>
      <c r="B9" s="3412" t="s">
        <v>2489</v>
      </c>
      <c r="C9" s="3412"/>
      <c r="D9" s="2535"/>
      <c r="E9" s="2533">
        <v>0</v>
      </c>
      <c r="F9" s="2536"/>
      <c r="G9" s="2536"/>
      <c r="H9" s="2537"/>
      <c r="I9" s="2538">
        <f t="shared" si="0"/>
        <v>0</v>
      </c>
    </row>
    <row r="10" spans="1:9">
      <c r="A10" s="3411"/>
      <c r="B10" s="3413" t="s">
        <v>2490</v>
      </c>
      <c r="C10" s="3413"/>
      <c r="D10" s="2539">
        <v>527</v>
      </c>
      <c r="E10" s="2539" t="e">
        <f>ROUND(D1*10000/D10/H9,0)</f>
        <v>#DIV/0!</v>
      </c>
      <c r="F10" s="2540"/>
      <c r="G10" s="2540"/>
      <c r="H10" s="2541"/>
      <c r="I10" s="2542">
        <f>SUM(I3:I9)</f>
        <v>1572</v>
      </c>
    </row>
    <row r="11" spans="1:9" ht="14.25">
      <c r="A11" s="3411" t="s">
        <v>2491</v>
      </c>
      <c r="B11" s="3412" t="s">
        <v>2492</v>
      </c>
      <c r="C11" s="3412"/>
      <c r="D11" s="2535" t="s">
        <v>2493</v>
      </c>
      <c r="E11" s="2535" t="s">
        <v>2494</v>
      </c>
      <c r="F11" s="2536" t="s">
        <v>2495</v>
      </c>
      <c r="G11" s="2536" t="s">
        <v>2496</v>
      </c>
      <c r="H11" s="2543" t="s">
        <v>2497</v>
      </c>
      <c r="I11" s="2534" t="s">
        <v>2498</v>
      </c>
    </row>
    <row r="12" spans="1:9">
      <c r="A12" s="3411"/>
      <c r="B12" s="3412" t="s">
        <v>2499</v>
      </c>
      <c r="C12" s="3412"/>
      <c r="D12" s="2535">
        <v>100</v>
      </c>
      <c r="E12" s="2535">
        <v>300</v>
      </c>
      <c r="F12" s="2536">
        <v>0.6</v>
      </c>
      <c r="G12" s="2537">
        <v>365</v>
      </c>
      <c r="H12" s="2544"/>
      <c r="I12" s="2534">
        <f>ROUND(D12*E12*F12*G12/10000,0)</f>
        <v>657</v>
      </c>
    </row>
    <row r="13" spans="1:9">
      <c r="A13" s="3411"/>
      <c r="B13" s="3412" t="s">
        <v>2500</v>
      </c>
      <c r="C13" s="3412"/>
      <c r="D13" s="2535"/>
      <c r="E13" s="2535"/>
      <c r="F13" s="2536"/>
      <c r="G13" s="2537"/>
      <c r="H13" s="2544"/>
      <c r="I13" s="2534">
        <f>ROUND(D13*E13*F13*G13/10000,0)</f>
        <v>0</v>
      </c>
    </row>
    <row r="14" spans="1:9">
      <c r="A14" s="3411"/>
      <c r="B14" s="3412" t="s">
        <v>2501</v>
      </c>
      <c r="C14" s="3412"/>
      <c r="D14" s="2535"/>
      <c r="E14" s="2535"/>
      <c r="F14" s="2536"/>
      <c r="G14" s="2537"/>
      <c r="H14" s="2544"/>
      <c r="I14" s="2534">
        <f>ROUND(D14*E14*F14*G14/10000,0)</f>
        <v>0</v>
      </c>
    </row>
    <row r="15" spans="1:9">
      <c r="A15" s="3411"/>
      <c r="B15" s="3413" t="s">
        <v>2490</v>
      </c>
      <c r="C15" s="3413"/>
      <c r="D15" s="2539"/>
      <c r="E15" s="2539">
        <f>SUM(E12:E14)</f>
        <v>300</v>
      </c>
      <c r="F15" s="2540"/>
      <c r="G15" s="2537"/>
      <c r="H15" s="2544"/>
      <c r="I15" s="2545">
        <f>SUM(I12:I14)</f>
        <v>657</v>
      </c>
    </row>
    <row r="16" spans="1:9" ht="24">
      <c r="A16" s="3411" t="s">
        <v>2502</v>
      </c>
      <c r="B16" s="3412" t="s">
        <v>2503</v>
      </c>
      <c r="C16" s="3412"/>
      <c r="D16" s="2535" t="s">
        <v>2504</v>
      </c>
      <c r="E16" s="2546" t="s">
        <v>2505</v>
      </c>
      <c r="F16" s="2536" t="s">
        <v>2506</v>
      </c>
      <c r="G16" s="2537" t="s">
        <v>2496</v>
      </c>
      <c r="H16" s="2543" t="s">
        <v>2497</v>
      </c>
      <c r="I16" s="2534" t="s">
        <v>2498</v>
      </c>
    </row>
    <row r="17" spans="1:9" ht="14.25">
      <c r="A17" s="3411"/>
      <c r="B17" s="3412" t="s">
        <v>2507</v>
      </c>
      <c r="C17" s="3412"/>
      <c r="D17" s="2535">
        <v>1</v>
      </c>
      <c r="E17" s="2535">
        <v>2000</v>
      </c>
      <c r="F17" s="2536">
        <v>0.3</v>
      </c>
      <c r="G17" s="2537">
        <v>365</v>
      </c>
      <c r="H17" s="2547"/>
      <c r="I17" s="2548">
        <f>ROUND(D17*E17*F17*G17/10000,0)</f>
        <v>22</v>
      </c>
    </row>
    <row r="18" spans="1:9" ht="14.25">
      <c r="A18" s="3411"/>
      <c r="B18" s="3412" t="s">
        <v>2508</v>
      </c>
      <c r="C18" s="3412"/>
      <c r="D18" s="2535">
        <v>2</v>
      </c>
      <c r="E18" s="2535">
        <v>500</v>
      </c>
      <c r="F18" s="2536">
        <v>0.5</v>
      </c>
      <c r="G18" s="2537">
        <v>365</v>
      </c>
      <c r="H18" s="2547"/>
      <c r="I18" s="2548">
        <f>ROUND(D18*E18*F18*G18/10000,0)</f>
        <v>18</v>
      </c>
    </row>
    <row r="19" spans="1:9" ht="14.25">
      <c r="A19" s="3411"/>
      <c r="B19" s="3412" t="s">
        <v>2509</v>
      </c>
      <c r="C19" s="3412"/>
      <c r="D19" s="2535"/>
      <c r="E19" s="2535"/>
      <c r="F19" s="2536"/>
      <c r="G19" s="2537"/>
      <c r="H19" s="2547"/>
      <c r="I19" s="2548">
        <f>ROUND(D19*E19*F19*G19/10000,0)</f>
        <v>0</v>
      </c>
    </row>
    <row r="20" spans="1:9">
      <c r="A20" s="3411"/>
      <c r="B20" s="3413" t="s">
        <v>2490</v>
      </c>
      <c r="C20" s="3413"/>
      <c r="D20" s="2539">
        <f>SUM(D17:D19)</f>
        <v>3</v>
      </c>
      <c r="E20" s="2539"/>
      <c r="F20" s="2540"/>
      <c r="G20" s="2537"/>
      <c r="H20" s="2544"/>
      <c r="I20" s="2545">
        <f>SUM(I17:I19)</f>
        <v>40</v>
      </c>
    </row>
    <row r="21" spans="1:9">
      <c r="A21" s="3411" t="s">
        <v>2510</v>
      </c>
      <c r="B21" s="3415"/>
      <c r="C21" s="3415"/>
      <c r="D21" s="3415"/>
      <c r="E21" s="3415"/>
      <c r="F21" s="3415"/>
      <c r="G21" s="3415"/>
      <c r="H21" s="2549">
        <v>0.1</v>
      </c>
      <c r="I21" s="2542">
        <f>ROUND(I10*H21,0)</f>
        <v>157</v>
      </c>
    </row>
    <row r="22" spans="1:9" ht="14.25">
      <c r="A22" s="3416" t="s">
        <v>2511</v>
      </c>
      <c r="B22" s="3417"/>
      <c r="C22" s="3418"/>
      <c r="D22" s="2550" t="s">
        <v>2512</v>
      </c>
      <c r="E22" s="2550" t="s">
        <v>2513</v>
      </c>
      <c r="F22" s="2551" t="s">
        <v>2514</v>
      </c>
      <c r="G22" s="2551" t="s">
        <v>2515</v>
      </c>
      <c r="H22" s="2543" t="s">
        <v>2516</v>
      </c>
      <c r="I22" s="2534" t="s">
        <v>2517</v>
      </c>
    </row>
    <row r="23" spans="1:9" ht="14.25" thickBot="1">
      <c r="A23" s="3419"/>
      <c r="B23" s="3420"/>
      <c r="C23" s="3421"/>
      <c r="D23" s="2552"/>
      <c r="E23" s="2552"/>
      <c r="F23" s="2552"/>
      <c r="G23" s="2553"/>
      <c r="H23" s="2554"/>
      <c r="I23" s="2555">
        <f>ROUND(E23*D23*F23*(1-G23)/10000,0)</f>
        <v>0</v>
      </c>
    </row>
    <row r="26" spans="1:9">
      <c r="A26" s="2556" t="s">
        <v>2518</v>
      </c>
      <c r="B26" s="2556"/>
      <c r="C26" s="2556"/>
      <c r="D26" s="2556"/>
      <c r="E26" s="3422">
        <f>C27-C30-C31-C32</f>
        <v>1819.5000000000002</v>
      </c>
      <c r="F26" s="3422"/>
      <c r="G26" s="3422"/>
      <c r="H26" s="3070" t="s">
        <v>2846</v>
      </c>
    </row>
    <row r="27" spans="1:9">
      <c r="A27" s="2557">
        <v>1</v>
      </c>
      <c r="B27" s="2558" t="s">
        <v>2519</v>
      </c>
      <c r="C27" s="2558">
        <f>D1</f>
        <v>2426</v>
      </c>
      <c r="D27" s="2558"/>
      <c r="E27" s="3423"/>
      <c r="F27" s="3423"/>
      <c r="G27" s="3423"/>
    </row>
    <row r="28" spans="1:9">
      <c r="A28" s="2559" t="s">
        <v>2520</v>
      </c>
      <c r="B28" s="2558" t="s">
        <v>2521</v>
      </c>
      <c r="C28" s="2558"/>
      <c r="D28" s="2558"/>
      <c r="E28" s="3423"/>
      <c r="F28" s="3423"/>
      <c r="G28" s="3423"/>
    </row>
    <row r="29" spans="1:9">
      <c r="A29" s="2559" t="s">
        <v>2522</v>
      </c>
      <c r="B29" s="2558" t="s">
        <v>2463</v>
      </c>
      <c r="C29" s="2558"/>
      <c r="D29" s="2558"/>
      <c r="E29" s="2558" t="s">
        <v>2523</v>
      </c>
      <c r="F29" s="2558"/>
      <c r="G29" s="2558"/>
    </row>
    <row r="30" spans="1:9">
      <c r="A30" s="2557">
        <v>2</v>
      </c>
      <c r="B30" s="2558" t="s">
        <v>2524</v>
      </c>
      <c r="C30" s="2558">
        <f>C27*D30</f>
        <v>242.60000000000002</v>
      </c>
      <c r="D30" s="2560">
        <v>0.1</v>
      </c>
      <c r="E30" s="2558" t="s">
        <v>2525</v>
      </c>
      <c r="F30" s="2558"/>
      <c r="G30" s="2558"/>
    </row>
    <row r="31" spans="1:9">
      <c r="A31" s="2557">
        <v>3</v>
      </c>
      <c r="B31" s="2558" t="s">
        <v>2526</v>
      </c>
      <c r="C31" s="2558">
        <f>C27*D31</f>
        <v>242.60000000000002</v>
      </c>
      <c r="D31" s="2560">
        <v>0.1</v>
      </c>
      <c r="E31" s="2558" t="s">
        <v>2527</v>
      </c>
      <c r="F31" s="2558"/>
      <c r="G31" s="2558"/>
    </row>
    <row r="32" spans="1:9">
      <c r="A32" s="2557">
        <v>4</v>
      </c>
      <c r="B32" s="2558" t="s">
        <v>2528</v>
      </c>
      <c r="C32" s="2558">
        <f>C27*D32</f>
        <v>121.30000000000001</v>
      </c>
      <c r="D32" s="2560">
        <v>0.05</v>
      </c>
      <c r="E32" s="3414"/>
      <c r="F32" s="3414"/>
      <c r="G32" s="3414"/>
    </row>
    <row r="33" spans="1:7" hidden="1">
      <c r="A33" s="3424" t="s">
        <v>2529</v>
      </c>
      <c r="B33" s="3425"/>
      <c r="C33" s="3425"/>
      <c r="D33" s="3426"/>
      <c r="E33" s="3422"/>
      <c r="F33" s="3422"/>
      <c r="G33" s="3422"/>
    </row>
    <row r="34" spans="1:7" hidden="1">
      <c r="A34" s="2561">
        <v>1</v>
      </c>
      <c r="B34" s="2558" t="s">
        <v>2530</v>
      </c>
      <c r="C34" s="2558"/>
      <c r="D34" s="2558"/>
      <c r="E34" s="3423"/>
      <c r="F34" s="3423"/>
      <c r="G34" s="3423"/>
    </row>
    <row r="35" spans="1:7" hidden="1">
      <c r="A35" s="2561">
        <v>2</v>
      </c>
      <c r="B35" s="2558" t="s">
        <v>2531</v>
      </c>
      <c r="C35" s="2558"/>
      <c r="D35" s="2558"/>
      <c r="E35" s="3423"/>
      <c r="F35" s="3423"/>
      <c r="G35" s="3423"/>
    </row>
    <row r="36" spans="1:7" hidden="1">
      <c r="A36" s="2561">
        <v>3</v>
      </c>
      <c r="B36" s="2558" t="s">
        <v>2532</v>
      </c>
      <c r="C36" s="2558"/>
      <c r="D36" s="2558"/>
      <c r="E36" s="3423"/>
      <c r="F36" s="3423"/>
      <c r="G36" s="3423"/>
    </row>
    <row r="37" spans="1:7" hidden="1">
      <c r="A37" s="2561">
        <v>4</v>
      </c>
      <c r="B37" s="2558" t="s">
        <v>2533</v>
      </c>
      <c r="C37" s="2558"/>
      <c r="D37" s="2558"/>
      <c r="E37" s="3423"/>
      <c r="F37" s="3423"/>
      <c r="G37" s="3423"/>
    </row>
    <row r="38" spans="1:7" hidden="1">
      <c r="A38" s="3424" t="s">
        <v>2534</v>
      </c>
      <c r="B38" s="3425"/>
      <c r="C38" s="3425"/>
      <c r="D38" s="3426"/>
      <c r="E38" s="3422"/>
      <c r="F38" s="3422"/>
      <c r="G38" s="3422"/>
    </row>
    <row r="39" spans="1:7">
      <c r="E39">
        <f>E26/365*10000</f>
        <v>49849.315068493161</v>
      </c>
    </row>
    <row r="40" spans="1:7">
      <c r="E40">
        <f>E39/E6</f>
        <v>124.6232876712329</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49" t="s">
        <v>718</v>
      </c>
      <c r="C1" s="2650" t="s">
        <v>719</v>
      </c>
      <c r="D1" s="2651"/>
      <c r="E1" s="2652"/>
      <c r="F1" s="2833"/>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721</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66" t="s">
        <v>522</v>
      </c>
      <c r="D4" s="3367"/>
      <c r="E4" s="3430" t="s">
        <v>523</v>
      </c>
      <c r="F4" s="3431"/>
      <c r="G4" s="3366" t="s">
        <v>524</v>
      </c>
      <c r="H4" s="3367"/>
      <c r="I4" s="3366" t="s">
        <v>525</v>
      </c>
      <c r="J4" s="3367"/>
      <c r="K4" s="853" t="s">
        <v>526</v>
      </c>
      <c r="L4" s="2135"/>
      <c r="M4" s="2136"/>
      <c r="N4" s="2136"/>
      <c r="O4" s="2136"/>
      <c r="P4" s="3368" t="s">
        <v>527</v>
      </c>
      <c r="Q4" s="3369"/>
      <c r="R4" s="3374" t="s">
        <v>523</v>
      </c>
      <c r="S4" s="3375"/>
      <c r="T4" s="3374" t="s">
        <v>524</v>
      </c>
      <c r="U4" s="3375"/>
      <c r="V4" s="3361" t="s">
        <v>525</v>
      </c>
      <c r="W4" s="3361"/>
      <c r="X4" s="1568"/>
      <c r="Y4" s="3374" t="s">
        <v>527</v>
      </c>
      <c r="Z4" s="3375"/>
      <c r="AA4" s="3363" t="s">
        <v>523</v>
      </c>
      <c r="AB4" s="3363" t="s">
        <v>524</v>
      </c>
      <c r="AC4" s="3363" t="s">
        <v>525</v>
      </c>
    </row>
    <row r="5" spans="1:29" ht="15">
      <c r="A5" s="515"/>
      <c r="B5" s="516"/>
      <c r="C5" s="3384" t="s">
        <v>2933</v>
      </c>
      <c r="D5" s="3383"/>
      <c r="E5" s="3435" t="s">
        <v>2934</v>
      </c>
      <c r="F5" s="3436"/>
      <c r="G5" s="3384" t="s">
        <v>2935</v>
      </c>
      <c r="H5" s="3383"/>
      <c r="I5" s="3384" t="s">
        <v>2936</v>
      </c>
      <c r="J5" s="3383"/>
      <c r="K5" s="854"/>
      <c r="L5" s="2135"/>
      <c r="M5" s="2136"/>
      <c r="N5" s="2136"/>
      <c r="O5" s="2136"/>
      <c r="P5" s="3370"/>
      <c r="Q5" s="3371"/>
      <c r="R5" s="3376"/>
      <c r="S5" s="3377"/>
      <c r="T5" s="3376"/>
      <c r="U5" s="3377"/>
      <c r="V5" s="3361"/>
      <c r="W5" s="3361"/>
      <c r="X5" s="1568"/>
      <c r="Y5" s="3376"/>
      <c r="Z5" s="3377"/>
      <c r="AA5" s="3364"/>
      <c r="AB5" s="3364"/>
      <c r="AC5" s="3364"/>
    </row>
    <row r="6" spans="1:29" ht="15.75" thickBot="1">
      <c r="A6" s="517"/>
      <c r="B6" s="518"/>
      <c r="C6" s="3432" t="s">
        <v>2937</v>
      </c>
      <c r="D6" s="3381"/>
      <c r="E6" s="3433" t="s">
        <v>2937</v>
      </c>
      <c r="F6" s="3434"/>
      <c r="G6" s="3432" t="s">
        <v>2937</v>
      </c>
      <c r="H6" s="3381"/>
      <c r="I6" s="3432" t="s">
        <v>2937</v>
      </c>
      <c r="J6" s="3381"/>
      <c r="K6" s="854" t="s">
        <v>528</v>
      </c>
      <c r="L6" s="2135"/>
      <c r="M6" s="2136"/>
      <c r="N6" s="2136"/>
      <c r="O6" s="2136"/>
      <c r="P6" s="3372"/>
      <c r="Q6" s="3373"/>
      <c r="R6" s="3376"/>
      <c r="S6" s="3377"/>
      <c r="T6" s="3378"/>
      <c r="U6" s="3379"/>
      <c r="V6" s="3361"/>
      <c r="W6" s="3361"/>
      <c r="X6" s="1568"/>
      <c r="Y6" s="3378"/>
      <c r="Z6" s="3379"/>
      <c r="AA6" s="3365"/>
      <c r="AB6" s="3365"/>
      <c r="AC6" s="3365"/>
    </row>
    <row r="7" spans="1:29" s="1220" customFormat="1" ht="15.75" thickBot="1">
      <c r="A7" s="2938"/>
      <c r="B7" s="2945" t="s">
        <v>529</v>
      </c>
      <c r="C7" s="519">
        <f>'数据-取费表'!B2</f>
        <v>43215</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93" t="s">
        <v>530</v>
      </c>
      <c r="Q7" s="3395"/>
      <c r="R7" s="1569" t="s">
        <v>13</v>
      </c>
      <c r="S7" s="1570">
        <f t="shared" ref="S7:S15" si="0">F7</f>
        <v>0</v>
      </c>
      <c r="T7" s="1569" t="s">
        <v>13</v>
      </c>
      <c r="U7" s="1570">
        <f t="shared" ref="U7:U15" si="1">H7</f>
        <v>0</v>
      </c>
      <c r="V7" s="1569" t="s">
        <v>13</v>
      </c>
      <c r="W7" s="1570">
        <f t="shared" ref="W7:W15" si="2">J7</f>
        <v>0</v>
      </c>
      <c r="X7" s="1571"/>
      <c r="Y7" s="3393" t="s">
        <v>530</v>
      </c>
      <c r="Z7" s="3394"/>
      <c r="AA7" s="1572" t="e">
        <f>D7/F7</f>
        <v>#DIV/0!</v>
      </c>
      <c r="AB7" s="1572" t="e">
        <f>D7/H7</f>
        <v>#DIV/0!</v>
      </c>
      <c r="AC7" s="1572" t="e">
        <f>D7/J7</f>
        <v>#DIV/0!</v>
      </c>
    </row>
    <row r="8" spans="1:29" s="1220" customFormat="1" ht="15.75" thickBot="1">
      <c r="A8" s="2939"/>
      <c r="B8" s="2946" t="s">
        <v>531</v>
      </c>
      <c r="C8" s="525" t="s">
        <v>575</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93" t="s">
        <v>533</v>
      </c>
      <c r="Q8" s="3394"/>
      <c r="R8" s="1569" t="s">
        <v>13</v>
      </c>
      <c r="S8" s="1570">
        <f t="shared" si="0"/>
        <v>0</v>
      </c>
      <c r="T8" s="1569" t="s">
        <v>13</v>
      </c>
      <c r="U8" s="1570">
        <f t="shared" si="1"/>
        <v>0</v>
      </c>
      <c r="V8" s="1569" t="s">
        <v>13</v>
      </c>
      <c r="W8" s="1570">
        <f t="shared" si="2"/>
        <v>0</v>
      </c>
      <c r="X8" s="1571"/>
      <c r="Y8" s="3393" t="s">
        <v>533</v>
      </c>
      <c r="Z8" s="3394"/>
      <c r="AA8" s="1572" t="e">
        <f t="shared" ref="AA8:AA46" si="3">D8/F8</f>
        <v>#DIV/0!</v>
      </c>
      <c r="AB8" s="1572" t="e">
        <f t="shared" ref="AB8:AB46" si="4">D8/H8</f>
        <v>#DIV/0!</v>
      </c>
      <c r="AC8" s="1572" t="e">
        <f t="shared" ref="AC8:AC46" si="5">D8/J8</f>
        <v>#DIV/0!</v>
      </c>
    </row>
    <row r="9" spans="1:29" s="1220" customFormat="1" ht="15">
      <c r="A9" s="2940"/>
      <c r="B9" s="2947" t="s">
        <v>2759</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60" t="s">
        <v>535</v>
      </c>
      <c r="Q9" s="1151" t="str">
        <f t="shared" ref="Q9:Q15" si="6">B9</f>
        <v>用途</v>
      </c>
      <c r="R9" s="1569" t="s">
        <v>8</v>
      </c>
      <c r="S9" s="1570">
        <f t="shared" si="0"/>
        <v>100</v>
      </c>
      <c r="T9" s="1569" t="s">
        <v>8</v>
      </c>
      <c r="U9" s="1570">
        <f t="shared" si="1"/>
        <v>100</v>
      </c>
      <c r="V9" s="1569" t="s">
        <v>8</v>
      </c>
      <c r="W9" s="1570">
        <f t="shared" si="2"/>
        <v>100</v>
      </c>
      <c r="X9" s="1571"/>
      <c r="Y9" s="3306" t="s">
        <v>536</v>
      </c>
      <c r="Z9" s="1150" t="str">
        <f t="shared" ref="Z9:Z15" si="7">Q9</f>
        <v>用途</v>
      </c>
      <c r="AA9" s="1572">
        <f t="shared" si="3"/>
        <v>1</v>
      </c>
      <c r="AB9" s="1572">
        <f t="shared" si="4"/>
        <v>1</v>
      </c>
      <c r="AC9" s="1572">
        <f t="shared" si="5"/>
        <v>1</v>
      </c>
    </row>
    <row r="10" spans="1:29" s="1338" customFormat="1" ht="27">
      <c r="A10" s="2941"/>
      <c r="B10" s="2946" t="s">
        <v>2760</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60"/>
      <c r="Q10" s="1151" t="str">
        <f t="shared" si="6"/>
        <v>土地使用年限（年）</v>
      </c>
      <c r="R10" s="1569" t="s">
        <v>8</v>
      </c>
      <c r="S10" s="1570">
        <f t="shared" si="0"/>
        <v>100</v>
      </c>
      <c r="T10" s="1569" t="s">
        <v>8</v>
      </c>
      <c r="U10" s="1570">
        <f t="shared" si="1"/>
        <v>100</v>
      </c>
      <c r="V10" s="1569" t="s">
        <v>8</v>
      </c>
      <c r="W10" s="1570">
        <f t="shared" si="2"/>
        <v>100</v>
      </c>
      <c r="X10" s="1571"/>
      <c r="Y10" s="3306"/>
      <c r="Z10" s="1150" t="str">
        <f t="shared" si="7"/>
        <v>土地使用年限（年）</v>
      </c>
      <c r="AA10" s="1572">
        <f t="shared" si="3"/>
        <v>1</v>
      </c>
      <c r="AB10" s="1572">
        <f t="shared" si="4"/>
        <v>1</v>
      </c>
      <c r="AC10" s="1572">
        <f t="shared" si="5"/>
        <v>1</v>
      </c>
    </row>
    <row r="11" spans="1:29" ht="15">
      <c r="A11" s="2942"/>
      <c r="B11" s="2946"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60"/>
      <c r="Q11" s="1151" t="str">
        <f t="shared" si="6"/>
        <v>容积率</v>
      </c>
      <c r="R11" s="1569" t="s">
        <v>11</v>
      </c>
      <c r="S11" s="1570" t="e">
        <f t="shared" si="0"/>
        <v>#N/A</v>
      </c>
      <c r="T11" s="1569" t="s">
        <v>11</v>
      </c>
      <c r="U11" s="1570" t="e">
        <f t="shared" si="1"/>
        <v>#N/A</v>
      </c>
      <c r="V11" s="1569" t="s">
        <v>11</v>
      </c>
      <c r="W11" s="1570" t="e">
        <f t="shared" si="2"/>
        <v>#N/A</v>
      </c>
      <c r="X11" s="1571"/>
      <c r="Y11" s="330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0"/>
      <c r="Q12" s="1151">
        <f t="shared" si="6"/>
        <v>111</v>
      </c>
      <c r="R12" s="1569" t="s">
        <v>11</v>
      </c>
      <c r="S12" s="1570">
        <f t="shared" si="0"/>
        <v>100</v>
      </c>
      <c r="T12" s="1569" t="s">
        <v>11</v>
      </c>
      <c r="U12" s="1570">
        <f t="shared" si="1"/>
        <v>100</v>
      </c>
      <c r="V12" s="1569" t="s">
        <v>11</v>
      </c>
      <c r="W12" s="1570">
        <f t="shared" si="2"/>
        <v>100</v>
      </c>
      <c r="X12" s="1571"/>
      <c r="Y12" s="3306"/>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0"/>
      <c r="Q13" s="1151">
        <f t="shared" si="6"/>
        <v>111</v>
      </c>
      <c r="R13" s="1569" t="s">
        <v>11</v>
      </c>
      <c r="S13" s="1570">
        <f t="shared" si="0"/>
        <v>100</v>
      </c>
      <c r="T13" s="1569" t="s">
        <v>11</v>
      </c>
      <c r="U13" s="1570">
        <f t="shared" si="1"/>
        <v>100</v>
      </c>
      <c r="V13" s="1569" t="s">
        <v>11</v>
      </c>
      <c r="W13" s="1570">
        <f t="shared" si="2"/>
        <v>100</v>
      </c>
      <c r="X13" s="1571"/>
      <c r="Y13" s="3306"/>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0"/>
      <c r="Q14" s="1151">
        <f t="shared" si="6"/>
        <v>111</v>
      </c>
      <c r="R14" s="1569" t="s">
        <v>11</v>
      </c>
      <c r="S14" s="1570">
        <f t="shared" si="0"/>
        <v>100</v>
      </c>
      <c r="T14" s="1569" t="s">
        <v>11</v>
      </c>
      <c r="U14" s="1570">
        <f t="shared" si="1"/>
        <v>100</v>
      </c>
      <c r="V14" s="1569" t="s">
        <v>11</v>
      </c>
      <c r="W14" s="1570">
        <f t="shared" si="2"/>
        <v>100</v>
      </c>
      <c r="X14" s="1571"/>
      <c r="Y14" s="3306"/>
      <c r="Z14" s="1150">
        <f t="shared" si="7"/>
        <v>111</v>
      </c>
      <c r="AA14" s="1572">
        <f t="shared" si="3"/>
        <v>1</v>
      </c>
      <c r="AB14" s="1572">
        <f t="shared" si="4"/>
        <v>1</v>
      </c>
      <c r="AC14" s="1572">
        <f t="shared" si="5"/>
        <v>1</v>
      </c>
    </row>
    <row r="15" spans="1:29" ht="99.75">
      <c r="A15" s="2936"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96" t="s">
        <v>540</v>
      </c>
      <c r="Q15" s="1573" t="str">
        <f t="shared" si="6"/>
        <v>居住社区成熟度</v>
      </c>
      <c r="R15" s="1574" t="s">
        <v>11</v>
      </c>
      <c r="S15" s="1575">
        <f t="shared" si="0"/>
        <v>100</v>
      </c>
      <c r="T15" s="1574" t="s">
        <v>11</v>
      </c>
      <c r="U15" s="1575">
        <f t="shared" si="1"/>
        <v>100</v>
      </c>
      <c r="V15" s="1574" t="s">
        <v>11</v>
      </c>
      <c r="W15" s="1575">
        <f t="shared" si="2"/>
        <v>100</v>
      </c>
      <c r="X15" s="1568"/>
      <c r="Y15" s="3396"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97"/>
      <c r="Q16" s="1573"/>
      <c r="R16" s="1574"/>
      <c r="S16" s="1575"/>
      <c r="T16" s="1574"/>
      <c r="U16" s="1575"/>
      <c r="V16" s="1574"/>
      <c r="W16" s="1575"/>
      <c r="X16" s="1568"/>
      <c r="Y16" s="339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97"/>
      <c r="Q17" s="1573" t="str">
        <f>B17</f>
        <v>交通便捷度</v>
      </c>
      <c r="R17" s="1574" t="s">
        <v>11</v>
      </c>
      <c r="S17" s="1575">
        <f>F17</f>
        <v>100</v>
      </c>
      <c r="T17" s="1574" t="s">
        <v>11</v>
      </c>
      <c r="U17" s="1575">
        <f>H17</f>
        <v>100</v>
      </c>
      <c r="V17" s="1574" t="s">
        <v>11</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97"/>
      <c r="Q18" s="1573"/>
      <c r="R18" s="1574"/>
      <c r="S18" s="1575"/>
      <c r="T18" s="1574"/>
      <c r="U18" s="1575"/>
      <c r="V18" s="1574"/>
      <c r="W18" s="1575"/>
      <c r="X18" s="1568"/>
      <c r="Y18" s="3397"/>
      <c r="Z18" s="1576"/>
      <c r="AA18" s="1577">
        <v>1</v>
      </c>
      <c r="AB18" s="1577">
        <v>1</v>
      </c>
      <c r="AC18" s="1577">
        <v>1</v>
      </c>
    </row>
    <row r="19" spans="1:29" ht="42.75">
      <c r="A19" s="532"/>
      <c r="B19" s="2626"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97"/>
      <c r="Q19" s="1573" t="str">
        <f>B19</f>
        <v>公共配套设施</v>
      </c>
      <c r="R19" s="1574" t="s">
        <v>11</v>
      </c>
      <c r="S19" s="1575">
        <f>F19</f>
        <v>100</v>
      </c>
      <c r="T19" s="1574" t="s">
        <v>11</v>
      </c>
      <c r="U19" s="1575">
        <f>H19</f>
        <v>100</v>
      </c>
      <c r="V19" s="1574" t="s">
        <v>11</v>
      </c>
      <c r="W19" s="1575">
        <f>J19</f>
        <v>100</v>
      </c>
      <c r="X19" s="1568"/>
      <c r="Y19" s="339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97"/>
      <c r="Q20" s="1573"/>
      <c r="R20" s="1574"/>
      <c r="S20" s="1575"/>
      <c r="T20" s="1574"/>
      <c r="U20" s="1575"/>
      <c r="V20" s="1574"/>
      <c r="W20" s="1575"/>
      <c r="X20" s="1568"/>
      <c r="Y20" s="3397"/>
      <c r="Z20" s="1576"/>
      <c r="AA20" s="1577">
        <v>1</v>
      </c>
      <c r="AB20" s="1577">
        <v>1</v>
      </c>
      <c r="AC20" s="1577">
        <v>1</v>
      </c>
    </row>
    <row r="21" spans="1:29" ht="28.5">
      <c r="A21" s="532"/>
      <c r="B21" s="2619"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97"/>
      <c r="Q21" s="2605" t="str">
        <f>B21</f>
        <v>基础设施水平</v>
      </c>
      <c r="R21" s="1574" t="s">
        <v>11</v>
      </c>
      <c r="S21" s="1575">
        <f>F21</f>
        <v>100</v>
      </c>
      <c r="T21" s="1574" t="s">
        <v>11</v>
      </c>
      <c r="U21" s="1575">
        <f>H21</f>
        <v>100</v>
      </c>
      <c r="V21" s="1574" t="s">
        <v>11</v>
      </c>
      <c r="W21" s="1575">
        <f>J21</f>
        <v>100</v>
      </c>
      <c r="X21" s="2607"/>
      <c r="Y21" s="3397"/>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397"/>
      <c r="Q22" s="2605"/>
      <c r="R22" s="1574"/>
      <c r="S22" s="1575"/>
      <c r="T22" s="1574"/>
      <c r="U22" s="1575"/>
      <c r="V22" s="1574"/>
      <c r="W22" s="1575"/>
      <c r="X22" s="2607"/>
      <c r="Y22" s="3397"/>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97"/>
      <c r="Q23" s="1573" t="str">
        <f>B23</f>
        <v>自然及人文环境</v>
      </c>
      <c r="R23" s="1574" t="s">
        <v>11</v>
      </c>
      <c r="S23" s="1575">
        <f>F23</f>
        <v>100</v>
      </c>
      <c r="T23" s="1574" t="s">
        <v>11</v>
      </c>
      <c r="U23" s="1575">
        <f>H23</f>
        <v>100</v>
      </c>
      <c r="V23" s="1574" t="s">
        <v>11</v>
      </c>
      <c r="W23" s="1575">
        <f>J23</f>
        <v>100</v>
      </c>
      <c r="X23" s="1568"/>
      <c r="Y23" s="339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97"/>
      <c r="Q24" s="1573"/>
      <c r="R24" s="1574"/>
      <c r="S24" s="1575"/>
      <c r="T24" s="1574"/>
      <c r="U24" s="1575"/>
      <c r="V24" s="1574"/>
      <c r="W24" s="1575"/>
      <c r="X24" s="1568"/>
      <c r="Y24" s="3397"/>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97"/>
      <c r="Q25" s="1573" t="str">
        <f t="shared" ref="Q25:Q46" si="11">B25</f>
        <v>楼层-1</v>
      </c>
      <c r="R25" s="1574" t="s">
        <v>11</v>
      </c>
      <c r="S25" s="1575">
        <f>F25</f>
        <v>100</v>
      </c>
      <c r="T25" s="1574" t="s">
        <v>11</v>
      </c>
      <c r="U25" s="1575">
        <f>H25</f>
        <v>100</v>
      </c>
      <c r="V25" s="1574" t="s">
        <v>11</v>
      </c>
      <c r="W25" s="1575">
        <f>J25</f>
        <v>100</v>
      </c>
      <c r="X25" s="1568"/>
      <c r="Y25" s="3397"/>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97"/>
      <c r="Q26" s="1573" t="str">
        <f t="shared" si="11"/>
        <v>朝向</v>
      </c>
      <c r="R26" s="1574" t="s">
        <v>11</v>
      </c>
      <c r="S26" s="1575">
        <f>F26</f>
        <v>100</v>
      </c>
      <c r="T26" s="1574" t="s">
        <v>11</v>
      </c>
      <c r="U26" s="1575">
        <f>H26</f>
        <v>100</v>
      </c>
      <c r="V26" s="1574" t="s">
        <v>11</v>
      </c>
      <c r="W26" s="1575">
        <f>J26</f>
        <v>100</v>
      </c>
      <c r="X26" s="1568"/>
      <c r="Y26" s="3397"/>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7"/>
      <c r="Q27" s="1151" t="str">
        <f t="shared" si="11"/>
        <v>道路级别</v>
      </c>
      <c r="R27" s="1569" t="s">
        <v>11</v>
      </c>
      <c r="S27" s="1570">
        <f>F27</f>
        <v>100</v>
      </c>
      <c r="T27" s="1569" t="s">
        <v>11</v>
      </c>
      <c r="U27" s="1570">
        <f>H27</f>
        <v>100</v>
      </c>
      <c r="V27" s="1569" t="s">
        <v>11</v>
      </c>
      <c r="W27" s="1570">
        <f>J27</f>
        <v>100</v>
      </c>
      <c r="X27" s="1571"/>
      <c r="Y27" s="339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7"/>
      <c r="Q29" s="1573">
        <f t="shared" si="11"/>
        <v>111</v>
      </c>
      <c r="R29" s="1574" t="s">
        <v>11</v>
      </c>
      <c r="S29" s="1575">
        <f t="shared" si="12"/>
        <v>100</v>
      </c>
      <c r="T29" s="1574" t="s">
        <v>11</v>
      </c>
      <c r="U29" s="1575">
        <f t="shared" si="13"/>
        <v>100</v>
      </c>
      <c r="V29" s="1574" t="s">
        <v>11</v>
      </c>
      <c r="W29" s="1575">
        <f t="shared" si="14"/>
        <v>100</v>
      </c>
      <c r="X29" s="1568"/>
      <c r="Y29" s="339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7"/>
      <c r="Q30" s="1573">
        <f t="shared" si="11"/>
        <v>111</v>
      </c>
      <c r="R30" s="1574" t="s">
        <v>11</v>
      </c>
      <c r="S30" s="1575">
        <f t="shared" si="12"/>
        <v>100</v>
      </c>
      <c r="T30" s="1574" t="s">
        <v>11</v>
      </c>
      <c r="U30" s="1575">
        <f t="shared" si="13"/>
        <v>100</v>
      </c>
      <c r="V30" s="1574" t="s">
        <v>11</v>
      </c>
      <c r="W30" s="1575">
        <f t="shared" si="14"/>
        <v>100</v>
      </c>
      <c r="X30" s="1568"/>
      <c r="Y30" s="339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7"/>
      <c r="Q31" s="1573">
        <f t="shared" si="11"/>
        <v>111</v>
      </c>
      <c r="R31" s="1574" t="s">
        <v>11</v>
      </c>
      <c r="S31" s="1575">
        <f t="shared" si="12"/>
        <v>100</v>
      </c>
      <c r="T31" s="1574" t="s">
        <v>11</v>
      </c>
      <c r="U31" s="1575">
        <f t="shared" si="13"/>
        <v>100</v>
      </c>
      <c r="V31" s="1574" t="s">
        <v>11</v>
      </c>
      <c r="W31" s="1575">
        <f t="shared" si="14"/>
        <v>100</v>
      </c>
      <c r="X31" s="1568"/>
      <c r="Y31" s="3397"/>
      <c r="Z31" s="1576">
        <f t="shared" si="15"/>
        <v>111</v>
      </c>
      <c r="AA31" s="1577">
        <f t="shared" si="3"/>
        <v>1</v>
      </c>
      <c r="AB31" s="1577">
        <f t="shared" si="4"/>
        <v>1</v>
      </c>
      <c r="AC31" s="1577">
        <f t="shared" si="5"/>
        <v>1</v>
      </c>
    </row>
    <row r="32" spans="1:29" ht="15">
      <c r="A32" s="2933" t="s">
        <v>2758</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98" t="s">
        <v>549</v>
      </c>
      <c r="Q32" s="1573" t="str">
        <f t="shared" si="11"/>
        <v>建筑类型</v>
      </c>
      <c r="R32" s="1574" t="s">
        <v>11</v>
      </c>
      <c r="S32" s="1575">
        <f t="shared" si="12"/>
        <v>100</v>
      </c>
      <c r="T32" s="1574" t="s">
        <v>11</v>
      </c>
      <c r="U32" s="1575">
        <f t="shared" si="13"/>
        <v>100</v>
      </c>
      <c r="V32" s="1574" t="s">
        <v>11</v>
      </c>
      <c r="W32" s="1575">
        <f t="shared" si="14"/>
        <v>100</v>
      </c>
      <c r="X32" s="1568"/>
      <c r="Y32" s="3399" t="s">
        <v>549</v>
      </c>
      <c r="Z32" s="1576" t="str">
        <f t="shared" si="15"/>
        <v>建筑类型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99"/>
      <c r="Q33" s="1606" t="str">
        <f t="shared" si="11"/>
        <v>项目建筑规模</v>
      </c>
      <c r="R33" s="1578" t="s">
        <v>11</v>
      </c>
      <c r="S33" s="1579" t="e">
        <f t="shared" si="12"/>
        <v>#N/A</v>
      </c>
      <c r="T33" s="1578" t="s">
        <v>11</v>
      </c>
      <c r="U33" s="1579" t="e">
        <f t="shared" si="13"/>
        <v>#N/A</v>
      </c>
      <c r="V33" s="1578" t="s">
        <v>11</v>
      </c>
      <c r="W33" s="1579" t="e">
        <f t="shared" si="14"/>
        <v>#N/A</v>
      </c>
      <c r="X33" s="1580"/>
      <c r="Y33" s="3399"/>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99"/>
      <c r="Q34" s="1573" t="str">
        <f t="shared" si="11"/>
        <v>建筑结构</v>
      </c>
      <c r="R34" s="1574" t="s">
        <v>11</v>
      </c>
      <c r="S34" s="1575">
        <f t="shared" si="12"/>
        <v>100</v>
      </c>
      <c r="T34" s="1574" t="s">
        <v>11</v>
      </c>
      <c r="U34" s="1575">
        <f t="shared" si="13"/>
        <v>100</v>
      </c>
      <c r="V34" s="1574" t="s">
        <v>11</v>
      </c>
      <c r="W34" s="1575">
        <f t="shared" si="14"/>
        <v>100</v>
      </c>
      <c r="X34" s="1568"/>
      <c r="Y34" s="3399"/>
      <c r="Z34" s="1576" t="str">
        <f t="shared" si="15"/>
        <v>建筑结构</v>
      </c>
      <c r="AA34" s="1577">
        <f t="shared" si="3"/>
        <v>1</v>
      </c>
      <c r="AB34" s="1577">
        <f t="shared" si="4"/>
        <v>1</v>
      </c>
      <c r="AC34" s="1577">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99"/>
      <c r="Q35" s="1573" t="str">
        <f t="shared" si="11"/>
        <v>建筑品质</v>
      </c>
      <c r="R35" s="1574" t="s">
        <v>11</v>
      </c>
      <c r="S35" s="1575">
        <f t="shared" si="12"/>
        <v>100</v>
      </c>
      <c r="T35" s="1574" t="s">
        <v>11</v>
      </c>
      <c r="U35" s="1575">
        <f t="shared" si="13"/>
        <v>100</v>
      </c>
      <c r="V35" s="1574" t="s">
        <v>11</v>
      </c>
      <c r="W35" s="1575">
        <f t="shared" si="14"/>
        <v>100</v>
      </c>
      <c r="X35" s="1568"/>
      <c r="Y35" s="3399"/>
      <c r="Z35" s="1576" t="str">
        <f t="shared" si="15"/>
        <v>建筑品质</v>
      </c>
      <c r="AA35" s="1577">
        <f t="shared" si="3"/>
        <v>1</v>
      </c>
      <c r="AB35" s="1577">
        <f t="shared" si="4"/>
        <v>1</v>
      </c>
      <c r="AC35" s="1577">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99"/>
      <c r="Q36" s="1573" t="str">
        <f t="shared" si="11"/>
        <v>公共部分装修</v>
      </c>
      <c r="R36" s="1574" t="s">
        <v>11</v>
      </c>
      <c r="S36" s="1575">
        <f t="shared" si="12"/>
        <v>100</v>
      </c>
      <c r="T36" s="1574" t="s">
        <v>11</v>
      </c>
      <c r="U36" s="1575">
        <f t="shared" si="13"/>
        <v>100</v>
      </c>
      <c r="V36" s="1574" t="s">
        <v>11</v>
      </c>
      <c r="W36" s="1575">
        <f t="shared" si="14"/>
        <v>100</v>
      </c>
      <c r="X36" s="1568"/>
      <c r="Y36" s="3399"/>
      <c r="Z36" s="1576" t="str">
        <f t="shared" si="15"/>
        <v>公共部分装修</v>
      </c>
      <c r="AA36" s="1577">
        <f t="shared" si="3"/>
        <v>1</v>
      </c>
      <c r="AB36" s="1577">
        <f t="shared" si="4"/>
        <v>1</v>
      </c>
      <c r="AC36" s="1577">
        <f t="shared" si="5"/>
        <v>1</v>
      </c>
    </row>
    <row r="37" spans="1:29" s="1220"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99"/>
      <c r="Q37" s="1151" t="str">
        <f t="shared" si="11"/>
        <v>成新度</v>
      </c>
      <c r="R37" s="1569" t="s">
        <v>11</v>
      </c>
      <c r="S37" s="1570" t="e">
        <f t="shared" si="12"/>
        <v>#N/A</v>
      </c>
      <c r="T37" s="1569" t="s">
        <v>11</v>
      </c>
      <c r="U37" s="1570" t="e">
        <f t="shared" si="13"/>
        <v>#N/A</v>
      </c>
      <c r="V37" s="1569" t="s">
        <v>11</v>
      </c>
      <c r="W37" s="1570" t="e">
        <f t="shared" si="14"/>
        <v>#N/A</v>
      </c>
      <c r="X37" s="1571"/>
      <c r="Y37" s="3399"/>
      <c r="Z37" s="1150" t="str">
        <f t="shared" si="15"/>
        <v>成新度</v>
      </c>
      <c r="AA37" s="1572" t="e">
        <f t="shared" si="3"/>
        <v>#N/A</v>
      </c>
      <c r="AB37" s="1572" t="e">
        <f t="shared" si="4"/>
        <v>#N/A</v>
      </c>
      <c r="AC37" s="1572"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99" t="s">
        <v>549</v>
      </c>
      <c r="Q38" s="1573" t="str">
        <f t="shared" si="11"/>
        <v>物业管理</v>
      </c>
      <c r="R38" s="1574" t="s">
        <v>11</v>
      </c>
      <c r="S38" s="1575">
        <f t="shared" si="12"/>
        <v>100</v>
      </c>
      <c r="T38" s="1574" t="s">
        <v>11</v>
      </c>
      <c r="U38" s="1575">
        <f t="shared" si="13"/>
        <v>100</v>
      </c>
      <c r="V38" s="1574" t="s">
        <v>11</v>
      </c>
      <c r="W38" s="1575">
        <f t="shared" si="14"/>
        <v>100</v>
      </c>
      <c r="X38" s="1568"/>
      <c r="Y38" s="3399" t="s">
        <v>549</v>
      </c>
      <c r="Z38" s="1576" t="str">
        <f t="shared" si="15"/>
        <v>物业管理</v>
      </c>
      <c r="AA38" s="1577">
        <f t="shared" si="3"/>
        <v>1</v>
      </c>
      <c r="AB38" s="1577">
        <f t="shared" si="4"/>
        <v>1</v>
      </c>
      <c r="AC38" s="1577">
        <f t="shared" si="5"/>
        <v>1</v>
      </c>
    </row>
    <row r="39" spans="1:29" ht="15">
      <c r="A39" s="594"/>
      <c r="B39" s="1897"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99"/>
      <c r="Q39" s="1573" t="str">
        <f t="shared" si="11"/>
        <v>市政基础设施</v>
      </c>
      <c r="R39" s="1574" t="s">
        <v>11</v>
      </c>
      <c r="S39" s="1575">
        <f t="shared" si="12"/>
        <v>100</v>
      </c>
      <c r="T39" s="1574" t="s">
        <v>11</v>
      </c>
      <c r="U39" s="1575">
        <f t="shared" si="13"/>
        <v>100</v>
      </c>
      <c r="V39" s="1574" t="s">
        <v>11</v>
      </c>
      <c r="W39" s="1575">
        <f t="shared" si="14"/>
        <v>100</v>
      </c>
      <c r="X39" s="1568"/>
      <c r="Y39" s="3399"/>
      <c r="Z39" s="1576" t="str">
        <f t="shared" si="15"/>
        <v>市政基础设施</v>
      </c>
      <c r="AA39" s="1577">
        <f t="shared" si="3"/>
        <v>1</v>
      </c>
      <c r="AB39" s="1577">
        <f t="shared" si="4"/>
        <v>1</v>
      </c>
      <c r="AC39" s="1577">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99"/>
      <c r="Q40" s="1573" t="str">
        <f t="shared" si="11"/>
        <v>房型</v>
      </c>
      <c r="R40" s="1574" t="s">
        <v>11</v>
      </c>
      <c r="S40" s="1575">
        <f t="shared" si="12"/>
        <v>100</v>
      </c>
      <c r="T40" s="1574" t="s">
        <v>11</v>
      </c>
      <c r="U40" s="1575">
        <f t="shared" si="13"/>
        <v>100</v>
      </c>
      <c r="V40" s="1574" t="s">
        <v>11</v>
      </c>
      <c r="W40" s="1575">
        <f t="shared" si="14"/>
        <v>100</v>
      </c>
      <c r="X40" s="1568"/>
      <c r="Y40" s="3399"/>
      <c r="Z40" s="1576" t="str">
        <f t="shared" si="15"/>
        <v>房型</v>
      </c>
      <c r="AA40" s="1577">
        <f t="shared" si="3"/>
        <v>1</v>
      </c>
      <c r="AB40" s="1577">
        <f t="shared" si="4"/>
        <v>1</v>
      </c>
      <c r="AC40" s="1577">
        <f t="shared" si="5"/>
        <v>1</v>
      </c>
    </row>
    <row r="41" spans="1:29" s="1339"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99"/>
      <c r="Q41" s="1606" t="str">
        <f t="shared" si="11"/>
        <v>单套/主力户型建筑面积</v>
      </c>
      <c r="R41" s="1578" t="s">
        <v>11</v>
      </c>
      <c r="S41" s="1579">
        <f t="shared" si="12"/>
        <v>100</v>
      </c>
      <c r="T41" s="1578" t="s">
        <v>11</v>
      </c>
      <c r="U41" s="1579">
        <f t="shared" si="13"/>
        <v>100</v>
      </c>
      <c r="V41" s="1578" t="s">
        <v>11</v>
      </c>
      <c r="W41" s="1579">
        <f t="shared" si="14"/>
        <v>100</v>
      </c>
      <c r="X41" s="1580"/>
      <c r="Y41" s="3399"/>
      <c r="Z41" s="1581" t="str">
        <f t="shared" si="15"/>
        <v>单套/主力户型建筑面积</v>
      </c>
      <c r="AA41" s="1577">
        <f t="shared" si="3"/>
        <v>1</v>
      </c>
      <c r="AB41" s="1577">
        <f t="shared" si="4"/>
        <v>1</v>
      </c>
      <c r="AC41" s="1577">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99"/>
      <c r="Q42" s="1573" t="str">
        <f t="shared" si="11"/>
        <v>内部装修</v>
      </c>
      <c r="R42" s="1574" t="s">
        <v>11</v>
      </c>
      <c r="S42" s="1575">
        <f t="shared" si="12"/>
        <v>100</v>
      </c>
      <c r="T42" s="1574" t="s">
        <v>11</v>
      </c>
      <c r="U42" s="1575">
        <f t="shared" si="13"/>
        <v>100</v>
      </c>
      <c r="V42" s="1574" t="s">
        <v>11</v>
      </c>
      <c r="W42" s="1575">
        <f t="shared" si="14"/>
        <v>100</v>
      </c>
      <c r="X42" s="1568"/>
      <c r="Y42" s="3399"/>
      <c r="Z42" s="1576" t="str">
        <f t="shared" si="15"/>
        <v>内部装修</v>
      </c>
      <c r="AA42" s="1577">
        <f t="shared" si="3"/>
        <v>1</v>
      </c>
      <c r="AB42" s="1577">
        <f t="shared" si="4"/>
        <v>1</v>
      </c>
      <c r="AC42" s="1577">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99"/>
      <c r="Q43" s="1573" t="str">
        <f t="shared" si="11"/>
        <v>内部装修维护情况</v>
      </c>
      <c r="R43" s="1574" t="s">
        <v>11</v>
      </c>
      <c r="S43" s="1575">
        <f t="shared" si="12"/>
        <v>100</v>
      </c>
      <c r="T43" s="1574" t="s">
        <v>11</v>
      </c>
      <c r="U43" s="1575">
        <f t="shared" si="13"/>
        <v>100</v>
      </c>
      <c r="V43" s="1574" t="s">
        <v>11</v>
      </c>
      <c r="W43" s="1575">
        <f t="shared" si="14"/>
        <v>100</v>
      </c>
      <c r="X43" s="1568"/>
      <c r="Y43" s="339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99"/>
      <c r="Q44" s="1151">
        <f t="shared" si="11"/>
        <v>111</v>
      </c>
      <c r="R44" s="1569" t="s">
        <v>11</v>
      </c>
      <c r="S44" s="1570">
        <f t="shared" si="12"/>
        <v>100</v>
      </c>
      <c r="T44" s="1569" t="s">
        <v>11</v>
      </c>
      <c r="U44" s="1570">
        <f t="shared" si="13"/>
        <v>100</v>
      </c>
      <c r="V44" s="1569" t="s">
        <v>11</v>
      </c>
      <c r="W44" s="1570">
        <f t="shared" si="14"/>
        <v>100</v>
      </c>
      <c r="X44" s="1571"/>
      <c r="Y44" s="339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9"/>
      <c r="Q45" s="1573">
        <f t="shared" si="11"/>
        <v>111</v>
      </c>
      <c r="R45" s="1574" t="s">
        <v>11</v>
      </c>
      <c r="S45" s="1575">
        <f t="shared" si="12"/>
        <v>100</v>
      </c>
      <c r="T45" s="1574" t="s">
        <v>11</v>
      </c>
      <c r="U45" s="1575">
        <f t="shared" si="13"/>
        <v>100</v>
      </c>
      <c r="V45" s="1574" t="s">
        <v>11</v>
      </c>
      <c r="W45" s="1575">
        <f t="shared" si="14"/>
        <v>100</v>
      </c>
      <c r="X45" s="1568"/>
      <c r="Y45" s="339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29"/>
      <c r="Q46" s="1573">
        <f t="shared" si="11"/>
        <v>111</v>
      </c>
      <c r="R46" s="1574" t="s">
        <v>10</v>
      </c>
      <c r="S46" s="1575">
        <f t="shared" si="12"/>
        <v>100</v>
      </c>
      <c r="T46" s="1574" t="s">
        <v>10</v>
      </c>
      <c r="U46" s="1575">
        <f t="shared" si="13"/>
        <v>100</v>
      </c>
      <c r="V46" s="1574" t="s">
        <v>10</v>
      </c>
      <c r="W46" s="1575">
        <f t="shared" si="14"/>
        <v>100</v>
      </c>
      <c r="X46" s="1568"/>
      <c r="Y46" s="3429"/>
      <c r="Z46" s="1576">
        <f t="shared" si="15"/>
        <v>111</v>
      </c>
      <c r="AA46" s="1577">
        <f t="shared" si="3"/>
        <v>1</v>
      </c>
      <c r="AB46" s="1577">
        <f t="shared" si="4"/>
        <v>1</v>
      </c>
      <c r="AC46" s="1577">
        <f t="shared" si="5"/>
        <v>1</v>
      </c>
    </row>
    <row r="47" spans="1:29" ht="15">
      <c r="A47" s="607" t="s">
        <v>735</v>
      </c>
      <c r="B47" s="887"/>
      <c r="C47" s="2653" t="s">
        <v>9</v>
      </c>
      <c r="D47" s="2654"/>
      <c r="E47" s="2655"/>
      <c r="F47" s="2656"/>
      <c r="G47" s="2657"/>
      <c r="H47" s="2658"/>
      <c r="I47" s="2655"/>
      <c r="J47" s="2658"/>
      <c r="K47" s="1607"/>
      <c r="L47" s="2146"/>
      <c r="M47" s="2147"/>
      <c r="N47" s="2136"/>
      <c r="O47" s="2147"/>
      <c r="P47" s="3360" t="str">
        <f>A47</f>
        <v>成交单价（元/平方米）</v>
      </c>
      <c r="Q47" s="3360"/>
      <c r="R47" s="3428">
        <f>E47</f>
        <v>0</v>
      </c>
      <c r="S47" s="3428"/>
      <c r="T47" s="3428">
        <f>G47</f>
        <v>0</v>
      </c>
      <c r="U47" s="3428"/>
      <c r="V47" s="3428">
        <f>I47</f>
        <v>0</v>
      </c>
      <c r="W47" s="3428"/>
      <c r="X47" s="1560"/>
      <c r="Y47" s="1582"/>
      <c r="Z47" s="1560"/>
      <c r="AA47" s="1560"/>
      <c r="AB47" s="1560"/>
      <c r="AC47" s="1560"/>
    </row>
    <row r="48" spans="1:29" ht="15.75" thickBot="1">
      <c r="A48" s="615" t="s">
        <v>2763</v>
      </c>
      <c r="B48" s="888"/>
      <c r="C48" s="2659" t="e">
        <f>R49</f>
        <v>#DIV/0!</v>
      </c>
      <c r="D48" s="2660"/>
      <c r="E48" s="2661" t="e">
        <f>R48</f>
        <v>#DIV/0!</v>
      </c>
      <c r="F48" s="2661"/>
      <c r="G48" s="2659" t="e">
        <f>T48</f>
        <v>#DIV/0!</v>
      </c>
      <c r="H48" s="2660"/>
      <c r="I48" s="2661" t="e">
        <f>V48</f>
        <v>#DIV/0!</v>
      </c>
      <c r="J48" s="2660"/>
      <c r="K48" s="1608"/>
      <c r="L48" s="2146"/>
      <c r="M48" s="2147"/>
      <c r="N48" s="2147"/>
      <c r="O48" s="2147"/>
      <c r="P48" s="3360" t="str">
        <f>A48</f>
        <v>比较价格（元/平方米）</v>
      </c>
      <c r="Q48" s="3360"/>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1560"/>
      <c r="Y48" s="1560"/>
      <c r="Z48" s="1560"/>
      <c r="AA48" s="1560"/>
      <c r="AB48" s="1560"/>
      <c r="AC48" s="1560"/>
    </row>
    <row r="49" spans="1:29" ht="15.75" thickBot="1">
      <c r="A49" s="621" t="s">
        <v>2939</v>
      </c>
      <c r="B49" s="622"/>
      <c r="C49" s="2662" t="e">
        <f>R49</f>
        <v>#DIV/0!</v>
      </c>
      <c r="D49" s="2662"/>
      <c r="E49" s="2662"/>
      <c r="F49" s="2662"/>
      <c r="G49" s="2662"/>
      <c r="H49" s="2662"/>
      <c r="I49" s="2662"/>
      <c r="J49" s="2662"/>
      <c r="K49" s="1609"/>
      <c r="L49" s="2146"/>
      <c r="M49" s="2147"/>
      <c r="N49" s="2147"/>
      <c r="O49" s="2147"/>
      <c r="P49" s="3357" t="str">
        <f>A49</f>
        <v>估价对象XX用房的比较价格（楼面单价，元/平方米）</v>
      </c>
      <c r="Q49" s="3358"/>
      <c r="R49" s="3427" t="e">
        <f>IF(F1="售价",ROUND(AVERAGE(R48:V48),0),ROUND(AVERAGE(R48:V48),1))</f>
        <v>#DIV/0!</v>
      </c>
      <c r="S49" s="3427"/>
      <c r="T49" s="3427"/>
      <c r="U49" s="3427"/>
      <c r="V49" s="3427"/>
      <c r="W49" s="342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2018-4</v>
      </c>
      <c r="D58" s="2830">
        <f>EDATE(C58,-1)</f>
        <v>43160</v>
      </c>
      <c r="E58" s="2830">
        <f t="shared" ref="E58:O58" si="16">EDATE(D58,-1)</f>
        <v>43132</v>
      </c>
      <c r="F58" s="2830">
        <f t="shared" si="16"/>
        <v>43101</v>
      </c>
      <c r="G58" s="2830">
        <f t="shared" si="16"/>
        <v>43070</v>
      </c>
      <c r="H58" s="2830">
        <f t="shared" si="16"/>
        <v>43040</v>
      </c>
      <c r="I58" s="2830">
        <f t="shared" si="16"/>
        <v>43009</v>
      </c>
      <c r="J58" s="2830">
        <f t="shared" si="16"/>
        <v>42979</v>
      </c>
      <c r="K58" s="2830">
        <f t="shared" si="16"/>
        <v>42948</v>
      </c>
      <c r="L58" s="2830">
        <f t="shared" si="16"/>
        <v>42917</v>
      </c>
      <c r="M58" s="2830">
        <f t="shared" si="16"/>
        <v>42887</v>
      </c>
      <c r="N58" s="2830">
        <f t="shared" si="16"/>
        <v>42856</v>
      </c>
      <c r="O58" s="2830">
        <f t="shared" si="16"/>
        <v>42826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2561</v>
      </c>
      <c r="C82" s="2624" t="s">
        <v>2562</v>
      </c>
      <c r="D82" s="2624" t="s">
        <v>2563</v>
      </c>
      <c r="E82" s="2624" t="s">
        <v>2564</v>
      </c>
      <c r="F82" s="2624" t="s">
        <v>2565</v>
      </c>
      <c r="G82" s="2624" t="s">
        <v>2566</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2559</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5" stopIfTrue="1" operator="containsText" text="超过">
      <formula>NOT(ISERROR(SEARCH("超过",F52)))</formula>
    </cfRule>
  </conditionalFormatting>
  <conditionalFormatting sqref="J54">
    <cfRule type="containsText" dxfId="113" priority="14" stopIfTrue="1" operator="containsText" text="超过">
      <formula>NOT(ISERROR(SEARCH("超过",J54)))</formula>
    </cfRule>
  </conditionalFormatting>
  <conditionalFormatting sqref="H54">
    <cfRule type="containsText" dxfId="112" priority="13" stopIfTrue="1" operator="containsText" text="超过">
      <formula>NOT(ISERROR(SEARCH("超过",H54)))</formula>
    </cfRule>
  </conditionalFormatting>
  <conditionalFormatting sqref="F54">
    <cfRule type="containsText" dxfId="111" priority="12" stopIfTrue="1" operator="containsText" text="超过">
      <formula>NOT(ISERROR(SEARCH("超过",F54)))</formula>
    </cfRule>
  </conditionalFormatting>
  <conditionalFormatting sqref="F53 H53 J53">
    <cfRule type="containsText" dxfId="110" priority="11" stopIfTrue="1" operator="containsText" text="超过">
      <formula>NOT(ISERROR(SEARCH("超过",F53)))</formula>
    </cfRule>
  </conditionalFormatting>
  <conditionalFormatting sqref="E52">
    <cfRule type="expression" dxfId="109" priority="10" stopIfTrue="1">
      <formula>$F$52="超过30%"</formula>
    </cfRule>
  </conditionalFormatting>
  <conditionalFormatting sqref="G54">
    <cfRule type="expression" dxfId="108" priority="8" stopIfTrue="1">
      <formula>$H$54="超过30%"</formula>
    </cfRule>
  </conditionalFormatting>
  <conditionalFormatting sqref="E53">
    <cfRule type="expression" dxfId="107" priority="7" stopIfTrue="1">
      <formula>$F$53="超过20%"</formula>
    </cfRule>
  </conditionalFormatting>
  <conditionalFormatting sqref="E54">
    <cfRule type="expression" dxfId="106" priority="6" stopIfTrue="1">
      <formula>$F$54="超过30%"</formula>
    </cfRule>
  </conditionalFormatting>
  <conditionalFormatting sqref="G52">
    <cfRule type="expression" dxfId="105" priority="5" stopIfTrue="1">
      <formula>$H$52="超过30%"</formula>
    </cfRule>
  </conditionalFormatting>
  <conditionalFormatting sqref="G53">
    <cfRule type="expression" dxfId="104" priority="4" stopIfTrue="1">
      <formula>$H$53="超过20%"</formula>
    </cfRule>
  </conditionalFormatting>
  <conditionalFormatting sqref="I52">
    <cfRule type="expression" dxfId="103" priority="3" stopIfTrue="1">
      <formula>$J$52="超过30%"</formula>
    </cfRule>
  </conditionalFormatting>
  <conditionalFormatting sqref="I53">
    <cfRule type="expression" dxfId="102" priority="2" stopIfTrue="1">
      <formula>$J$53="超过20%"</formula>
    </cfRule>
  </conditionalFormatting>
  <conditionalFormatting sqref="I54">
    <cfRule type="expression" dxfId="10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7</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2655</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1848</v>
      </c>
      <c r="B13" s="449" t="s">
        <v>479</v>
      </c>
      <c r="C13" s="450">
        <f ca="1">IF(B1="",'数据-取费表'!M16,INDIRECT("'数据-取费表'!M"&amp;$K$1)+INDIRECT("'数据-取费表'!t"&amp;$K$1))</f>
        <v>10666</v>
      </c>
      <c r="D13" s="451"/>
      <c r="E13" s="365"/>
      <c r="F13" s="452"/>
      <c r="G13" s="444"/>
      <c r="H13" s="447"/>
      <c r="I13" s="447"/>
      <c r="J13" s="447"/>
      <c r="K13" s="448"/>
    </row>
    <row r="14" spans="1:41" s="2118" customFormat="1" ht="13.5" customHeight="1">
      <c r="A14" s="1634" t="s">
        <v>1849</v>
      </c>
      <c r="B14" s="449" t="s">
        <v>480</v>
      </c>
      <c r="C14" s="53">
        <f ca="1">ROUND(C13*F14,0)</f>
        <v>320</v>
      </c>
      <c r="D14" s="451"/>
      <c r="E14" s="365"/>
      <c r="F14" s="453">
        <f>'数据-取费表'!B33</f>
        <v>0.03</v>
      </c>
      <c r="G14" s="444" t="s">
        <v>502</v>
      </c>
      <c r="H14" s="447"/>
      <c r="I14" s="447"/>
      <c r="J14" s="447"/>
      <c r="K14" s="448"/>
    </row>
    <row r="15" spans="1:41" s="2118" customFormat="1" ht="13.5" customHeight="1">
      <c r="A15" s="1634"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1851</v>
      </c>
      <c r="B16" s="449" t="s">
        <v>484</v>
      </c>
      <c r="C16" s="53">
        <f ca="1">ROUND(D16*E16/10000,0)</f>
        <v>533</v>
      </c>
      <c r="D16" s="451">
        <f ca="1">IF(B1="",'数据-汇总表'!E3,INDIRECT("'数据-取费表'!K"&amp;$K$1)+INDIRECT("'数据-取费表'!S"&amp;$K$1))</f>
        <v>26666</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485</v>
      </c>
      <c r="C17" s="454">
        <f ca="1">ROUND(C13*F17,0)</f>
        <v>160</v>
      </c>
      <c r="D17" s="455"/>
      <c r="E17" s="454"/>
      <c r="F17" s="456">
        <f>'数据-取费表'!B36</f>
        <v>1.4999999999999999E-2</v>
      </c>
      <c r="G17" s="444" t="s">
        <v>502</v>
      </c>
      <c r="H17" s="457"/>
      <c r="I17" s="457"/>
      <c r="J17" s="457"/>
      <c r="K17" s="458"/>
    </row>
    <row r="18" spans="1:14" s="2121" customFormat="1" ht="13.5" customHeight="1">
      <c r="A18" s="1635" t="s">
        <v>1853</v>
      </c>
      <c r="B18" s="459" t="s">
        <v>487</v>
      </c>
      <c r="C18" s="460">
        <f ca="1">SUM(C13:C17)</f>
        <v>11679</v>
      </c>
      <c r="D18" s="461"/>
      <c r="E18" s="462"/>
      <c r="F18" s="462"/>
      <c r="G18" s="1327" t="s">
        <v>2435</v>
      </c>
      <c r="H18" s="447"/>
      <c r="I18" s="447"/>
      <c r="J18" s="447"/>
      <c r="K18" s="448"/>
    </row>
    <row r="19" spans="1:14" s="2121" customFormat="1" ht="13.5" customHeight="1">
      <c r="A19" s="1635" t="s">
        <v>1854</v>
      </c>
      <c r="B19" s="459" t="s">
        <v>493</v>
      </c>
      <c r="C19" s="460">
        <f ca="1">ROUND(C18*F19,0)</f>
        <v>234</v>
      </c>
      <c r="D19" s="462"/>
      <c r="E19" s="462"/>
      <c r="F19" s="466">
        <f>'数据-取费表'!B37</f>
        <v>0.02</v>
      </c>
      <c r="G19" s="444" t="s">
        <v>503</v>
      </c>
      <c r="H19" s="447"/>
      <c r="I19" s="447"/>
      <c r="J19" s="447"/>
      <c r="K19" s="448"/>
      <c r="L19" s="2123"/>
      <c r="M19" s="2123"/>
      <c r="N19" s="2123"/>
    </row>
    <row r="20" spans="1:14" s="2121" customFormat="1" ht="13.5" customHeight="1">
      <c r="A20" s="1635" t="s">
        <v>1855</v>
      </c>
      <c r="B20" s="459" t="s">
        <v>504</v>
      </c>
      <c r="C20" s="3056">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1858</v>
      </c>
      <c r="B21" s="461" t="s">
        <v>494</v>
      </c>
      <c r="C21" s="470">
        <f ca="1">C22</f>
        <v>422</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2457</v>
      </c>
    </row>
    <row r="22" spans="1:14" s="2122" customFormat="1" ht="13.5" customHeight="1">
      <c r="A22" s="1634" t="s">
        <v>1848</v>
      </c>
      <c r="B22" s="1328" t="s">
        <v>2438</v>
      </c>
      <c r="C22" s="487">
        <f ca="1">ROUND(IF('数据-取费表'!B22&lt;=1,(C18+C19)*F21*'数据-取费表'!B20/2,(C18+C19)*(POWER((1+F21),'数据-取费表'!B20/2)-1)),0)</f>
        <v>422</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1849</v>
      </c>
      <c r="B23" s="1328" t="s">
        <v>508</v>
      </c>
      <c r="C23" s="488">
        <f ca="1">ROUND(IF('数据-取费表'!B22&lt;=1,F20*F21*'数据-取费表'!B20/2,F20*(POWER((1+F21),'数据-取费表'!B20/2)-1)),4)</f>
        <v>6.9999999999999999E-4</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1859</v>
      </c>
      <c r="B24" s="3058" t="s">
        <v>2835</v>
      </c>
      <c r="C24" s="478">
        <f ca="1">C25</f>
        <v>596</v>
      </c>
      <c r="D24" s="489">
        <f ca="1">C26</f>
        <v>1E-3</v>
      </c>
      <c r="E24" s="469" t="s">
        <v>507</v>
      </c>
      <c r="F24" s="479">
        <f ca="1">IF(B1="",'数据-取费表'!Q16,INDIRECT("'数据-取费表'!q"&amp;$K$1))</f>
        <v>0.05</v>
      </c>
      <c r="G24" s="444"/>
      <c r="H24" s="447"/>
      <c r="I24" s="447"/>
      <c r="J24" s="447"/>
      <c r="K24" s="448"/>
    </row>
    <row r="25" spans="1:14" s="2122" customFormat="1" ht="13.5" customHeight="1">
      <c r="A25" s="1634" t="s">
        <v>1848</v>
      </c>
      <c r="B25" s="1328" t="s">
        <v>2439</v>
      </c>
      <c r="C25" s="490">
        <f ca="1">ROUND((C18+C19)*F24,0)</f>
        <v>596</v>
      </c>
      <c r="D25" s="472"/>
      <c r="E25" s="473"/>
      <c r="F25" s="480"/>
      <c r="G25" s="1326" t="s">
        <v>2436</v>
      </c>
      <c r="H25" s="457"/>
      <c r="I25" s="457"/>
      <c r="J25" s="457"/>
      <c r="K25" s="458"/>
    </row>
    <row r="26" spans="1:14" s="2122" customFormat="1" ht="13.5" customHeight="1">
      <c r="A26" s="1634" t="s">
        <v>1849</v>
      </c>
      <c r="B26" s="1328" t="s">
        <v>509</v>
      </c>
      <c r="C26" s="491">
        <f ca="1">ROUND(F20*F24,4)</f>
        <v>1E-3</v>
      </c>
      <c r="D26" s="472"/>
      <c r="E26" s="481"/>
      <c r="F26" s="480"/>
      <c r="G26" s="1326" t="s">
        <v>510</v>
      </c>
      <c r="H26" s="457"/>
      <c r="I26" s="457"/>
      <c r="J26" s="457"/>
      <c r="K26" s="458"/>
    </row>
    <row r="27" spans="1:14" s="2122" customFormat="1" ht="13.5" customHeight="1">
      <c r="A27" s="1638" t="s">
        <v>1867</v>
      </c>
      <c r="B27" s="459" t="s">
        <v>511</v>
      </c>
      <c r="C27" s="3057">
        <f>ROUND(F27/(1+'数据-取费表'!C42),4)</f>
        <v>5.33E-2</v>
      </c>
      <c r="D27" s="462" t="s">
        <v>2833</v>
      </c>
      <c r="E27" s="462"/>
      <c r="F27" s="466">
        <f>'数据-取费表'!B41</f>
        <v>5.6000000000000001E-2</v>
      </c>
      <c r="G27" s="1962" t="s">
        <v>2293</v>
      </c>
      <c r="H27" s="447"/>
      <c r="I27" s="447"/>
      <c r="J27" s="447"/>
      <c r="K27" s="448"/>
    </row>
    <row r="28" spans="1:14" s="2123" customFormat="1" ht="13.5" customHeight="1">
      <c r="A28" s="1638" t="s">
        <v>1868</v>
      </c>
      <c r="B28" s="476" t="s">
        <v>512</v>
      </c>
      <c r="C28" s="470">
        <f ca="1">ROUND((C18+C19+C21+C24)/(1-C20-D21-D24-C27),0)</f>
        <v>13979</v>
      </c>
      <c r="D28" s="477"/>
      <c r="E28" s="469"/>
      <c r="F28" s="471"/>
      <c r="G28" s="1327" t="s">
        <v>2437</v>
      </c>
      <c r="H28" s="447"/>
      <c r="I28" s="447"/>
      <c r="J28" s="447"/>
      <c r="K28" s="448"/>
    </row>
    <row r="29" spans="1:14" s="2123"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1865</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509" t="s">
        <v>2980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596</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66" t="s">
        <v>522</v>
      </c>
      <c r="D6" s="3367"/>
      <c r="E6" s="3430" t="s">
        <v>523</v>
      </c>
      <c r="F6" s="3431"/>
      <c r="G6" s="3366" t="s">
        <v>524</v>
      </c>
      <c r="H6" s="3367"/>
      <c r="I6" s="3366" t="s">
        <v>525</v>
      </c>
      <c r="J6" s="3367"/>
      <c r="K6" s="514" t="s">
        <v>526</v>
      </c>
      <c r="L6" s="2135"/>
      <c r="M6" s="2136"/>
      <c r="N6" s="2136"/>
      <c r="O6" s="2136"/>
      <c r="P6" s="3368" t="s">
        <v>527</v>
      </c>
      <c r="Q6" s="3369"/>
      <c r="R6" s="3374" t="s">
        <v>523</v>
      </c>
      <c r="S6" s="3375"/>
      <c r="T6" s="3374" t="s">
        <v>524</v>
      </c>
      <c r="U6" s="3375"/>
      <c r="V6" s="3361" t="s">
        <v>525</v>
      </c>
      <c r="W6" s="3361"/>
      <c r="X6" s="1568"/>
      <c r="Y6" s="3374" t="s">
        <v>527</v>
      </c>
      <c r="Z6" s="3375"/>
      <c r="AA6" s="3363" t="s">
        <v>523</v>
      </c>
      <c r="AB6" s="3364" t="s">
        <v>524</v>
      </c>
      <c r="AC6" s="3363" t="s">
        <v>525</v>
      </c>
    </row>
    <row r="7" spans="1:29" ht="15">
      <c r="A7" s="515"/>
      <c r="B7" s="516"/>
      <c r="C7" s="3384" t="s">
        <v>2933</v>
      </c>
      <c r="D7" s="3383"/>
      <c r="E7" s="3435" t="s">
        <v>2934</v>
      </c>
      <c r="F7" s="3436"/>
      <c r="G7" s="3384" t="s">
        <v>2935</v>
      </c>
      <c r="H7" s="3383"/>
      <c r="I7" s="3384" t="s">
        <v>2936</v>
      </c>
      <c r="J7" s="3383"/>
      <c r="K7" s="514"/>
      <c r="L7" s="2135"/>
      <c r="M7" s="2136"/>
      <c r="N7" s="2136"/>
      <c r="O7" s="2136"/>
      <c r="P7" s="3370"/>
      <c r="Q7" s="3371"/>
      <c r="R7" s="3376"/>
      <c r="S7" s="3377"/>
      <c r="T7" s="3376"/>
      <c r="U7" s="3377"/>
      <c r="V7" s="3361"/>
      <c r="W7" s="3361"/>
      <c r="X7" s="1568"/>
      <c r="Y7" s="3376"/>
      <c r="Z7" s="3377"/>
      <c r="AA7" s="3364"/>
      <c r="AB7" s="3364"/>
      <c r="AC7" s="3364"/>
    </row>
    <row r="8" spans="1:29" ht="15.75" thickBot="1">
      <c r="A8" s="517"/>
      <c r="B8" s="518"/>
      <c r="C8" s="3432" t="s">
        <v>2937</v>
      </c>
      <c r="D8" s="3381"/>
      <c r="E8" s="3433" t="s">
        <v>2937</v>
      </c>
      <c r="F8" s="3434"/>
      <c r="G8" s="3432" t="s">
        <v>2937</v>
      </c>
      <c r="H8" s="3381"/>
      <c r="I8" s="3432" t="s">
        <v>2937</v>
      </c>
      <c r="J8" s="3381"/>
      <c r="K8" s="514" t="s">
        <v>528</v>
      </c>
      <c r="L8" s="2135"/>
      <c r="M8" s="2136"/>
      <c r="N8" s="2136"/>
      <c r="O8" s="2136"/>
      <c r="P8" s="3372"/>
      <c r="Q8" s="3373"/>
      <c r="R8" s="3376"/>
      <c r="S8" s="3377"/>
      <c r="T8" s="3378"/>
      <c r="U8" s="3379"/>
      <c r="V8" s="3361"/>
      <c r="W8" s="3361"/>
      <c r="X8" s="1568"/>
      <c r="Y8" s="3378"/>
      <c r="Z8" s="3379"/>
      <c r="AA8" s="3365"/>
      <c r="AB8" s="3365"/>
      <c r="AC8" s="3365"/>
    </row>
    <row r="9" spans="1:29" s="1220" customFormat="1" ht="15.75" thickBot="1">
      <c r="A9" s="2938"/>
      <c r="B9" s="2945" t="s">
        <v>529</v>
      </c>
      <c r="C9" s="519">
        <f>'数据-取费表'!B2</f>
        <v>43215</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3" t="s">
        <v>530</v>
      </c>
      <c r="Q9" s="3395"/>
      <c r="R9" s="1569" t="s">
        <v>8</v>
      </c>
      <c r="S9" s="1570">
        <f t="shared" ref="S9:S17" si="0">F9</f>
        <v>0</v>
      </c>
      <c r="T9" s="1569" t="s">
        <v>8</v>
      </c>
      <c r="U9" s="1570">
        <f t="shared" ref="U9:U17" si="1">H9</f>
        <v>0</v>
      </c>
      <c r="V9" s="1569" t="s">
        <v>8</v>
      </c>
      <c r="W9" s="1570">
        <f t="shared" ref="W9:W17" si="2">J9</f>
        <v>0</v>
      </c>
      <c r="X9" s="1571"/>
      <c r="Y9" s="3393" t="s">
        <v>530</v>
      </c>
      <c r="Z9" s="3394"/>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3" t="s">
        <v>533</v>
      </c>
      <c r="Q10" s="3394"/>
      <c r="R10" s="1569" t="s">
        <v>8</v>
      </c>
      <c r="S10" s="1570">
        <f t="shared" si="0"/>
        <v>0</v>
      </c>
      <c r="T10" s="1569" t="s">
        <v>8</v>
      </c>
      <c r="U10" s="1570">
        <f t="shared" si="1"/>
        <v>0</v>
      </c>
      <c r="V10" s="1569" t="s">
        <v>8</v>
      </c>
      <c r="W10" s="1570">
        <f t="shared" si="2"/>
        <v>0</v>
      </c>
      <c r="X10" s="1571"/>
      <c r="Y10" s="3393" t="s">
        <v>533</v>
      </c>
      <c r="Z10" s="3394"/>
      <c r="AA10" s="1572" t="e">
        <f t="shared" ref="AA10:AA42" si="3">D10/F10</f>
        <v>#DIV/0!</v>
      </c>
      <c r="AB10" s="1572" t="e">
        <f t="shared" ref="AB10:AB42" si="4">D10/H10</f>
        <v>#DIV/0!</v>
      </c>
      <c r="AC10" s="1572" t="e">
        <f t="shared" ref="AC10:AC42" si="5">D10/J10</f>
        <v>#DIV/0!</v>
      </c>
    </row>
    <row r="11" spans="1:29" s="1220" customFormat="1" ht="15">
      <c r="A11" s="2940"/>
      <c r="B11" s="2947" t="s">
        <v>2759</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0" t="s">
        <v>535</v>
      </c>
      <c r="Q11" s="1151" t="str">
        <f t="shared" ref="Q11:Q17" si="6">B11</f>
        <v>用途</v>
      </c>
      <c r="R11" s="1569" t="s">
        <v>8</v>
      </c>
      <c r="S11" s="1570">
        <f t="shared" si="0"/>
        <v>100</v>
      </c>
      <c r="T11" s="1569" t="s">
        <v>8</v>
      </c>
      <c r="U11" s="1570">
        <f t="shared" si="1"/>
        <v>100</v>
      </c>
      <c r="V11" s="1569" t="s">
        <v>8</v>
      </c>
      <c r="W11" s="1570">
        <f t="shared" si="2"/>
        <v>100</v>
      </c>
      <c r="X11" s="1571"/>
      <c r="Y11" s="3306" t="s">
        <v>536</v>
      </c>
      <c r="Z11" s="1150" t="str">
        <f t="shared" ref="Z11:Z17" si="7">Q11</f>
        <v>用途</v>
      </c>
      <c r="AA11" s="1572">
        <f t="shared" si="3"/>
        <v>1</v>
      </c>
      <c r="AB11" s="1572">
        <f t="shared" si="4"/>
        <v>1</v>
      </c>
      <c r="AC11" s="1572">
        <f t="shared" si="5"/>
        <v>1</v>
      </c>
    </row>
    <row r="12" spans="1:29" s="1338" customFormat="1" ht="27">
      <c r="A12" s="2941"/>
      <c r="B12" s="2946" t="s">
        <v>2760</v>
      </c>
      <c r="C12" s="528"/>
      <c r="D12" s="255">
        <v>100</v>
      </c>
      <c r="E12" s="528"/>
      <c r="F12" s="255">
        <f>ROUND(100/'数据-取费表'!G16,0)</f>
        <v>108</v>
      </c>
      <c r="G12" s="528"/>
      <c r="H12" s="255">
        <f>ROUND(100/'数据-取费表'!G16,0)</f>
        <v>108</v>
      </c>
      <c r="I12" s="528"/>
      <c r="J12" s="255">
        <f>ROUND(100/'数据-取费表'!G16,0)</f>
        <v>108</v>
      </c>
      <c r="K12" s="531"/>
      <c r="L12" s="2140"/>
      <c r="M12" s="2180"/>
      <c r="N12" s="2180"/>
      <c r="O12" s="2141"/>
      <c r="P12" s="3360"/>
      <c r="Q12" s="1151" t="str">
        <f t="shared" si="6"/>
        <v>土地使用年限（年）</v>
      </c>
      <c r="R12" s="1569" t="s">
        <v>8</v>
      </c>
      <c r="S12" s="1570">
        <f t="shared" si="0"/>
        <v>108</v>
      </c>
      <c r="T12" s="1569" t="s">
        <v>8</v>
      </c>
      <c r="U12" s="1570">
        <f t="shared" si="1"/>
        <v>108</v>
      </c>
      <c r="V12" s="1569" t="s">
        <v>8</v>
      </c>
      <c r="W12" s="1570">
        <f t="shared" si="2"/>
        <v>108</v>
      </c>
      <c r="X12" s="1571"/>
      <c r="Y12" s="3306"/>
      <c r="Z12" s="1150" t="str">
        <f t="shared" si="7"/>
        <v>土地使用年限（年）</v>
      </c>
      <c r="AA12" s="1572">
        <f t="shared" si="3"/>
        <v>0.92592592592592593</v>
      </c>
      <c r="AB12" s="1572">
        <f t="shared" si="4"/>
        <v>0.92592592592592593</v>
      </c>
      <c r="AC12" s="1572">
        <f t="shared" si="5"/>
        <v>0.92592592592592593</v>
      </c>
    </row>
    <row r="13" spans="1:29" ht="15">
      <c r="A13" s="2942"/>
      <c r="B13" s="2946"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0"/>
      <c r="Q13" s="1151" t="str">
        <f t="shared" si="6"/>
        <v>容积率</v>
      </c>
      <c r="R13" s="1569" t="s">
        <v>8</v>
      </c>
      <c r="S13" s="1570" t="e">
        <f t="shared" si="0"/>
        <v>#N/A</v>
      </c>
      <c r="T13" s="1569" t="s">
        <v>8</v>
      </c>
      <c r="U13" s="1570" t="e">
        <f t="shared" si="1"/>
        <v>#N/A</v>
      </c>
      <c r="V13" s="1569" t="s">
        <v>8</v>
      </c>
      <c r="W13" s="1570" t="e">
        <f t="shared" si="2"/>
        <v>#N/A</v>
      </c>
      <c r="X13" s="1571"/>
      <c r="Y13" s="3306"/>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0"/>
      <c r="Q14" s="1151">
        <f t="shared" si="6"/>
        <v>111</v>
      </c>
      <c r="R14" s="1569" t="s">
        <v>8</v>
      </c>
      <c r="S14" s="1570">
        <f t="shared" si="0"/>
        <v>100</v>
      </c>
      <c r="T14" s="1569" t="s">
        <v>8</v>
      </c>
      <c r="U14" s="1570">
        <f t="shared" si="1"/>
        <v>100</v>
      </c>
      <c r="V14" s="1569" t="s">
        <v>8</v>
      </c>
      <c r="W14" s="1570">
        <f t="shared" si="2"/>
        <v>100</v>
      </c>
      <c r="X14" s="1571"/>
      <c r="Y14" s="3306"/>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0"/>
      <c r="Q15" s="1151">
        <f t="shared" si="6"/>
        <v>111</v>
      </c>
      <c r="R15" s="1569" t="s">
        <v>8</v>
      </c>
      <c r="S15" s="1570">
        <f t="shared" si="0"/>
        <v>100</v>
      </c>
      <c r="T15" s="1569" t="s">
        <v>8</v>
      </c>
      <c r="U15" s="1570">
        <f t="shared" si="1"/>
        <v>100</v>
      </c>
      <c r="V15" s="1569" t="s">
        <v>8</v>
      </c>
      <c r="W15" s="1570">
        <f t="shared" si="2"/>
        <v>100</v>
      </c>
      <c r="X15" s="1571"/>
      <c r="Y15" s="3306"/>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0"/>
      <c r="Q16" s="1151">
        <f t="shared" si="6"/>
        <v>111</v>
      </c>
      <c r="R16" s="1569" t="s">
        <v>8</v>
      </c>
      <c r="S16" s="1570">
        <f t="shared" si="0"/>
        <v>100</v>
      </c>
      <c r="T16" s="1569" t="s">
        <v>8</v>
      </c>
      <c r="U16" s="1570">
        <f t="shared" si="1"/>
        <v>100</v>
      </c>
      <c r="V16" s="1569" t="s">
        <v>8</v>
      </c>
      <c r="W16" s="1570">
        <f t="shared" si="2"/>
        <v>100</v>
      </c>
      <c r="X16" s="1571"/>
      <c r="Y16" s="3306"/>
      <c r="Z16" s="1150">
        <f t="shared" si="7"/>
        <v>111</v>
      </c>
      <c r="AA16" s="1572">
        <f t="shared" si="3"/>
        <v>1</v>
      </c>
      <c r="AB16" s="1572">
        <f t="shared" si="4"/>
        <v>1</v>
      </c>
      <c r="AC16" s="1572">
        <f t="shared" si="5"/>
        <v>1</v>
      </c>
    </row>
    <row r="17" spans="1:29" ht="57">
      <c r="A17" s="2936" t="s">
        <v>2757</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96" t="s">
        <v>540</v>
      </c>
      <c r="Q17" s="1573" t="str">
        <f t="shared" si="6"/>
        <v>产业集聚程度</v>
      </c>
      <c r="R17" s="1574" t="s">
        <v>8</v>
      </c>
      <c r="S17" s="1575">
        <f t="shared" si="0"/>
        <v>100</v>
      </c>
      <c r="T17" s="1574" t="s">
        <v>8</v>
      </c>
      <c r="U17" s="1575">
        <f t="shared" si="1"/>
        <v>100</v>
      </c>
      <c r="V17" s="1574" t="s">
        <v>8</v>
      </c>
      <c r="W17" s="1575">
        <f t="shared" si="2"/>
        <v>100</v>
      </c>
      <c r="X17" s="1568"/>
      <c r="Y17" s="3396"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7"/>
      <c r="Q18" s="1573"/>
      <c r="R18" s="1574"/>
      <c r="S18" s="1575"/>
      <c r="T18" s="1574"/>
      <c r="U18" s="1575"/>
      <c r="V18" s="1574"/>
      <c r="W18" s="1575"/>
      <c r="X18" s="1568"/>
      <c r="Y18" s="3397"/>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7"/>
      <c r="Q19" s="1573" t="str">
        <f>B19</f>
        <v>交通便捷度</v>
      </c>
      <c r="R19" s="1574" t="s">
        <v>8</v>
      </c>
      <c r="S19" s="1575">
        <f>F19</f>
        <v>100</v>
      </c>
      <c r="T19" s="1574" t="s">
        <v>8</v>
      </c>
      <c r="U19" s="1575">
        <f>H19</f>
        <v>100</v>
      </c>
      <c r="V19" s="1574" t="s">
        <v>8</v>
      </c>
      <c r="W19" s="1575">
        <f>J19</f>
        <v>100</v>
      </c>
      <c r="X19" s="1568"/>
      <c r="Y19" s="339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7"/>
      <c r="Q20" s="1573"/>
      <c r="R20" s="1574"/>
      <c r="S20" s="1575"/>
      <c r="T20" s="1574"/>
      <c r="U20" s="1575"/>
      <c r="V20" s="1574"/>
      <c r="W20" s="1575"/>
      <c r="X20" s="1568"/>
      <c r="Y20" s="3397"/>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7"/>
      <c r="Q21" s="1573" t="str">
        <f t="shared" ref="Q21:Q35" si="8">B21</f>
        <v>区域土地利用方向</v>
      </c>
      <c r="R21" s="1574" t="s">
        <v>8</v>
      </c>
      <c r="S21" s="1575">
        <f>F21</f>
        <v>100</v>
      </c>
      <c r="T21" s="1574" t="s">
        <v>8</v>
      </c>
      <c r="U21" s="1575">
        <f>H21</f>
        <v>100</v>
      </c>
      <c r="V21" s="1574" t="s">
        <v>8</v>
      </c>
      <c r="W21" s="1575">
        <f>J21</f>
        <v>100</v>
      </c>
      <c r="X21" s="1568"/>
      <c r="Y21" s="339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7"/>
      <c r="Q22" s="1573"/>
      <c r="R22" s="1574"/>
      <c r="S22" s="1575"/>
      <c r="T22" s="1574"/>
      <c r="U22" s="1575"/>
      <c r="V22" s="1574"/>
      <c r="W22" s="1575"/>
      <c r="X22" s="1568"/>
      <c r="Y22" s="3397"/>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7"/>
      <c r="Q23" s="1573" t="str">
        <f t="shared" si="8"/>
        <v>环境状况</v>
      </c>
      <c r="R23" s="1574" t="s">
        <v>8</v>
      </c>
      <c r="S23" s="1575">
        <f>F23</f>
        <v>100</v>
      </c>
      <c r="T23" s="1574" t="s">
        <v>8</v>
      </c>
      <c r="U23" s="1575">
        <f>H23</f>
        <v>100</v>
      </c>
      <c r="V23" s="1574" t="s">
        <v>8</v>
      </c>
      <c r="W23" s="1575">
        <f>J23</f>
        <v>100</v>
      </c>
      <c r="X23" s="1568"/>
      <c r="Y23" s="339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7"/>
      <c r="Q24" s="1573"/>
      <c r="R24" s="1574"/>
      <c r="S24" s="1575"/>
      <c r="T24" s="1574"/>
      <c r="U24" s="1575"/>
      <c r="V24" s="1574"/>
      <c r="W24" s="1575"/>
      <c r="X24" s="1568"/>
      <c r="Y24" s="3397"/>
      <c r="Z24" s="1576"/>
      <c r="AA24" s="1577">
        <v>1</v>
      </c>
      <c r="AB24" s="1577">
        <v>1</v>
      </c>
      <c r="AC24" s="1577">
        <v>1</v>
      </c>
    </row>
    <row r="25" spans="1:29" s="1220" customFormat="1" ht="42.75">
      <c r="A25" s="577"/>
      <c r="B25" s="2619"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7"/>
      <c r="Q25" s="1151" t="str">
        <f t="shared" si="8"/>
        <v>公共配套设施</v>
      </c>
      <c r="R25" s="1569" t="s">
        <v>8</v>
      </c>
      <c r="S25" s="1570">
        <f>F25</f>
        <v>100</v>
      </c>
      <c r="T25" s="1569" t="s">
        <v>8</v>
      </c>
      <c r="U25" s="1570">
        <f>H25</f>
        <v>100</v>
      </c>
      <c r="V25" s="1569" t="s">
        <v>8</v>
      </c>
      <c r="W25" s="1570">
        <f>J25</f>
        <v>100</v>
      </c>
      <c r="X25" s="1571"/>
      <c r="Y25" s="3397"/>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97"/>
      <c r="Q26" s="1151"/>
      <c r="R26" s="1569"/>
      <c r="S26" s="1570"/>
      <c r="T26" s="1569"/>
      <c r="U26" s="1570"/>
      <c r="V26" s="1569"/>
      <c r="W26" s="1570"/>
      <c r="X26" s="1571"/>
      <c r="Y26" s="3397"/>
      <c r="Z26" s="1150"/>
      <c r="AA26" s="1572">
        <v>1</v>
      </c>
      <c r="AB26" s="1572">
        <v>1</v>
      </c>
      <c r="AC26" s="1572">
        <v>1</v>
      </c>
    </row>
    <row r="27" spans="1:29" s="1220" customFormat="1" ht="28.5">
      <c r="A27" s="577"/>
      <c r="B27" s="2619"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7"/>
      <c r="Q27" s="2604" t="str">
        <f t="shared" ref="Q27" si="9">B27</f>
        <v>基础设施水平</v>
      </c>
      <c r="R27" s="1569" t="s">
        <v>8</v>
      </c>
      <c r="S27" s="1570">
        <f>F27</f>
        <v>100</v>
      </c>
      <c r="T27" s="1569" t="s">
        <v>8</v>
      </c>
      <c r="U27" s="1570">
        <f>H27</f>
        <v>100</v>
      </c>
      <c r="V27" s="1569" t="s">
        <v>8</v>
      </c>
      <c r="W27" s="1570">
        <f>J27</f>
        <v>100</v>
      </c>
      <c r="X27" s="1571"/>
      <c r="Y27" s="3397"/>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97"/>
      <c r="Q28" s="2604"/>
      <c r="R28" s="1569"/>
      <c r="S28" s="1570"/>
      <c r="T28" s="1569"/>
      <c r="U28" s="1570"/>
      <c r="V28" s="1569"/>
      <c r="W28" s="1570"/>
      <c r="X28" s="1571"/>
      <c r="Y28" s="3397"/>
      <c r="Z28" s="2601"/>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7"/>
      <c r="Z29" s="1576" t="str">
        <f t="shared" ref="Z29:Z42" si="13">Q29</f>
        <v>临街状况</v>
      </c>
      <c r="AA29" s="1577">
        <f t="shared" si="3"/>
        <v>1</v>
      </c>
      <c r="AB29" s="1577">
        <f t="shared" si="4"/>
        <v>1</v>
      </c>
      <c r="AC29" s="1577">
        <f t="shared" si="5"/>
        <v>1</v>
      </c>
    </row>
    <row r="30" spans="1:29" ht="27">
      <c r="A30" s="532"/>
      <c r="B30" s="922" t="s">
        <v>547</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7"/>
      <c r="Q30" s="1573" t="str">
        <f t="shared" si="8"/>
        <v>毗邻道路的类型与等级</v>
      </c>
      <c r="R30" s="1574" t="s">
        <v>8</v>
      </c>
      <c r="S30" s="1575">
        <f t="shared" si="10"/>
        <v>100</v>
      </c>
      <c r="T30" s="1574" t="s">
        <v>8</v>
      </c>
      <c r="U30" s="1575">
        <f t="shared" si="11"/>
        <v>100</v>
      </c>
      <c r="V30" s="1574" t="s">
        <v>8</v>
      </c>
      <c r="W30" s="1575">
        <f t="shared" si="12"/>
        <v>100</v>
      </c>
      <c r="X30" s="1568"/>
      <c r="Y30" s="339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97"/>
      <c r="Q31" s="1573"/>
      <c r="R31" s="1574"/>
      <c r="S31" s="1575"/>
      <c r="T31" s="1574"/>
      <c r="U31" s="1575"/>
      <c r="V31" s="1574"/>
      <c r="W31" s="1575"/>
      <c r="X31" s="1568"/>
      <c r="Y31" s="3397"/>
      <c r="Z31" s="1576"/>
      <c r="AA31" s="1577">
        <v>1</v>
      </c>
      <c r="AB31" s="1577">
        <v>1</v>
      </c>
      <c r="AC31" s="1577">
        <v>1</v>
      </c>
    </row>
    <row r="32" spans="1:29" ht="15">
      <c r="A32" s="532"/>
      <c r="B32" s="527" t="s">
        <v>548</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7"/>
      <c r="Q32" s="1573" t="str">
        <f t="shared" si="8"/>
        <v>土地级别</v>
      </c>
      <c r="R32" s="1574" t="s">
        <v>8</v>
      </c>
      <c r="S32" s="1575">
        <f t="shared" si="10"/>
        <v>100</v>
      </c>
      <c r="T32" s="1574" t="s">
        <v>8</v>
      </c>
      <c r="U32" s="1575">
        <f t="shared" si="11"/>
        <v>100</v>
      </c>
      <c r="V32" s="1574" t="s">
        <v>8</v>
      </c>
      <c r="W32" s="1575">
        <f t="shared" si="12"/>
        <v>100</v>
      </c>
      <c r="X32" s="1568"/>
      <c r="Y32" s="339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7"/>
      <c r="Q33" s="1573">
        <f t="shared" si="8"/>
        <v>111</v>
      </c>
      <c r="R33" s="1574" t="s">
        <v>8</v>
      </c>
      <c r="S33" s="1575">
        <f t="shared" si="10"/>
        <v>100</v>
      </c>
      <c r="T33" s="1574" t="s">
        <v>8</v>
      </c>
      <c r="U33" s="1575">
        <f t="shared" si="11"/>
        <v>100</v>
      </c>
      <c r="V33" s="1574" t="s">
        <v>8</v>
      </c>
      <c r="W33" s="1575">
        <f t="shared" si="12"/>
        <v>100</v>
      </c>
      <c r="X33" s="1568"/>
      <c r="Y33" s="339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8" t="s">
        <v>549</v>
      </c>
      <c r="Q34" s="1573">
        <f t="shared" si="8"/>
        <v>111</v>
      </c>
      <c r="R34" s="1574" t="s">
        <v>8</v>
      </c>
      <c r="S34" s="1575">
        <f t="shared" si="10"/>
        <v>100</v>
      </c>
      <c r="T34" s="1574" t="s">
        <v>8</v>
      </c>
      <c r="U34" s="1575">
        <f t="shared" si="11"/>
        <v>100</v>
      </c>
      <c r="V34" s="1574" t="s">
        <v>8</v>
      </c>
      <c r="W34" s="1575">
        <f t="shared" si="12"/>
        <v>100</v>
      </c>
      <c r="X34" s="1568"/>
      <c r="Y34" s="3399" t="s">
        <v>549</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9"/>
      <c r="Q35" s="1573">
        <f t="shared" si="8"/>
        <v>111</v>
      </c>
      <c r="R35" s="1578" t="s">
        <v>8</v>
      </c>
      <c r="S35" s="1579">
        <f t="shared" si="10"/>
        <v>100</v>
      </c>
      <c r="T35" s="1578" t="s">
        <v>8</v>
      </c>
      <c r="U35" s="1579">
        <f t="shared" si="11"/>
        <v>100</v>
      </c>
      <c r="V35" s="1578" t="s">
        <v>8</v>
      </c>
      <c r="W35" s="1579">
        <f t="shared" si="12"/>
        <v>100</v>
      </c>
      <c r="X35" s="1580"/>
      <c r="Y35" s="3399"/>
      <c r="Z35" s="1581">
        <f t="shared" si="13"/>
        <v>111</v>
      </c>
      <c r="AA35" s="1577">
        <f t="shared" si="3"/>
        <v>1</v>
      </c>
      <c r="AB35" s="1577">
        <f t="shared" si="4"/>
        <v>1</v>
      </c>
      <c r="AC35" s="1577">
        <f t="shared" si="5"/>
        <v>1</v>
      </c>
    </row>
    <row r="36" spans="1:29" ht="15">
      <c r="A36" s="2933" t="s">
        <v>2758</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9"/>
      <c r="Q36" s="1573" t="str">
        <f>B36</f>
        <v>宗地面积</v>
      </c>
      <c r="R36" s="1574" t="s">
        <v>8</v>
      </c>
      <c r="S36" s="1575" t="e">
        <f t="shared" si="10"/>
        <v>#N/A</v>
      </c>
      <c r="T36" s="1574" t="s">
        <v>8</v>
      </c>
      <c r="U36" s="1575" t="e">
        <f t="shared" si="11"/>
        <v>#N/A</v>
      </c>
      <c r="V36" s="1574" t="s">
        <v>8</v>
      </c>
      <c r="W36" s="1575" t="e">
        <f t="shared" si="12"/>
        <v>#N/A</v>
      </c>
      <c r="X36" s="1568"/>
      <c r="Y36" s="3399"/>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9"/>
      <c r="Q37" s="1573" t="str">
        <f t="shared" ref="Q37:Q42" si="14">B37</f>
        <v>宗地形状</v>
      </c>
      <c r="R37" s="1574" t="s">
        <v>8</v>
      </c>
      <c r="S37" s="1575">
        <f t="shared" si="10"/>
        <v>100</v>
      </c>
      <c r="T37" s="1574" t="s">
        <v>8</v>
      </c>
      <c r="U37" s="1575">
        <f t="shared" si="11"/>
        <v>100</v>
      </c>
      <c r="V37" s="1574" t="s">
        <v>8</v>
      </c>
      <c r="W37" s="1575">
        <f t="shared" si="12"/>
        <v>100</v>
      </c>
      <c r="X37" s="1568"/>
      <c r="Y37" s="3399"/>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9"/>
      <c r="Q38" s="1573" t="str">
        <f t="shared" si="14"/>
        <v>宗地开发程度</v>
      </c>
      <c r="R38" s="1569" t="s">
        <v>8</v>
      </c>
      <c r="S38" s="1570">
        <f t="shared" si="10"/>
        <v>100</v>
      </c>
      <c r="T38" s="1569" t="s">
        <v>8</v>
      </c>
      <c r="U38" s="1570">
        <f t="shared" si="11"/>
        <v>100</v>
      </c>
      <c r="V38" s="1569" t="s">
        <v>8</v>
      </c>
      <c r="W38" s="1570">
        <f t="shared" si="12"/>
        <v>100</v>
      </c>
      <c r="X38" s="1571"/>
      <c r="Y38" s="3399"/>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9" t="s">
        <v>600</v>
      </c>
      <c r="Q39" s="1573" t="str">
        <f t="shared" si="14"/>
        <v>工程地质条件</v>
      </c>
      <c r="R39" s="1574" t="s">
        <v>8</v>
      </c>
      <c r="S39" s="1575">
        <f t="shared" si="10"/>
        <v>100</v>
      </c>
      <c r="T39" s="1574" t="s">
        <v>8</v>
      </c>
      <c r="U39" s="1575">
        <f t="shared" si="11"/>
        <v>100</v>
      </c>
      <c r="V39" s="1574" t="s">
        <v>8</v>
      </c>
      <c r="W39" s="1575">
        <f t="shared" si="12"/>
        <v>100</v>
      </c>
      <c r="X39" s="1568"/>
      <c r="Y39" s="3399"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9"/>
      <c r="Q40" s="1573">
        <f t="shared" si="14"/>
        <v>111</v>
      </c>
      <c r="R40" s="1574" t="s">
        <v>8</v>
      </c>
      <c r="S40" s="1575">
        <f t="shared" si="10"/>
        <v>100</v>
      </c>
      <c r="T40" s="1574" t="s">
        <v>8</v>
      </c>
      <c r="U40" s="1575">
        <f t="shared" si="11"/>
        <v>100</v>
      </c>
      <c r="V40" s="1574" t="s">
        <v>8</v>
      </c>
      <c r="W40" s="1575">
        <f t="shared" si="12"/>
        <v>100</v>
      </c>
      <c r="X40" s="1568"/>
      <c r="Y40" s="339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9"/>
      <c r="Q41" s="1573">
        <f t="shared" si="14"/>
        <v>111</v>
      </c>
      <c r="R41" s="1574" t="s">
        <v>8</v>
      </c>
      <c r="S41" s="1575">
        <f t="shared" si="10"/>
        <v>100</v>
      </c>
      <c r="T41" s="1574" t="s">
        <v>8</v>
      </c>
      <c r="U41" s="1575">
        <f t="shared" si="11"/>
        <v>100</v>
      </c>
      <c r="V41" s="1574" t="s">
        <v>8</v>
      </c>
      <c r="W41" s="1575">
        <f t="shared" si="12"/>
        <v>100</v>
      </c>
      <c r="X41" s="1568"/>
      <c r="Y41" s="339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9"/>
      <c r="Q42" s="1573">
        <f t="shared" si="14"/>
        <v>111</v>
      </c>
      <c r="R42" s="1578" t="s">
        <v>8</v>
      </c>
      <c r="S42" s="1579">
        <f t="shared" si="10"/>
        <v>100</v>
      </c>
      <c r="T42" s="1578" t="s">
        <v>8</v>
      </c>
      <c r="U42" s="1579">
        <f t="shared" si="11"/>
        <v>100</v>
      </c>
      <c r="V42" s="1578" t="s">
        <v>8</v>
      </c>
      <c r="W42" s="1579">
        <f t="shared" si="12"/>
        <v>100</v>
      </c>
      <c r="X42" s="1580"/>
      <c r="Y42" s="3399"/>
      <c r="Z42" s="1581">
        <f t="shared" si="13"/>
        <v>111</v>
      </c>
      <c r="AA42" s="1577">
        <f t="shared" si="3"/>
        <v>1</v>
      </c>
      <c r="AB42" s="1577">
        <f t="shared" si="4"/>
        <v>1</v>
      </c>
      <c r="AC42" s="1577">
        <f t="shared" si="5"/>
        <v>1</v>
      </c>
    </row>
    <row r="43" spans="1:29" ht="15">
      <c r="A43" s="607" t="s">
        <v>555</v>
      </c>
      <c r="B43" s="608" t="s">
        <v>2938</v>
      </c>
      <c r="C43" s="609" t="s">
        <v>1</v>
      </c>
      <c r="D43" s="610"/>
      <c r="E43" s="611"/>
      <c r="F43" s="612"/>
      <c r="G43" s="613"/>
      <c r="H43" s="614"/>
      <c r="I43" s="611"/>
      <c r="J43" s="614"/>
      <c r="K43" s="1340"/>
      <c r="L43" s="2146"/>
      <c r="M43" s="2136"/>
      <c r="N43" s="2136"/>
      <c r="O43" s="2147"/>
      <c r="P43" s="3360" t="str">
        <f>A43</f>
        <v>成交单价</v>
      </c>
      <c r="Q43" s="3360"/>
      <c r="R43" s="3361">
        <f>E43</f>
        <v>0</v>
      </c>
      <c r="S43" s="3361"/>
      <c r="T43" s="3361">
        <f>G43</f>
        <v>0</v>
      </c>
      <c r="U43" s="3361"/>
      <c r="V43" s="3361">
        <f>I43</f>
        <v>0</v>
      </c>
      <c r="W43" s="3361"/>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6"/>
      <c r="M44" s="2136"/>
      <c r="N44" s="2136"/>
      <c r="O44" s="2147"/>
      <c r="P44" s="3360" t="str">
        <f>A44</f>
        <v>比较价格（元/平方米）</v>
      </c>
      <c r="Q44" s="3360"/>
      <c r="R44" s="3362" t="e">
        <f>ROUND(PRODUCT(R43,AA9:AA42),0)</f>
        <v>#DIV/0!</v>
      </c>
      <c r="S44" s="3362"/>
      <c r="T44" s="3362" t="e">
        <f>ROUND(PRODUCT(T43,AB9:AB42),0)</f>
        <v>#DIV/0!</v>
      </c>
      <c r="U44" s="3362"/>
      <c r="V44" s="3362" t="e">
        <f>ROUND(PRODUCT(V43,AC9:AC42),0)</f>
        <v>#DIV/0!</v>
      </c>
      <c r="W44" s="3362"/>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357" t="str">
        <f>A45</f>
        <v>估价对象XX用房的比较价格（楼面单价，元/平方米）</v>
      </c>
      <c r="Q45" s="3358"/>
      <c r="R45" s="3359" t="e">
        <f>ROUND(AVERAGE(R44:V44),0)</f>
        <v>#DIV/0!</v>
      </c>
      <c r="S45" s="3359"/>
      <c r="T45" s="3359"/>
      <c r="U45" s="3359"/>
      <c r="V45" s="3359"/>
      <c r="W45" s="3359"/>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1724</v>
      </c>
      <c r="D52" s="2229" t="s">
        <v>2295</v>
      </c>
      <c r="E52" s="631" t="s">
        <v>561</v>
      </c>
      <c r="F52" s="1953" t="s">
        <v>562</v>
      </c>
      <c r="G52" s="3437" t="s">
        <v>2286</v>
      </c>
      <c r="H52" s="3438"/>
      <c r="I52" s="1954" t="s">
        <v>1947</v>
      </c>
      <c r="J52" s="1556" t="str">
        <f>项目基本情况!F41</f>
        <v>河北省</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26666</v>
      </c>
      <c r="F53" s="1952" t="e">
        <f t="shared" ref="F53:F62" si="15">ROUND(B53*E53/10000,0)</f>
        <v>#DIV/0!</v>
      </c>
      <c r="G53" s="3439"/>
      <c r="H53" s="3440"/>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441"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441"/>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441"/>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441"/>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2296</v>
      </c>
      <c r="E63" s="643">
        <f>IF(B43="楼面地价",SUM(E53:E62),'数据-汇总表'!D3)</f>
        <v>6666.4</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2018-4-1</v>
      </c>
      <c r="D65" s="2825">
        <f>EDATE(C65,-3)</f>
        <v>43101</v>
      </c>
      <c r="E65" s="2825">
        <f t="shared" ref="E65:N65" si="18">EDATE(D65,-3)</f>
        <v>43009</v>
      </c>
      <c r="F65" s="2825">
        <f t="shared" si="18"/>
        <v>42917</v>
      </c>
      <c r="G65" s="2825">
        <f t="shared" si="18"/>
        <v>42826</v>
      </c>
      <c r="H65" s="2825">
        <f t="shared" si="18"/>
        <v>42736</v>
      </c>
      <c r="I65" s="2825">
        <f t="shared" si="18"/>
        <v>42644</v>
      </c>
      <c r="J65" s="2825">
        <f t="shared" si="18"/>
        <v>42552</v>
      </c>
      <c r="K65" s="2825">
        <f t="shared" si="18"/>
        <v>42461</v>
      </c>
      <c r="L65" s="2825">
        <f t="shared" si="18"/>
        <v>42370</v>
      </c>
      <c r="M65" s="2825">
        <f t="shared" si="18"/>
        <v>42278</v>
      </c>
      <c r="N65" s="2825">
        <f t="shared" si="18"/>
        <v>42186</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2536</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2652</v>
      </c>
      <c r="B68" s="479" t="str">
        <f>"北京市平均增长率"&amp;TEXT(基准地价!P24,"0.00%")</f>
        <v>北京市平均增长率1.35%</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2551</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2553</v>
      </c>
      <c r="C95" s="2624" t="s">
        <v>2554</v>
      </c>
      <c r="D95" s="2624" t="s">
        <v>2555</v>
      </c>
      <c r="E95" s="2624" t="s">
        <v>2556</v>
      </c>
      <c r="F95" s="2624" t="s">
        <v>2557</v>
      </c>
      <c r="G95" s="2624" t="s">
        <v>2558</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2428</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2429</v>
      </c>
      <c r="D1" s="1522">
        <f>SUM(D29:D30,D33:D39)</f>
        <v>0</v>
      </c>
      <c r="E1" s="1407" t="s">
        <v>2430</v>
      </c>
      <c r="F1" s="2478"/>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62" t="s">
        <v>2765</v>
      </c>
      <c r="S1" s="2962" t="s">
        <v>2766</v>
      </c>
      <c r="T1" s="2962" t="s">
        <v>2787</v>
      </c>
      <c r="U1" s="2962" t="s">
        <v>2788</v>
      </c>
      <c r="V1" s="2962" t="s">
        <v>2789</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1687</v>
      </c>
      <c r="B3" s="1038" t="e">
        <f>ROUND(B2*10000/D1,0)</f>
        <v>#DIV/0!</v>
      </c>
      <c r="C3" s="1408" t="s">
        <v>926</v>
      </c>
      <c r="D3" s="1409" t="s">
        <v>927</v>
      </c>
      <c r="E3" s="1413"/>
      <c r="F3" s="1414" t="s">
        <v>2940</v>
      </c>
      <c r="G3" s="1039">
        <f>IF(F3="宗地容积率",'数据-汇总表'!I4,IF(F3="估价对象容积率",'数据-汇总表'!I6,'数据-汇总表'!I7))</f>
        <v>4</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2282</v>
      </c>
      <c r="B4" s="2479"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1823</v>
      </c>
      <c r="B5" s="1416" t="s">
        <v>930</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451"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2768</v>
      </c>
      <c r="X7" s="2953">
        <f>G2</f>
        <v>0</v>
      </c>
      <c r="Y7" s="2953" t="s">
        <v>2769</v>
      </c>
      <c r="Z7" s="2954">
        <f>G3</f>
        <v>4</v>
      </c>
      <c r="AA7" s="2194"/>
      <c r="AB7" s="2194"/>
      <c r="AC7" s="2195"/>
      <c r="AD7" s="2955"/>
      <c r="AE7" s="2955"/>
      <c r="AF7" s="2955"/>
      <c r="AG7" s="2955"/>
      <c r="AH7" s="2955"/>
      <c r="AI7" s="2955"/>
      <c r="AJ7" s="2956"/>
    </row>
    <row r="8" spans="1:39" ht="15">
      <c r="A8" s="3452"/>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443" t="s">
        <v>2786</v>
      </c>
      <c r="X8" s="3444"/>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52"/>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442" t="s">
        <v>2782</v>
      </c>
      <c r="X9" s="2957" t="s">
        <v>2783</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52"/>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442"/>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52"/>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442" t="s">
        <v>2784</v>
      </c>
      <c r="X11" s="1048" t="s">
        <v>2769</v>
      </c>
      <c r="Y11" s="1654">
        <f>$G$3</f>
        <v>4</v>
      </c>
      <c r="Z11" s="1654">
        <f t="shared" ref="Z11:AJ11" si="3">$G$3</f>
        <v>4</v>
      </c>
      <c r="AA11" s="1654">
        <f t="shared" si="3"/>
        <v>4</v>
      </c>
      <c r="AB11" s="1654">
        <f t="shared" si="3"/>
        <v>4</v>
      </c>
      <c r="AC11" s="1654">
        <f t="shared" si="3"/>
        <v>4</v>
      </c>
      <c r="AD11" s="1654">
        <f t="shared" si="3"/>
        <v>4</v>
      </c>
      <c r="AE11" s="1654">
        <f t="shared" si="3"/>
        <v>4</v>
      </c>
      <c r="AF11" s="1654">
        <f t="shared" si="3"/>
        <v>4</v>
      </c>
      <c r="AG11" s="1654">
        <f t="shared" si="3"/>
        <v>4</v>
      </c>
      <c r="AH11" s="1654">
        <f t="shared" si="3"/>
        <v>4</v>
      </c>
      <c r="AI11" s="1654">
        <f t="shared" si="3"/>
        <v>4</v>
      </c>
      <c r="AJ11" s="1654">
        <f t="shared" si="3"/>
        <v>4</v>
      </c>
    </row>
    <row r="12" spans="1:39" ht="25.5" thickBot="1">
      <c r="A12" s="3451"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442"/>
      <c r="X12" s="2960" t="s">
        <v>2785</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53"/>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63">
        <v>12</v>
      </c>
      <c r="S13" s="2952"/>
      <c r="T13" s="2963" t="e">
        <f t="shared" si="0"/>
        <v>#DIV/0!</v>
      </c>
      <c r="U13" s="2952"/>
      <c r="V13" s="2963" t="e">
        <f t="shared" si="1"/>
        <v>#DIV/0!</v>
      </c>
      <c r="W13" s="3442"/>
      <c r="X13" s="2960"/>
      <c r="Y13" s="2959">
        <f>(-0.163*(Y12^2)-0.59*Y12+7617)*(10^(-4))/Y11</f>
        <v>0.19042500000000001</v>
      </c>
      <c r="Z13" s="2959">
        <f t="shared" ref="Z13:AJ13" si="5">(-0.163*(Z12^2)-0.59*Z12+7617)*(10^(-4))/Z11</f>
        <v>0.19042500000000001</v>
      </c>
      <c r="AA13" s="2959">
        <f t="shared" si="5"/>
        <v>0.19042500000000001</v>
      </c>
      <c r="AB13" s="2959">
        <f t="shared" si="5"/>
        <v>0.19042500000000001</v>
      </c>
      <c r="AC13" s="2959">
        <f t="shared" si="5"/>
        <v>0.19042500000000001</v>
      </c>
      <c r="AD13" s="2959">
        <f t="shared" si="5"/>
        <v>0.19042500000000001</v>
      </c>
      <c r="AE13" s="2959">
        <f t="shared" si="5"/>
        <v>0.19042500000000001</v>
      </c>
      <c r="AF13" s="2959">
        <f t="shared" si="5"/>
        <v>0.19042500000000001</v>
      </c>
      <c r="AG13" s="2959">
        <f t="shared" si="5"/>
        <v>0.19042500000000001</v>
      </c>
      <c r="AH13" s="2959">
        <f t="shared" si="5"/>
        <v>0.19042500000000001</v>
      </c>
      <c r="AI13" s="2959">
        <f t="shared" si="5"/>
        <v>0.19042500000000001</v>
      </c>
      <c r="AJ13" s="2959">
        <f t="shared" si="5"/>
        <v>0.19042500000000001</v>
      </c>
    </row>
    <row r="14" spans="1:39" ht="12.75" customHeight="1" thickBot="1">
      <c r="A14" s="3453"/>
      <c r="B14" s="1452"/>
      <c r="C14" s="1453"/>
      <c r="D14" s="1454"/>
      <c r="E14" s="1454"/>
      <c r="F14" s="1455"/>
      <c r="G14" s="1456" t="s">
        <v>948</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454"/>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63">
        <v>14</v>
      </c>
      <c r="S15" s="2952"/>
      <c r="T15" s="2963" t="e">
        <f t="shared" si="0"/>
        <v>#DIV/0!</v>
      </c>
      <c r="U15" s="2952"/>
      <c r="V15" s="2963" t="e">
        <f t="shared" si="1"/>
        <v>#DIV/0!</v>
      </c>
      <c r="W15" s="2191"/>
      <c r="X15" s="2191"/>
      <c r="Y15" s="2191"/>
      <c r="Z15" s="2191"/>
      <c r="AA15" s="2191"/>
      <c r="AB15" s="2191"/>
      <c r="AC15" s="2192"/>
    </row>
    <row r="16" spans="1:39" ht="24">
      <c r="A16" s="3451"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452"/>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98" t="s">
        <v>955</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ROUND(IF(H19="按公示增长率计算",SUMPRODUCT((地价!A3:A22=YEAR(G19)&amp;"-"&amp;ROUNDUP(MONTH(G19)/3,0))*(地价!X2:AB2=E2)*(地价!X3:AB22)),IF(H19="地价指数",M20/M19,(1+I19)^O19)),4)</f>
        <v>#DIV/0!</v>
      </c>
      <c r="D19" s="1475" t="s">
        <v>957</v>
      </c>
      <c r="E19" s="1058">
        <v>41640</v>
      </c>
      <c r="F19" s="1475" t="s">
        <v>958</v>
      </c>
      <c r="G19" s="1059">
        <f>'数据-取费表'!B2</f>
        <v>43215</v>
      </c>
      <c r="H19" s="1476" t="s">
        <v>2941</v>
      </c>
      <c r="I19" s="2810" t="str">
        <f>IF(H19="季度增幅（自定义）",SUMIF(N21:N24,E2,O21:O24),"")</f>
        <v/>
      </c>
      <c r="J19" s="1472"/>
      <c r="K19" s="1482"/>
      <c r="L19" s="3066" t="s">
        <v>2844</v>
      </c>
      <c r="M19" s="3067">
        <f>ROUND(SUMIF(地价!B2:F2,E2,地价!B22:F22),0)</f>
        <v>0</v>
      </c>
      <c r="N19" s="2812" t="s">
        <v>1676</v>
      </c>
      <c r="O19" s="2811">
        <f>ROUNDDOWN(DATEDIF(E19,G19,"M")/3,0)</f>
        <v>17</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1836</v>
      </c>
      <c r="B20" s="2805" t="s">
        <v>971</v>
      </c>
      <c r="C20" s="2806" t="e">
        <f>ROUND(POWER(1+G20,J20-I20)*(POWER(1+G20,I20)-1)/(POWER(1+G20,J20)-1),4)</f>
        <v>#DIV/0!</v>
      </c>
      <c r="D20" s="2807" t="s">
        <v>972</v>
      </c>
      <c r="E20" s="3122">
        <f ca="1">存贷款利率!I4/100</f>
        <v>4.3499999999999997E-2</v>
      </c>
      <c r="F20" s="2807" t="s">
        <v>973</v>
      </c>
      <c r="G20" s="2808">
        <f>SUMIF(M15:P15,E2,M17:P17)</f>
        <v>0</v>
      </c>
      <c r="H20" s="2807" t="s">
        <v>974</v>
      </c>
      <c r="I20" s="2797" t="e">
        <f>SUMIF('数据-取费表'!C6:C15,E2,'数据-取费表'!F6:F15)/COUNTIF('数据-取费表'!C6:C15,E2)</f>
        <v>#DIV/0!</v>
      </c>
      <c r="J20" s="2809">
        <f>IF(E2="住宅",70,IF(E2="商业",40,50))</f>
        <v>50</v>
      </c>
      <c r="K20" s="1482"/>
      <c r="L20" s="3068" t="s">
        <v>2845</v>
      </c>
      <c r="M20" s="3069">
        <f>ROUND(SUMPRODUCT((地价!A4:A22=YEAR(G19)&amp;"-"&amp;ROUNDUP(MONTH(G19)/3,0))*(地价!B2:F2=E2)*(地价!B4:F22)),0)</f>
        <v>0</v>
      </c>
      <c r="N20" s="2815" t="s">
        <v>2648</v>
      </c>
      <c r="O20" s="2813" t="s">
        <v>2647</v>
      </c>
      <c r="P20" s="2814" t="s">
        <v>2653</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1837</v>
      </c>
      <c r="B21" s="1481" t="s">
        <v>2764</v>
      </c>
      <c r="C21" s="1158">
        <f>IF(B21="容积率修正",IF(G3&lt;=10,D22,J22),C23)</f>
        <v>0</v>
      </c>
      <c r="D21" s="1482"/>
      <c r="E21" s="1482"/>
      <c r="F21" s="1482"/>
      <c r="G21" s="1482"/>
      <c r="H21" s="1482"/>
      <c r="I21" s="1482"/>
      <c r="J21" s="1483"/>
      <c r="K21" s="1482"/>
      <c r="L21" s="1482"/>
      <c r="M21" s="1482"/>
      <c r="N21" s="1479" t="s">
        <v>975</v>
      </c>
      <c r="O21" s="1543"/>
      <c r="P21" s="2795">
        <f>SUMPRODUCT((地价!A3:A22=YEAR(G19)&amp;"-"&amp;ROUNDUP(MONTH(G19)/3,0))*(地价!AD2:AH2=N21)*(地价!AD3:AH22))</f>
        <v>1.5699999999999999E-2</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95">
        <f>SUMPRODUCT((地价!A3:A22=YEAR(G19)&amp;"-"&amp;ROUNDUP(MONTH(G19)/3,0))*(地价!AD2:AH2=N22)*(地价!AD3:AH22))</f>
        <v>1.5699999999999999E-2</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95">
        <f>SUMPRODUCT((地价!A3:A22=YEAR(G19)&amp;"-"&amp;ROUNDUP(MONTH(G19)/3,0))*(地价!AD2:AH2=N23)*(地价!AD3:AH22))</f>
        <v>2.5000000000000001E-2</v>
      </c>
      <c r="R23" s="2951"/>
      <c r="S23" s="2951"/>
      <c r="T23" s="2951"/>
      <c r="U23" s="2951"/>
      <c r="V23" s="2951"/>
      <c r="W23" s="2197"/>
      <c r="X23" s="2197"/>
      <c r="Y23" s="2197"/>
      <c r="Z23" s="2197"/>
      <c r="AA23" s="2197"/>
      <c r="AB23" s="2197"/>
      <c r="AC23" s="2197"/>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SUMPRODUCT((地价!A3:A22=YEAR(G19)&amp;"-"&amp;ROUNDUP(MONTH(G19)/3,0))*(地价!AD2:AH2=N24)*(地价!AD3:AH22))</f>
        <v>1.35E-2</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823" t="s">
        <v>2651</v>
      </c>
      <c r="O25" s="2197"/>
      <c r="P25" s="1542">
        <f>SUMPRODUCT((地价!A3:A22=YEAR(G19)&amp;"-"&amp;ROUNDUP(MONTH(G19)/3,0))*(地价!AD2:AH2=N25)*(地价!AD3:AH22))</f>
        <v>2.2700000000000001E-2</v>
      </c>
      <c r="R25" s="2951"/>
      <c r="S25" s="2951"/>
      <c r="T25" s="2951"/>
      <c r="U25" s="2951"/>
      <c r="V25" s="2951"/>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57" t="s">
        <v>2968</v>
      </c>
      <c r="B33" s="1525" t="s">
        <v>999</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58"/>
      <c r="B34" s="1446" t="s">
        <v>1000</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58"/>
      <c r="B35" s="1446" t="s">
        <v>1001</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59"/>
      <c r="B36" s="1446" t="s">
        <v>1002</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1006</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1007</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34" t="s">
        <v>1009</v>
      </c>
      <c r="C46" s="2456" t="s">
        <v>1010</v>
      </c>
      <c r="D46" s="2457" t="s">
        <v>1011</v>
      </c>
      <c r="E46" s="2458" t="s">
        <v>1013</v>
      </c>
      <c r="F46" s="2459" t="s">
        <v>2252</v>
      </c>
      <c r="G46" s="2457" t="s">
        <v>1014</v>
      </c>
      <c r="H46" s="2440" t="s">
        <v>2421</v>
      </c>
      <c r="I46" s="2457" t="s">
        <v>1012</v>
      </c>
      <c r="J46" s="2460" t="s">
        <v>1015</v>
      </c>
      <c r="K46" s="2460" t="s">
        <v>1016</v>
      </c>
      <c r="L46" s="2460" t="s">
        <v>1017</v>
      </c>
      <c r="M46" s="2460" t="s">
        <v>1018</v>
      </c>
      <c r="N46" s="2460"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1021</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124" t="s">
        <v>2943</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123" t="s">
        <v>2942</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1026</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1027</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1028</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1029</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34"/>
      <c r="C57" s="2456" t="s">
        <v>1010</v>
      </c>
      <c r="D57" s="2457" t="s">
        <v>1011</v>
      </c>
      <c r="E57" s="2458" t="s">
        <v>1013</v>
      </c>
      <c r="F57" s="2459" t="s">
        <v>2253</v>
      </c>
      <c r="G57" s="2457" t="s">
        <v>1014</v>
      </c>
      <c r="H57" s="2440" t="s">
        <v>2421</v>
      </c>
      <c r="I57" s="2457" t="s">
        <v>1012</v>
      </c>
      <c r="J57" s="2460" t="s">
        <v>1015</v>
      </c>
      <c r="K57" s="2460" t="s">
        <v>1016</v>
      </c>
      <c r="L57" s="2460" t="s">
        <v>1017</v>
      </c>
      <c r="M57" s="2460" t="s">
        <v>1018</v>
      </c>
      <c r="N57" s="2460"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1021</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124" t="s">
        <v>2944</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123" t="s">
        <v>2942</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1028</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1031</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34"/>
      <c r="C68" s="2456" t="s">
        <v>1010</v>
      </c>
      <c r="D68" s="2457" t="s">
        <v>1011</v>
      </c>
      <c r="E68" s="2458" t="s">
        <v>1013</v>
      </c>
      <c r="F68" s="2459" t="s">
        <v>2254</v>
      </c>
      <c r="G68" s="2457" t="s">
        <v>1014</v>
      </c>
      <c r="H68" s="2440" t="s">
        <v>2421</v>
      </c>
      <c r="I68" s="2457" t="s">
        <v>1012</v>
      </c>
      <c r="J68" s="2460" t="s">
        <v>1015</v>
      </c>
      <c r="K68" s="2460" t="s">
        <v>1016</v>
      </c>
      <c r="L68" s="2460" t="s">
        <v>1017</v>
      </c>
      <c r="M68" s="2460" t="s">
        <v>1018</v>
      </c>
      <c r="N68" s="2460"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1032</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1033</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123" t="s">
        <v>2942</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1028</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1035</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1036</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1008</v>
      </c>
      <c r="B79" s="2434"/>
      <c r="C79" s="2456" t="s">
        <v>1010</v>
      </c>
      <c r="D79" s="2457" t="s">
        <v>1011</v>
      </c>
      <c r="E79" s="2458" t="s">
        <v>1013</v>
      </c>
      <c r="F79" s="2459" t="s">
        <v>2255</v>
      </c>
      <c r="G79" s="2457" t="s">
        <v>1014</v>
      </c>
      <c r="H79" s="2440" t="s">
        <v>2421</v>
      </c>
      <c r="I79" s="2457" t="s">
        <v>1012</v>
      </c>
      <c r="J79" s="2460" t="s">
        <v>1015</v>
      </c>
      <c r="K79" s="2460" t="s">
        <v>1016</v>
      </c>
      <c r="L79" s="2460" t="s">
        <v>1017</v>
      </c>
      <c r="M79" s="2460" t="s">
        <v>1018</v>
      </c>
      <c r="N79" s="2460" t="s">
        <v>1019</v>
      </c>
      <c r="AC79" s="1406"/>
      <c r="AD79" s="1405"/>
      <c r="AJ79" s="1404"/>
      <c r="AN79" s="1405"/>
    </row>
    <row r="80" spans="1:40" ht="36">
      <c r="A80" s="1067" t="s">
        <v>1037</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1033</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1022</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1034</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1026</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1027</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1025</v>
      </c>
      <c r="B86" s="3123" t="s">
        <v>2942</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1038</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55" t="s">
        <v>1633</v>
      </c>
      <c r="B90" s="3455"/>
      <c r="C90" s="3455"/>
      <c r="D90" s="3455"/>
      <c r="E90" s="3455"/>
      <c r="F90" s="3455"/>
      <c r="G90" s="3455"/>
      <c r="H90" s="3455"/>
      <c r="I90" s="3455"/>
      <c r="J90" s="3455"/>
      <c r="K90" s="2476"/>
      <c r="L90" s="2476"/>
      <c r="M90" s="2476"/>
      <c r="N90" s="2476"/>
    </row>
    <row r="91" spans="1:40">
      <c r="A91" s="3456" t="s">
        <v>1443</v>
      </c>
      <c r="B91" s="3456" t="s">
        <v>1634</v>
      </c>
      <c r="C91" s="1140" t="s">
        <v>1635</v>
      </c>
      <c r="D91" s="1141"/>
      <c r="E91" s="1141"/>
      <c r="F91" s="1141"/>
      <c r="G91" s="1141"/>
      <c r="H91" s="1141"/>
      <c r="I91" s="1141"/>
      <c r="J91" s="1142"/>
      <c r="K91" s="1134"/>
      <c r="L91" s="1134"/>
      <c r="M91" s="1134"/>
      <c r="N91" s="1134"/>
    </row>
    <row r="92" spans="1:40">
      <c r="A92" s="3456"/>
      <c r="B92" s="3456"/>
      <c r="C92" s="2475" t="s">
        <v>906</v>
      </c>
      <c r="D92" s="2475" t="s">
        <v>884</v>
      </c>
      <c r="E92" s="2475" t="s">
        <v>885</v>
      </c>
      <c r="F92" s="2475" t="s">
        <v>909</v>
      </c>
      <c r="G92" s="2475" t="s">
        <v>887</v>
      </c>
      <c r="H92" s="2475" t="s">
        <v>888</v>
      </c>
      <c r="I92" s="2475" t="s">
        <v>889</v>
      </c>
      <c r="J92" s="2475" t="s">
        <v>890</v>
      </c>
      <c r="K92" s="2475" t="s">
        <v>914</v>
      </c>
      <c r="L92" s="2475" t="s">
        <v>892</v>
      </c>
      <c r="M92" s="2475" t="s">
        <v>893</v>
      </c>
      <c r="N92" s="2475" t="s">
        <v>917</v>
      </c>
    </row>
    <row r="93" spans="1:40">
      <c r="A93" s="3445"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6"/>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5" t="s">
        <v>1637</v>
      </c>
      <c r="B101" s="1147" t="s">
        <v>905</v>
      </c>
      <c r="C101" s="1148">
        <f>$G$3</f>
        <v>4</v>
      </c>
      <c r="D101" s="1148">
        <f t="shared" ref="D101:N101" si="31">$G$3</f>
        <v>4</v>
      </c>
      <c r="E101" s="1148">
        <f t="shared" si="31"/>
        <v>4</v>
      </c>
      <c r="F101" s="1148">
        <f t="shared" si="31"/>
        <v>4</v>
      </c>
      <c r="G101" s="1148">
        <f t="shared" si="31"/>
        <v>4</v>
      </c>
      <c r="H101" s="1148">
        <f t="shared" si="31"/>
        <v>4</v>
      </c>
      <c r="I101" s="1148">
        <f t="shared" si="31"/>
        <v>4</v>
      </c>
      <c r="J101" s="1148">
        <f t="shared" si="31"/>
        <v>4</v>
      </c>
      <c r="K101" s="1148">
        <f t="shared" si="31"/>
        <v>4</v>
      </c>
      <c r="L101" s="1148">
        <f t="shared" si="31"/>
        <v>4</v>
      </c>
      <c r="M101" s="1148">
        <f t="shared" si="31"/>
        <v>4</v>
      </c>
      <c r="N101" s="1148">
        <f t="shared" si="31"/>
        <v>4</v>
      </c>
    </row>
    <row r="102" spans="1:14">
      <c r="A102" s="3446"/>
      <c r="B102" s="1143">
        <v>1</v>
      </c>
      <c r="C102" s="1144">
        <f>1.9362/C101</f>
        <v>0.48404999999999998</v>
      </c>
      <c r="D102" s="1144">
        <f>1.9362/D101</f>
        <v>0.48404999999999998</v>
      </c>
      <c r="E102" s="1144">
        <f>1.8629/E101</f>
        <v>0.465725</v>
      </c>
      <c r="F102" s="1144">
        <f>1.8629/F101</f>
        <v>0.465725</v>
      </c>
      <c r="G102" s="1144">
        <f>1.8629/G101</f>
        <v>0.465725</v>
      </c>
      <c r="H102" s="1144">
        <f>1.8629/H101</f>
        <v>0.465725</v>
      </c>
      <c r="I102" s="1144">
        <f>1.8629/I101</f>
        <v>0.465725</v>
      </c>
      <c r="J102" s="1144">
        <f>1.942/J101</f>
        <v>0.48549999999999999</v>
      </c>
      <c r="K102" s="1144">
        <f>1.942/K101</f>
        <v>0.48549999999999999</v>
      </c>
      <c r="L102" s="1144">
        <f>1.942/L101</f>
        <v>0.48549999999999999</v>
      </c>
      <c r="M102" s="1144">
        <f>1.942/M101</f>
        <v>0.48549999999999999</v>
      </c>
      <c r="N102" s="1144">
        <f>1.942/N101</f>
        <v>0.48549999999999999</v>
      </c>
    </row>
    <row r="103" spans="1:14">
      <c r="A103" s="3446"/>
      <c r="B103" s="1143">
        <v>2</v>
      </c>
      <c r="C103" s="1144">
        <f>1.4198/C101</f>
        <v>0.35494999999999999</v>
      </c>
      <c r="D103" s="1144">
        <f>1.4198/D101</f>
        <v>0.35494999999999999</v>
      </c>
      <c r="E103" s="1144">
        <f>1.3372/E101</f>
        <v>0.33429999999999999</v>
      </c>
      <c r="F103" s="1144">
        <f>1.3372/F101</f>
        <v>0.33429999999999999</v>
      </c>
      <c r="G103" s="1144">
        <f>1.3372/G101</f>
        <v>0.33429999999999999</v>
      </c>
      <c r="H103" s="1144">
        <f>1.3372/H101</f>
        <v>0.33429999999999999</v>
      </c>
      <c r="I103" s="1144">
        <f>1.3372/I101</f>
        <v>0.33429999999999999</v>
      </c>
      <c r="J103" s="1144">
        <f>1.2799/J101</f>
        <v>0.31997500000000001</v>
      </c>
      <c r="K103" s="1144">
        <f>1.2799/K101</f>
        <v>0.31997500000000001</v>
      </c>
      <c r="L103" s="1144">
        <f>1.2799/L101</f>
        <v>0.31997500000000001</v>
      </c>
      <c r="M103" s="1144">
        <f>1.2799/M101</f>
        <v>0.31997500000000001</v>
      </c>
      <c r="N103" s="1144">
        <f>1.2799/N101</f>
        <v>0.31997500000000001</v>
      </c>
    </row>
    <row r="104" spans="1:14">
      <c r="A104" s="3446"/>
      <c r="B104" s="1143">
        <v>3</v>
      </c>
      <c r="C104" s="1144">
        <f>1.1594/C101</f>
        <v>0.28985</v>
      </c>
      <c r="D104" s="1144">
        <f>1.1594/D101</f>
        <v>0.28985</v>
      </c>
      <c r="E104" s="1144">
        <f>1.0788/E101</f>
        <v>0.2697</v>
      </c>
      <c r="F104" s="1144">
        <f>1.0788/F101</f>
        <v>0.2697</v>
      </c>
      <c r="G104" s="1144">
        <f>1.0788/G101</f>
        <v>0.2697</v>
      </c>
      <c r="H104" s="1144">
        <f>1.0788/H101</f>
        <v>0.2697</v>
      </c>
      <c r="I104" s="1144">
        <f>1.0788/I101</f>
        <v>0.2697</v>
      </c>
      <c r="J104" s="1144">
        <f>1.0072/J101</f>
        <v>0.25180000000000002</v>
      </c>
      <c r="K104" s="1144">
        <f>1.0072/K101</f>
        <v>0.25180000000000002</v>
      </c>
      <c r="L104" s="1144">
        <f>1.0072/L101</f>
        <v>0.25180000000000002</v>
      </c>
      <c r="M104" s="1144">
        <f>1.0072/M101</f>
        <v>0.25180000000000002</v>
      </c>
      <c r="N104" s="1144">
        <f>1.0072/N101</f>
        <v>0.25180000000000002</v>
      </c>
    </row>
    <row r="105" spans="1:14">
      <c r="A105" s="3446"/>
      <c r="B105" s="1143">
        <v>4</v>
      </c>
      <c r="C105" s="1144">
        <f>0.9622/C101</f>
        <v>0.24055000000000001</v>
      </c>
      <c r="D105" s="1144">
        <f>0.9622/D101</f>
        <v>0.24055000000000001</v>
      </c>
      <c r="E105" s="1144">
        <f>0.8656/E101</f>
        <v>0.21640000000000001</v>
      </c>
      <c r="F105" s="1144">
        <f>0.8656/F101</f>
        <v>0.21640000000000001</v>
      </c>
      <c r="G105" s="1144">
        <f>0.8656/G101</f>
        <v>0.21640000000000001</v>
      </c>
      <c r="H105" s="1144">
        <f>0.8656/H101</f>
        <v>0.21640000000000001</v>
      </c>
      <c r="I105" s="1144">
        <f>0.8656/I101</f>
        <v>0.21640000000000001</v>
      </c>
      <c r="J105" s="1144">
        <f>0.7525/J101</f>
        <v>0.18812499999999999</v>
      </c>
      <c r="K105" s="1144">
        <f>0.7525/K101</f>
        <v>0.18812499999999999</v>
      </c>
      <c r="L105" s="1144">
        <f>0.7525/L101</f>
        <v>0.18812499999999999</v>
      </c>
      <c r="M105" s="1144">
        <f>0.7525/M101</f>
        <v>0.18812499999999999</v>
      </c>
      <c r="N105" s="1144">
        <f>0.7525/N101</f>
        <v>0.18812499999999999</v>
      </c>
    </row>
    <row r="106" spans="1:14">
      <c r="A106" s="3446"/>
      <c r="B106" s="1143">
        <v>5</v>
      </c>
      <c r="C106" s="1144">
        <f>0.8417/C101</f>
        <v>0.210425</v>
      </c>
      <c r="D106" s="1144">
        <f>0.8417/D101</f>
        <v>0.210425</v>
      </c>
      <c r="E106" s="1144">
        <f>0.7371/E101</f>
        <v>0.18427499999999999</v>
      </c>
      <c r="F106" s="1144">
        <f>0.7371/F101</f>
        <v>0.18427499999999999</v>
      </c>
      <c r="G106" s="1144">
        <f>0.7371/G101</f>
        <v>0.18427499999999999</v>
      </c>
      <c r="H106" s="1144">
        <f>0.7371/H101</f>
        <v>0.18427499999999999</v>
      </c>
      <c r="I106" s="1144">
        <f>0.7371/I101</f>
        <v>0.18427499999999999</v>
      </c>
      <c r="J106" s="1144">
        <f>0.5659/J101</f>
        <v>0.14147499999999999</v>
      </c>
      <c r="K106" s="1144">
        <f>0.5659/K101</f>
        <v>0.14147499999999999</v>
      </c>
      <c r="L106" s="1144">
        <f>0.5659/L101</f>
        <v>0.14147499999999999</v>
      </c>
      <c r="M106" s="1144">
        <f>0.5659/M101</f>
        <v>0.14147499999999999</v>
      </c>
      <c r="N106" s="1144">
        <f>0.5659/N101</f>
        <v>0.14147499999999999</v>
      </c>
    </row>
    <row r="107" spans="1:14">
      <c r="A107" s="3446"/>
      <c r="B107" s="1143">
        <v>6</v>
      </c>
      <c r="C107" s="1144">
        <f>0.7608/C101</f>
        <v>0.19020000000000001</v>
      </c>
      <c r="D107" s="1144">
        <f>0.7608/D101</f>
        <v>0.19020000000000001</v>
      </c>
      <c r="E107" s="1144">
        <f>0.6482/E101</f>
        <v>0.16205</v>
      </c>
      <c r="F107" s="1144">
        <f>0.6482/F101</f>
        <v>0.16205</v>
      </c>
      <c r="G107" s="1144">
        <f>0.6482/G101</f>
        <v>0.16205</v>
      </c>
      <c r="H107" s="1144">
        <f>0.6482/H101</f>
        <v>0.16205</v>
      </c>
      <c r="I107" s="1144">
        <f>0.6482/I101</f>
        <v>0.16205</v>
      </c>
      <c r="J107" s="1144">
        <f>0.4525/J101</f>
        <v>0.113125</v>
      </c>
      <c r="K107" s="1144">
        <f>0.4525/K101</f>
        <v>0.113125</v>
      </c>
      <c r="L107" s="1144">
        <f>0.4525/L101</f>
        <v>0.113125</v>
      </c>
      <c r="M107" s="1144">
        <f>0.4525/M101</f>
        <v>0.113125</v>
      </c>
      <c r="N107" s="1144">
        <f>0.4525/N101</f>
        <v>0.113125</v>
      </c>
    </row>
    <row r="108" spans="1:14">
      <c r="A108" s="3446"/>
      <c r="B108" s="3448"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7"/>
      <c r="B109" s="3449"/>
      <c r="C109" s="1146">
        <f>(-0.163*(C108^2)-0.59*C108+7617)*(10^(-4))/C101</f>
        <v>0.1900462</v>
      </c>
      <c r="D109" s="1146">
        <f>(-0.163*(D108^2)-0.59*D108+7617)*(10^(-4))/D101</f>
        <v>0.1900462</v>
      </c>
      <c r="E109" s="1146">
        <f>(-0.161*(E108^2)-7.509*E108+6533)*(10^(-4))/E101</f>
        <v>0.1615656</v>
      </c>
      <c r="F109" s="1146">
        <f>(-0.161*(F108^2)-7.509*F108+6533)*(10^(-4))/F101</f>
        <v>0.1615656</v>
      </c>
      <c r="G109" s="1146">
        <f>(-0.161*(G108^2)-7.509*G108+6533)*(10^(-4))/G101</f>
        <v>0.1615656</v>
      </c>
      <c r="H109" s="1146">
        <f>(-0.161*(H108^2)-7.509*H108+6533)*(10^(-4))/H101</f>
        <v>0.1615656</v>
      </c>
      <c r="I109" s="1146">
        <f>(-0.161*(I108^2)-7.509*I108+6533)*(10^(-4))/I101</f>
        <v>0.1615656</v>
      </c>
      <c r="J109" s="1146">
        <f>(-0.214*(J108^2)-21.991*J108+4665)*(10^(-4))/J101</f>
        <v>0.11188440000000001</v>
      </c>
      <c r="K109" s="1146">
        <f>(-0.214*(K108^2)-21.991*K108+4665)*(10^(-4))/K101</f>
        <v>0.11188440000000001</v>
      </c>
      <c r="L109" s="1146">
        <f>(-0.214*(L108^2)-21.991*L108+4665)*(10^(-4))/L101</f>
        <v>0.11188440000000001</v>
      </c>
      <c r="M109" s="1146">
        <f>(-0.214*(M108^2)-21.991*M108+4665)*(10^(-4))/M101</f>
        <v>0.11188440000000001</v>
      </c>
      <c r="N109" s="1146">
        <f>(-0.214*(N108^2)-21.991*N108+4665)*(10^(-4))/N101</f>
        <v>0.11188440000000001</v>
      </c>
    </row>
    <row r="110" spans="1:14">
      <c r="A110" s="3450" t="s">
        <v>1639</v>
      </c>
      <c r="B110" s="3450"/>
      <c r="C110" s="3450"/>
      <c r="D110" s="3450"/>
      <c r="E110" s="3450"/>
      <c r="F110" s="3450"/>
      <c r="G110" s="3450"/>
      <c r="H110" s="3450"/>
      <c r="I110" s="3450"/>
      <c r="J110" s="3450"/>
      <c r="K110" s="2474"/>
      <c r="L110" s="2474"/>
      <c r="M110" s="2474"/>
      <c r="N110" s="2474"/>
    </row>
    <row r="112" spans="1:14" ht="12.75" thickBot="1"/>
    <row r="113" spans="1:13" ht="25.5" thickBot="1">
      <c r="A113" s="1016" t="s">
        <v>895</v>
      </c>
      <c r="B113" s="2477">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56" t="s">
        <v>1007</v>
      </c>
      <c r="B18" s="1154" t="s">
        <v>1446</v>
      </c>
      <c r="C18" s="1131" t="s">
        <v>1447</v>
      </c>
      <c r="D18" s="1132"/>
      <c r="E18" s="1154">
        <v>1</v>
      </c>
      <c r="F18" s="1133" t="s">
        <v>1448</v>
      </c>
      <c r="G18" s="1134"/>
      <c r="H18" s="1105"/>
      <c r="I18" s="1105"/>
    </row>
    <row r="19" spans="1:9" s="1600" customFormat="1" ht="19.5" customHeight="1">
      <c r="A19" s="3456"/>
      <c r="B19" s="3456" t="s">
        <v>1449</v>
      </c>
      <c r="C19" s="1131" t="s">
        <v>1450</v>
      </c>
      <c r="D19" s="1132"/>
      <c r="E19" s="1154">
        <v>0.9</v>
      </c>
      <c r="F19" s="1133" t="s">
        <v>1451</v>
      </c>
      <c r="G19" s="1134"/>
      <c r="H19" s="1105"/>
      <c r="I19" s="1105"/>
    </row>
    <row r="20" spans="1:9" s="1600" customFormat="1" ht="19.5" customHeight="1">
      <c r="A20" s="3456"/>
      <c r="B20" s="3456"/>
      <c r="C20" s="1131" t="s">
        <v>1452</v>
      </c>
      <c r="D20" s="1132"/>
      <c r="E20" s="1154">
        <v>1.1000000000000001</v>
      </c>
      <c r="F20" s="1133" t="s">
        <v>1453</v>
      </c>
      <c r="G20" s="1134"/>
      <c r="H20" s="1105"/>
      <c r="I20" s="1105"/>
    </row>
    <row r="21" spans="1:9" s="1600" customFormat="1" ht="19.5" customHeight="1">
      <c r="A21" s="3456"/>
      <c r="B21" s="3456"/>
      <c r="C21" s="1131" t="s">
        <v>1454</v>
      </c>
      <c r="D21" s="1132"/>
      <c r="E21" s="1154">
        <v>0.8</v>
      </c>
      <c r="F21" s="1133" t="s">
        <v>1455</v>
      </c>
      <c r="G21" s="1134"/>
      <c r="H21" s="1105"/>
      <c r="I21" s="1105"/>
    </row>
    <row r="22" spans="1:9" s="1600" customFormat="1" ht="19.5" customHeight="1">
      <c r="A22" s="3456"/>
      <c r="B22" s="3456"/>
      <c r="C22" s="1131" t="s">
        <v>1456</v>
      </c>
      <c r="D22" s="1132"/>
      <c r="E22" s="1154">
        <v>0.5</v>
      </c>
      <c r="F22" s="1133"/>
      <c r="G22" s="1134"/>
      <c r="H22" s="1105"/>
      <c r="I22" s="1105"/>
    </row>
    <row r="23" spans="1:9" s="1600" customFormat="1" ht="19.5" customHeight="1">
      <c r="A23" s="3456" t="s">
        <v>1029</v>
      </c>
      <c r="B23" s="1154" t="s">
        <v>1446</v>
      </c>
      <c r="C23" s="1131" t="s">
        <v>1457</v>
      </c>
      <c r="D23" s="1132"/>
      <c r="E23" s="1154">
        <v>1</v>
      </c>
      <c r="F23" s="1133" t="s">
        <v>1458</v>
      </c>
      <c r="G23" s="1134"/>
      <c r="H23" s="1105"/>
      <c r="I23" s="1105"/>
    </row>
    <row r="24" spans="1:9" s="1600" customFormat="1" ht="19.5" customHeight="1">
      <c r="A24" s="3456"/>
      <c r="B24" s="3456" t="s">
        <v>1449</v>
      </c>
      <c r="C24" s="1131" t="s">
        <v>1459</v>
      </c>
      <c r="D24" s="1132"/>
      <c r="E24" s="1154">
        <v>0.5</v>
      </c>
      <c r="F24" s="1133"/>
      <c r="G24" s="1134"/>
      <c r="H24" s="1105"/>
      <c r="I24" s="1105"/>
    </row>
    <row r="25" spans="1:9" s="1600" customFormat="1" ht="19.5" customHeight="1">
      <c r="A25" s="3456"/>
      <c r="B25" s="3456"/>
      <c r="C25" s="1131" t="s">
        <v>1460</v>
      </c>
      <c r="D25" s="1132"/>
      <c r="E25" s="1154">
        <v>1.1000000000000001</v>
      </c>
      <c r="F25" s="1133"/>
      <c r="G25" s="1134"/>
      <c r="H25" s="1105"/>
      <c r="I25" s="1105"/>
    </row>
    <row r="26" spans="1:9" s="1600" customFormat="1" ht="19.5" customHeight="1">
      <c r="A26" s="3456"/>
      <c r="B26" s="3456"/>
      <c r="C26" s="1131" t="s">
        <v>1461</v>
      </c>
      <c r="D26" s="1132"/>
      <c r="E26" s="1154">
        <v>1.1000000000000001</v>
      </c>
      <c r="F26" s="1133"/>
      <c r="G26" s="1134"/>
      <c r="H26" s="1105"/>
      <c r="I26" s="1105"/>
    </row>
    <row r="27" spans="1:9" s="1600" customFormat="1" ht="19.5" customHeight="1">
      <c r="A27" s="3456"/>
      <c r="B27" s="3456"/>
      <c r="C27" s="1131" t="s">
        <v>1462</v>
      </c>
      <c r="D27" s="1132"/>
      <c r="E27" s="1154">
        <v>0.9</v>
      </c>
      <c r="F27" s="1133" t="s">
        <v>1463</v>
      </c>
      <c r="G27" s="1134"/>
      <c r="H27" s="1105"/>
      <c r="I27" s="1105"/>
    </row>
    <row r="28" spans="1:9" s="1600" customFormat="1" ht="19.5" customHeight="1">
      <c r="A28" s="3456"/>
      <c r="B28" s="3456"/>
      <c r="C28" s="1131" t="s">
        <v>1464</v>
      </c>
      <c r="D28" s="1132"/>
      <c r="E28" s="1154">
        <v>0.9</v>
      </c>
      <c r="F28" s="1133" t="s">
        <v>1465</v>
      </c>
      <c r="G28" s="1134"/>
      <c r="H28" s="1105"/>
      <c r="I28" s="1105"/>
    </row>
    <row r="29" spans="1:9" s="1600" customFormat="1" ht="19.5" customHeight="1">
      <c r="A29" s="3456"/>
      <c r="B29" s="3456"/>
      <c r="C29" s="1131" t="s">
        <v>1466</v>
      </c>
      <c r="D29" s="1132"/>
      <c r="E29" s="1154">
        <v>0.9</v>
      </c>
      <c r="F29" s="1133" t="s">
        <v>1467</v>
      </c>
      <c r="G29" s="1134"/>
      <c r="H29" s="1105"/>
      <c r="I29" s="1105"/>
    </row>
    <row r="30" spans="1:9" s="1600" customFormat="1" ht="19.5" customHeight="1">
      <c r="A30" s="3456"/>
      <c r="B30" s="3456"/>
      <c r="C30" s="1131" t="s">
        <v>1468</v>
      </c>
      <c r="D30" s="1132"/>
      <c r="E30" s="1154">
        <v>0.9</v>
      </c>
      <c r="F30" s="1133" t="s">
        <v>1469</v>
      </c>
      <c r="G30" s="1134"/>
      <c r="H30" s="1105"/>
      <c r="I30" s="1105"/>
    </row>
    <row r="31" spans="1:9" s="1600" customFormat="1" ht="19.5" customHeight="1">
      <c r="A31" s="3456"/>
      <c r="B31" s="3456"/>
      <c r="C31" s="1131" t="s">
        <v>1470</v>
      </c>
      <c r="D31" s="1132"/>
      <c r="E31" s="1154">
        <v>0.8</v>
      </c>
      <c r="F31" s="1133" t="s">
        <v>1471</v>
      </c>
      <c r="G31" s="1134"/>
      <c r="H31" s="1105"/>
      <c r="I31" s="1105"/>
    </row>
    <row r="32" spans="1:9" s="1600" customFormat="1" ht="19.5" customHeight="1">
      <c r="A32" s="3456"/>
      <c r="B32" s="3456"/>
      <c r="C32" s="1131" t="s">
        <v>1472</v>
      </c>
      <c r="D32" s="1132"/>
      <c r="E32" s="1154">
        <v>0.8</v>
      </c>
      <c r="F32" s="1133" t="s">
        <v>1473</v>
      </c>
      <c r="G32" s="1134"/>
      <c r="H32" s="1105"/>
      <c r="I32" s="1105"/>
    </row>
    <row r="33" spans="1:9" s="1600" customFormat="1" ht="19.5" customHeight="1">
      <c r="A33" s="3456" t="s">
        <v>1474</v>
      </c>
      <c r="B33" s="1154" t="s">
        <v>1446</v>
      </c>
      <c r="C33" s="1131" t="s">
        <v>1475</v>
      </c>
      <c r="D33" s="1132"/>
      <c r="E33" s="1154">
        <v>1</v>
      </c>
      <c r="F33" s="1133" t="s">
        <v>1476</v>
      </c>
      <c r="G33" s="1134"/>
      <c r="H33" s="1105"/>
      <c r="I33" s="1105"/>
    </row>
    <row r="34" spans="1:9" s="1600" customFormat="1" ht="19.5" customHeight="1">
      <c r="A34" s="3456"/>
      <c r="B34" s="1154" t="s">
        <v>1449</v>
      </c>
      <c r="C34" s="1131" t="s">
        <v>1477</v>
      </c>
      <c r="D34" s="1132"/>
      <c r="E34" s="1154">
        <v>1.5</v>
      </c>
      <c r="F34" s="1133" t="s">
        <v>1478</v>
      </c>
      <c r="G34" s="1134"/>
      <c r="H34" s="1105"/>
      <c r="I34" s="1105"/>
    </row>
    <row r="35" spans="1:9" s="1600" customFormat="1" ht="19.5" customHeight="1">
      <c r="A35" s="3456" t="s">
        <v>1432</v>
      </c>
      <c r="B35" s="1154" t="s">
        <v>1446</v>
      </c>
      <c r="C35" s="1131" t="s">
        <v>1479</v>
      </c>
      <c r="D35" s="1132"/>
      <c r="E35" s="1154">
        <v>1</v>
      </c>
      <c r="F35" s="1133" t="s">
        <v>1480</v>
      </c>
      <c r="G35" s="1134"/>
      <c r="H35" s="1105"/>
      <c r="I35" s="1105"/>
    </row>
    <row r="36" spans="1:9" s="1600" customFormat="1" ht="19.5" customHeight="1">
      <c r="A36" s="3456"/>
      <c r="B36" s="3456" t="s">
        <v>1449</v>
      </c>
      <c r="C36" s="1131" t="s">
        <v>1481</v>
      </c>
      <c r="D36" s="1132"/>
      <c r="E36" s="1154">
        <v>1</v>
      </c>
      <c r="F36" s="1133" t="s">
        <v>1482</v>
      </c>
      <c r="G36" s="1134"/>
      <c r="H36" s="1105"/>
      <c r="I36" s="1105"/>
    </row>
    <row r="37" spans="1:9" s="1600" customFormat="1" ht="19.5" customHeight="1">
      <c r="A37" s="3456"/>
      <c r="B37" s="3456"/>
      <c r="C37" s="1131" t="s">
        <v>1483</v>
      </c>
      <c r="D37" s="1132"/>
      <c r="E37" s="1154">
        <v>1.5</v>
      </c>
      <c r="F37" s="1133" t="s">
        <v>1484</v>
      </c>
      <c r="G37" s="1134"/>
      <c r="H37" s="1105"/>
      <c r="I37" s="1105"/>
    </row>
    <row r="38" spans="1:9" s="1600" customFormat="1" ht="19.5" customHeight="1">
      <c r="A38" s="3456"/>
      <c r="B38" s="3456"/>
      <c r="C38" s="1131" t="s">
        <v>1485</v>
      </c>
      <c r="D38" s="1132"/>
      <c r="E38" s="1154">
        <v>1</v>
      </c>
      <c r="F38" s="1133" t="s">
        <v>1486</v>
      </c>
      <c r="G38" s="1134"/>
      <c r="H38" s="1105"/>
      <c r="I38" s="1105"/>
    </row>
    <row r="39" spans="1:9" s="1600" customFormat="1" ht="19.5" customHeight="1">
      <c r="A39" s="3456"/>
      <c r="B39" s="3456"/>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56" t="s">
        <v>1501</v>
      </c>
      <c r="C61" s="1068" t="s">
        <v>1502</v>
      </c>
      <c r="D61" s="1068" t="s">
        <v>1503</v>
      </c>
      <c r="E61" s="1139">
        <v>0.5</v>
      </c>
      <c r="F61" s="1154">
        <v>80</v>
      </c>
      <c r="H61" s="1105">
        <f>SUMIF(C59:C119,基准地价!C8,E59:E119)</f>
        <v>0</v>
      </c>
    </row>
    <row r="62" spans="1:8" s="1105" customFormat="1" ht="24">
      <c r="A62" s="1154">
        <v>2</v>
      </c>
      <c r="B62" s="3456"/>
      <c r="C62" s="1068" t="s">
        <v>1504</v>
      </c>
      <c r="D62" s="1068" t="s">
        <v>1505</v>
      </c>
      <c r="E62" s="1139">
        <v>0.5</v>
      </c>
      <c r="F62" s="1154">
        <v>80</v>
      </c>
    </row>
    <row r="63" spans="1:8" s="1105" customFormat="1" ht="36">
      <c r="A63" s="1154">
        <v>3</v>
      </c>
      <c r="B63" s="3456"/>
      <c r="C63" s="1068" t="s">
        <v>1506</v>
      </c>
      <c r="D63" s="1068" t="s">
        <v>1507</v>
      </c>
      <c r="E63" s="1139">
        <v>0.5</v>
      </c>
      <c r="F63" s="1154">
        <v>80</v>
      </c>
    </row>
    <row r="64" spans="1:8" s="1105" customFormat="1" ht="36">
      <c r="A64" s="1154">
        <v>4</v>
      </c>
      <c r="B64" s="3456"/>
      <c r="C64" s="1068" t="s">
        <v>1508</v>
      </c>
      <c r="D64" s="1068" t="s">
        <v>1509</v>
      </c>
      <c r="E64" s="1139">
        <v>0.4</v>
      </c>
      <c r="F64" s="1154">
        <v>60</v>
      </c>
    </row>
    <row r="65" spans="1:6" s="1105" customFormat="1" ht="36">
      <c r="A65" s="1154">
        <v>5</v>
      </c>
      <c r="B65" s="3456"/>
      <c r="C65" s="1068" t="s">
        <v>1510</v>
      </c>
      <c r="D65" s="1068" t="s">
        <v>1511</v>
      </c>
      <c r="E65" s="1139">
        <v>0.2</v>
      </c>
      <c r="F65" s="1154">
        <v>30</v>
      </c>
    </row>
    <row r="66" spans="1:6" s="1105" customFormat="1" ht="36">
      <c r="A66" s="1154">
        <v>6</v>
      </c>
      <c r="B66" s="3456"/>
      <c r="C66" s="1068" t="s">
        <v>1512</v>
      </c>
      <c r="D66" s="1068" t="s">
        <v>1513</v>
      </c>
      <c r="E66" s="1139">
        <v>0.3</v>
      </c>
      <c r="F66" s="1154">
        <v>50</v>
      </c>
    </row>
    <row r="67" spans="1:6" s="1105" customFormat="1" ht="36">
      <c r="A67" s="1154">
        <v>7</v>
      </c>
      <c r="B67" s="3456"/>
      <c r="C67" s="1068" t="s">
        <v>1514</v>
      </c>
      <c r="D67" s="1068" t="s">
        <v>1515</v>
      </c>
      <c r="E67" s="1139">
        <v>0.2</v>
      </c>
      <c r="F67" s="1154">
        <v>30</v>
      </c>
    </row>
    <row r="68" spans="1:6" s="1105" customFormat="1" ht="36">
      <c r="A68" s="1154">
        <v>8</v>
      </c>
      <c r="B68" s="3456"/>
      <c r="C68" s="1068" t="s">
        <v>1516</v>
      </c>
      <c r="D68" s="1068" t="s">
        <v>1517</v>
      </c>
      <c r="E68" s="1139">
        <v>0.2</v>
      </c>
      <c r="F68" s="1154">
        <v>30</v>
      </c>
    </row>
    <row r="69" spans="1:6" s="1105" customFormat="1" ht="36">
      <c r="A69" s="1154">
        <v>9</v>
      </c>
      <c r="B69" s="3456"/>
      <c r="C69" s="1068" t="s">
        <v>1518</v>
      </c>
      <c r="D69" s="1068" t="s">
        <v>1519</v>
      </c>
      <c r="E69" s="1139">
        <v>0.2</v>
      </c>
      <c r="F69" s="1154">
        <v>30</v>
      </c>
    </row>
    <row r="70" spans="1:6" s="1105" customFormat="1" ht="48">
      <c r="A70" s="1154">
        <v>10</v>
      </c>
      <c r="B70" s="3456"/>
      <c r="C70" s="1068" t="s">
        <v>1520</v>
      </c>
      <c r="D70" s="1068" t="s">
        <v>1521</v>
      </c>
      <c r="E70" s="1139">
        <v>0.2</v>
      </c>
      <c r="F70" s="1154">
        <v>30</v>
      </c>
    </row>
    <row r="71" spans="1:6" s="1105" customFormat="1" ht="48">
      <c r="A71" s="1154">
        <v>11</v>
      </c>
      <c r="B71" s="3456"/>
      <c r="C71" s="1068" t="s">
        <v>1522</v>
      </c>
      <c r="D71" s="1068" t="s">
        <v>1523</v>
      </c>
      <c r="E71" s="1139">
        <v>0.2</v>
      </c>
      <c r="F71" s="1154">
        <v>30</v>
      </c>
    </row>
    <row r="72" spans="1:6" s="1105" customFormat="1" ht="36">
      <c r="A72" s="1154">
        <v>12</v>
      </c>
      <c r="B72" s="3456"/>
      <c r="C72" s="1068" t="s">
        <v>1524</v>
      </c>
      <c r="D72" s="1068" t="s">
        <v>1525</v>
      </c>
      <c r="E72" s="1139">
        <v>0.5</v>
      </c>
      <c r="F72" s="1154">
        <v>80</v>
      </c>
    </row>
    <row r="73" spans="1:6" s="1105" customFormat="1" ht="24">
      <c r="A73" s="1154">
        <v>13</v>
      </c>
      <c r="B73" s="3456"/>
      <c r="C73" s="1068" t="s">
        <v>1526</v>
      </c>
      <c r="D73" s="1068" t="s">
        <v>1527</v>
      </c>
      <c r="E73" s="1139">
        <v>0.4</v>
      </c>
      <c r="F73" s="1154">
        <v>60</v>
      </c>
    </row>
    <row r="74" spans="1:6" s="1105" customFormat="1" ht="24">
      <c r="A74" s="1154">
        <v>14</v>
      </c>
      <c r="B74" s="3456"/>
      <c r="C74" s="1068" t="s">
        <v>1528</v>
      </c>
      <c r="D74" s="1068" t="s">
        <v>1529</v>
      </c>
      <c r="E74" s="1139">
        <v>0.2</v>
      </c>
      <c r="F74" s="1154">
        <v>30</v>
      </c>
    </row>
    <row r="75" spans="1:6" s="1105" customFormat="1" ht="24">
      <c r="A75" s="1154">
        <v>15</v>
      </c>
      <c r="B75" s="3456"/>
      <c r="C75" s="1068" t="s">
        <v>1530</v>
      </c>
      <c r="D75" s="1068" t="s">
        <v>1531</v>
      </c>
      <c r="E75" s="1139">
        <v>0.2</v>
      </c>
      <c r="F75" s="1154">
        <v>30</v>
      </c>
    </row>
    <row r="76" spans="1:6" s="1105" customFormat="1" ht="24">
      <c r="A76" s="1154">
        <v>16</v>
      </c>
      <c r="B76" s="3456" t="s">
        <v>1532</v>
      </c>
      <c r="C76" s="1068" t="s">
        <v>1533</v>
      </c>
      <c r="D76" s="1068" t="s">
        <v>1534</v>
      </c>
      <c r="E76" s="1139">
        <v>0.5</v>
      </c>
      <c r="F76" s="1154">
        <v>80</v>
      </c>
    </row>
    <row r="77" spans="1:6" s="1105" customFormat="1" ht="24">
      <c r="A77" s="1154">
        <v>17</v>
      </c>
      <c r="B77" s="3456"/>
      <c r="C77" s="1068" t="s">
        <v>1535</v>
      </c>
      <c r="D77" s="1068" t="s">
        <v>1536</v>
      </c>
      <c r="E77" s="1139">
        <v>0.5</v>
      </c>
      <c r="F77" s="1154">
        <v>80</v>
      </c>
    </row>
    <row r="78" spans="1:6" s="1105" customFormat="1" ht="24">
      <c r="A78" s="1154">
        <v>18</v>
      </c>
      <c r="B78" s="3456"/>
      <c r="C78" s="1068" t="s">
        <v>1537</v>
      </c>
      <c r="D78" s="1068" t="s">
        <v>1538</v>
      </c>
      <c r="E78" s="1139">
        <v>0.2</v>
      </c>
      <c r="F78" s="1154">
        <v>30</v>
      </c>
    </row>
    <row r="79" spans="1:6" s="1105" customFormat="1" ht="24">
      <c r="A79" s="1154">
        <v>19</v>
      </c>
      <c r="B79" s="3456"/>
      <c r="C79" s="1068" t="s">
        <v>1539</v>
      </c>
      <c r="D79" s="1068" t="s">
        <v>1540</v>
      </c>
      <c r="E79" s="1139">
        <v>0.5</v>
      </c>
      <c r="F79" s="1154">
        <v>80</v>
      </c>
    </row>
    <row r="80" spans="1:6" s="1105" customFormat="1" ht="36">
      <c r="A80" s="1154">
        <v>20</v>
      </c>
      <c r="B80" s="3456"/>
      <c r="C80" s="1068" t="s">
        <v>1541</v>
      </c>
      <c r="D80" s="1068" t="s">
        <v>1542</v>
      </c>
      <c r="E80" s="1139">
        <v>0.2</v>
      </c>
      <c r="F80" s="1154">
        <v>30</v>
      </c>
    </row>
    <row r="81" spans="1:6" s="1105" customFormat="1" ht="36">
      <c r="A81" s="1154">
        <v>21</v>
      </c>
      <c r="B81" s="3456"/>
      <c r="C81" s="1068" t="s">
        <v>1543</v>
      </c>
      <c r="D81" s="1068" t="s">
        <v>1544</v>
      </c>
      <c r="E81" s="1139">
        <v>0.2</v>
      </c>
      <c r="F81" s="1154">
        <v>30</v>
      </c>
    </row>
    <row r="82" spans="1:6" s="1105" customFormat="1" ht="48">
      <c r="A82" s="1154">
        <v>22</v>
      </c>
      <c r="B82" s="3456"/>
      <c r="C82" s="1068" t="s">
        <v>1545</v>
      </c>
      <c r="D82" s="1068" t="s">
        <v>1546</v>
      </c>
      <c r="E82" s="1139">
        <v>0.2</v>
      </c>
      <c r="F82" s="1154">
        <v>30</v>
      </c>
    </row>
    <row r="83" spans="1:6" s="1105" customFormat="1" ht="48">
      <c r="A83" s="1154">
        <v>23</v>
      </c>
      <c r="B83" s="3456"/>
      <c r="C83" s="1068" t="s">
        <v>1547</v>
      </c>
      <c r="D83" s="1068" t="s">
        <v>1548</v>
      </c>
      <c r="E83" s="1139">
        <v>0.2</v>
      </c>
      <c r="F83" s="1154">
        <v>30</v>
      </c>
    </row>
    <row r="84" spans="1:6" s="1105" customFormat="1" ht="36">
      <c r="A84" s="1154">
        <v>24</v>
      </c>
      <c r="B84" s="3456"/>
      <c r="C84" s="1068" t="s">
        <v>1549</v>
      </c>
      <c r="D84" s="1068" t="s">
        <v>1550</v>
      </c>
      <c r="E84" s="1139">
        <v>0.2</v>
      </c>
      <c r="F84" s="1154">
        <v>30</v>
      </c>
    </row>
    <row r="85" spans="1:6" s="1105" customFormat="1" ht="36">
      <c r="A85" s="1154">
        <v>25</v>
      </c>
      <c r="B85" s="3456"/>
      <c r="C85" s="1068" t="s">
        <v>1551</v>
      </c>
      <c r="D85" s="1068" t="s">
        <v>1552</v>
      </c>
      <c r="E85" s="1139">
        <v>0.5</v>
      </c>
      <c r="F85" s="1154">
        <v>80</v>
      </c>
    </row>
    <row r="86" spans="1:6" s="1105" customFormat="1" ht="36">
      <c r="A86" s="1154">
        <v>26</v>
      </c>
      <c r="B86" s="3456"/>
      <c r="C86" s="1068" t="s">
        <v>1553</v>
      </c>
      <c r="D86" s="1068" t="s">
        <v>1554</v>
      </c>
      <c r="E86" s="1139">
        <v>0.2</v>
      </c>
      <c r="F86" s="1154">
        <v>30</v>
      </c>
    </row>
    <row r="87" spans="1:6" s="1105" customFormat="1" ht="36">
      <c r="A87" s="1154">
        <v>27</v>
      </c>
      <c r="B87" s="3456"/>
      <c r="C87" s="1068" t="s">
        <v>1555</v>
      </c>
      <c r="D87" s="1068" t="s">
        <v>1556</v>
      </c>
      <c r="E87" s="1139">
        <v>0.2</v>
      </c>
      <c r="F87" s="1154">
        <v>30</v>
      </c>
    </row>
    <row r="88" spans="1:6" s="1105" customFormat="1" ht="36">
      <c r="A88" s="1154">
        <v>28</v>
      </c>
      <c r="B88" s="3456"/>
      <c r="C88" s="1068" t="s">
        <v>1557</v>
      </c>
      <c r="D88" s="1068" t="s">
        <v>1558</v>
      </c>
      <c r="E88" s="1139">
        <v>0.2</v>
      </c>
      <c r="F88" s="1154">
        <v>30</v>
      </c>
    </row>
    <row r="89" spans="1:6" s="1105" customFormat="1" ht="24">
      <c r="A89" s="1154">
        <v>29</v>
      </c>
      <c r="B89" s="3456"/>
      <c r="C89" s="1068" t="s">
        <v>1559</v>
      </c>
      <c r="D89" s="1068" t="s">
        <v>1560</v>
      </c>
      <c r="E89" s="1139">
        <v>0.2</v>
      </c>
      <c r="F89" s="1154">
        <v>30</v>
      </c>
    </row>
    <row r="90" spans="1:6" s="1105" customFormat="1" ht="24">
      <c r="A90" s="1154">
        <v>30</v>
      </c>
      <c r="B90" s="3456"/>
      <c r="C90" s="1068" t="s">
        <v>1561</v>
      </c>
      <c r="D90" s="1068" t="s">
        <v>1562</v>
      </c>
      <c r="E90" s="1139">
        <v>0.2</v>
      </c>
      <c r="F90" s="1154">
        <v>30</v>
      </c>
    </row>
    <row r="91" spans="1:6" s="1105" customFormat="1" ht="36">
      <c r="A91" s="1154">
        <v>31</v>
      </c>
      <c r="B91" s="3456"/>
      <c r="C91" s="1068" t="s">
        <v>1563</v>
      </c>
      <c r="D91" s="1068" t="s">
        <v>1564</v>
      </c>
      <c r="E91" s="1139">
        <v>0.2</v>
      </c>
      <c r="F91" s="1154">
        <v>30</v>
      </c>
    </row>
    <row r="92" spans="1:6" s="1105" customFormat="1" ht="24">
      <c r="A92" s="1154">
        <v>32</v>
      </c>
      <c r="B92" s="3456" t="s">
        <v>1565</v>
      </c>
      <c r="C92" s="1154" t="s">
        <v>1566</v>
      </c>
      <c r="D92" s="1068" t="s">
        <v>1567</v>
      </c>
      <c r="E92" s="1139">
        <v>0.2</v>
      </c>
      <c r="F92" s="1154">
        <v>30</v>
      </c>
    </row>
    <row r="93" spans="1:6" s="1105" customFormat="1" ht="36">
      <c r="A93" s="1154">
        <v>33</v>
      </c>
      <c r="B93" s="3456"/>
      <c r="C93" s="1154" t="s">
        <v>1568</v>
      </c>
      <c r="D93" s="1068" t="s">
        <v>1569</v>
      </c>
      <c r="E93" s="1139">
        <v>0.2</v>
      </c>
      <c r="F93" s="1154">
        <v>30</v>
      </c>
    </row>
    <row r="94" spans="1:6" s="1105" customFormat="1" ht="48">
      <c r="A94" s="1154">
        <v>34</v>
      </c>
      <c r="B94" s="3456"/>
      <c r="C94" s="1154" t="s">
        <v>1570</v>
      </c>
      <c r="D94" s="1068" t="s">
        <v>1571</v>
      </c>
      <c r="E94" s="1139">
        <v>0.2</v>
      </c>
      <c r="F94" s="1154">
        <v>30</v>
      </c>
    </row>
    <row r="95" spans="1:6" s="1105" customFormat="1" ht="36">
      <c r="A95" s="1154">
        <v>35</v>
      </c>
      <c r="B95" s="3456"/>
      <c r="C95" s="1154" t="s">
        <v>1572</v>
      </c>
      <c r="D95" s="1068" t="s">
        <v>1573</v>
      </c>
      <c r="E95" s="1139">
        <v>0.2</v>
      </c>
      <c r="F95" s="1154">
        <v>30</v>
      </c>
    </row>
    <row r="96" spans="1:6" s="1105" customFormat="1" ht="48">
      <c r="A96" s="1154">
        <v>36</v>
      </c>
      <c r="B96" s="3456"/>
      <c r="C96" s="1068" t="s">
        <v>1574</v>
      </c>
      <c r="D96" s="1068" t="s">
        <v>1575</v>
      </c>
      <c r="E96" s="1139">
        <v>0.2</v>
      </c>
      <c r="F96" s="1154">
        <v>30</v>
      </c>
    </row>
    <row r="97" spans="1:6" s="1105" customFormat="1" ht="36">
      <c r="A97" s="1154">
        <v>37</v>
      </c>
      <c r="B97" s="3456"/>
      <c r="C97" s="1154" t="s">
        <v>1576</v>
      </c>
      <c r="D97" s="1068" t="s">
        <v>1577</v>
      </c>
      <c r="E97" s="1139">
        <v>0.2</v>
      </c>
      <c r="F97" s="1154">
        <v>30</v>
      </c>
    </row>
    <row r="98" spans="1:6" s="1105" customFormat="1" ht="36">
      <c r="A98" s="1154">
        <v>38</v>
      </c>
      <c r="B98" s="3456"/>
      <c r="C98" s="1154" t="s">
        <v>1578</v>
      </c>
      <c r="D98" s="1068" t="s">
        <v>1579</v>
      </c>
      <c r="E98" s="1139">
        <v>0.2</v>
      </c>
      <c r="F98" s="1154">
        <v>30</v>
      </c>
    </row>
    <row r="99" spans="1:6" s="1105" customFormat="1" ht="36">
      <c r="A99" s="1154">
        <v>39</v>
      </c>
      <c r="B99" s="3456" t="s">
        <v>1580</v>
      </c>
      <c r="C99" s="1154" t="s">
        <v>1581</v>
      </c>
      <c r="D99" s="1068" t="s">
        <v>1582</v>
      </c>
      <c r="E99" s="1139">
        <v>0.3</v>
      </c>
      <c r="F99" s="1154">
        <v>50</v>
      </c>
    </row>
    <row r="100" spans="1:6" s="1105" customFormat="1" ht="24">
      <c r="A100" s="1154">
        <v>40</v>
      </c>
      <c r="B100" s="3456"/>
      <c r="C100" s="1154" t="s">
        <v>1583</v>
      </c>
      <c r="D100" s="1068" t="s">
        <v>1584</v>
      </c>
      <c r="E100" s="1139">
        <v>0.2</v>
      </c>
      <c r="F100" s="1154">
        <v>30</v>
      </c>
    </row>
    <row r="101" spans="1:6" s="1105" customFormat="1" ht="36">
      <c r="A101" s="1154">
        <v>41</v>
      </c>
      <c r="B101" s="3456"/>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56" t="s">
        <v>1595</v>
      </c>
      <c r="C105" s="1154" t="s">
        <v>1596</v>
      </c>
      <c r="D105" s="1068" t="s">
        <v>1597</v>
      </c>
      <c r="E105" s="1139">
        <v>0.2</v>
      </c>
      <c r="F105" s="1154">
        <v>30</v>
      </c>
    </row>
    <row r="106" spans="1:6" s="1105" customFormat="1" ht="36">
      <c r="A106" s="1154">
        <v>46</v>
      </c>
      <c r="B106" s="3456"/>
      <c r="C106" s="1154" t="s">
        <v>1598</v>
      </c>
      <c r="D106" s="1068" t="s">
        <v>1599</v>
      </c>
      <c r="E106" s="1139">
        <v>0.2</v>
      </c>
      <c r="F106" s="1154">
        <v>30</v>
      </c>
    </row>
    <row r="107" spans="1:6" s="1105" customFormat="1" ht="36">
      <c r="A107" s="1154">
        <v>47</v>
      </c>
      <c r="B107" s="3456" t="s">
        <v>1600</v>
      </c>
      <c r="C107" s="1154" t="s">
        <v>1601</v>
      </c>
      <c r="D107" s="1068" t="s">
        <v>1602</v>
      </c>
      <c r="E107" s="1139">
        <v>0.3</v>
      </c>
      <c r="F107" s="1154">
        <v>50</v>
      </c>
    </row>
    <row r="108" spans="1:6" s="1105" customFormat="1" ht="36">
      <c r="A108" s="1154">
        <v>48</v>
      </c>
      <c r="B108" s="3456"/>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56" t="s">
        <v>1611</v>
      </c>
      <c r="C111" s="1154" t="s">
        <v>1612</v>
      </c>
      <c r="D111" s="1068" t="s">
        <v>1613</v>
      </c>
      <c r="E111" s="1139">
        <v>0.2</v>
      </c>
      <c r="F111" s="1154">
        <v>30</v>
      </c>
    </row>
    <row r="112" spans="1:6" s="1105" customFormat="1" ht="24">
      <c r="A112" s="1154">
        <v>52</v>
      </c>
      <c r="B112" s="3456"/>
      <c r="C112" s="1154" t="s">
        <v>1614</v>
      </c>
      <c r="D112" s="1068" t="s">
        <v>1615</v>
      </c>
      <c r="E112" s="1139">
        <v>0.2</v>
      </c>
      <c r="F112" s="1154">
        <v>30</v>
      </c>
    </row>
    <row r="113" spans="1:14" s="1105" customFormat="1" ht="24">
      <c r="A113" s="1154">
        <v>53</v>
      </c>
      <c r="B113" s="3456"/>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56" t="s">
        <v>1624</v>
      </c>
      <c r="C116" s="1154" t="s">
        <v>1625</v>
      </c>
      <c r="D116" s="1068" t="s">
        <v>1626</v>
      </c>
      <c r="E116" s="1139">
        <v>0.2</v>
      </c>
      <c r="F116" s="1154">
        <v>30</v>
      </c>
    </row>
    <row r="117" spans="1:14" ht="36">
      <c r="A117" s="1154">
        <v>57</v>
      </c>
      <c r="B117" s="3456"/>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55" t="s">
        <v>1633</v>
      </c>
      <c r="B121" s="3455"/>
      <c r="C121" s="3455"/>
      <c r="D121" s="3455"/>
      <c r="E121" s="3455"/>
      <c r="F121" s="3455"/>
      <c r="G121" s="3455"/>
      <c r="H121" s="3455"/>
      <c r="I121" s="3455"/>
      <c r="J121" s="345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60" t="s">
        <v>1039</v>
      </c>
      <c r="B1" s="3460"/>
      <c r="C1" s="3460"/>
      <c r="D1" s="3460"/>
      <c r="E1" s="3460"/>
      <c r="F1" s="3460"/>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61" t="s">
        <v>1052</v>
      </c>
      <c r="B2" s="3461"/>
      <c r="C2" s="3461"/>
      <c r="D2" s="3461"/>
      <c r="E2" s="3461"/>
      <c r="F2" s="3461"/>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62"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63"/>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2425</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2426</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64" t="s">
        <v>2081</v>
      </c>
      <c r="B1" s="3464"/>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中信信托有限责任公司：</v>
      </c>
    </row>
    <row r="4" spans="1:4" ht="37.5">
      <c r="A4" s="1793" t="str">
        <f>"受贵公司委托，我公司对"&amp;项目基本情况!K2&amp;项目基本情况!B9&amp;"进行了预评估。"</f>
        <v>受贵公司委托，我公司对河北省衡水市桃城区人民路南侧、问津街西侧出让国有建设用地使用权抵押价格进行了预评估。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衡水市桃城区人民路南侧、问津街西侧出让国有建设用地使用权。根据《国有土地使用证》[]，估价对象（分摊）出让国有建设用地使用权面积为6666.4平方米。根据《建设工程规划许可证》[]、《出让合同》[]，估价对象规划建筑面积为26666平方米。</v>
      </c>
    </row>
    <row r="7" spans="1:4" ht="56.25">
      <c r="A7" s="1797" t="s">
        <v>2750</v>
      </c>
    </row>
    <row r="8" spans="1:4" ht="18.75">
      <c r="A8" s="1796" t="s">
        <v>1906</v>
      </c>
    </row>
    <row r="9" spans="1:4" ht="93.75">
      <c r="A9" s="1798" t="str">
        <f>IF(项目基本情况!B8="抵押",IF(项目基本情况!B5=项目基本情况!B6,定义!C51,定义!B51),定义!D51)</f>
        <v>衡水斯凯学园房地产开发有限公司拟使用河北省衡水市桃城区人民路南侧、问津街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2018年4月25日（评估专业人员勘察现场之日）</v>
      </c>
    </row>
    <row r="12" spans="1:4" ht="18.75">
      <c r="A12" s="1799" t="s">
        <v>2027</v>
      </c>
    </row>
    <row r="13" spans="1:4" ht="18.75">
      <c r="A13" s="1793" t="s">
        <v>2947</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根据《国有土地使用证》[]，估价对象（分摊）出让国有建设用地使用权面积为6666.4平方米。根据《建设工程规划许可证》[]、《出让合同》[]，估价对象规划建筑面积为26666平方米。</v>
      </c>
    </row>
    <row r="21" spans="1:1" ht="18.75">
      <c r="A21" s="1793" t="s">
        <v>2076</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2051年1月31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2956</v>
      </c>
      <c r="B1" s="3136"/>
      <c r="C1" s="3136"/>
      <c r="D1" s="3136"/>
      <c r="E1" s="3136"/>
      <c r="F1" s="3136"/>
    </row>
    <row r="2" spans="1:6" ht="14.25">
      <c r="A2" s="3137" t="s">
        <v>2950</v>
      </c>
      <c r="B2" s="3138" t="e">
        <f ca="1">SUMIF(B7:B14,"&lt;&gt;#ref!",B7:B14)</f>
        <v>#DIV/0!</v>
      </c>
      <c r="C2" s="3137" t="s">
        <v>2951</v>
      </c>
      <c r="D2" s="3136"/>
      <c r="E2" s="3136"/>
      <c r="F2" s="3136"/>
    </row>
    <row r="3" spans="1:6" ht="14.25">
      <c r="A3" s="3137" t="s">
        <v>2953</v>
      </c>
      <c r="B3" s="3138" t="e">
        <f ca="1">ROUND(B2*10000/E3,0)</f>
        <v>#DIV/0!</v>
      </c>
      <c r="C3" s="3137" t="s">
        <v>2080</v>
      </c>
      <c r="D3" s="3137" t="s">
        <v>2952</v>
      </c>
      <c r="E3" s="3138" t="e">
        <f ca="1">SUM(E7:E14)</f>
        <v>#REF!</v>
      </c>
      <c r="F3" s="3136"/>
    </row>
    <row r="4" spans="1:6" ht="14.25">
      <c r="A4" s="3137" t="s">
        <v>2960</v>
      </c>
      <c r="B4" s="3138" t="e">
        <f ca="1">ROUND(B2*10000/E4,0)</f>
        <v>#DIV/0!</v>
      </c>
      <c r="C4" s="3137" t="s">
        <v>2080</v>
      </c>
      <c r="D4" s="3137" t="s">
        <v>2961</v>
      </c>
      <c r="E4" s="3138" t="e">
        <f ca="1">SUM(F7:F14)</f>
        <v>#REF!</v>
      </c>
      <c r="F4" s="3136"/>
    </row>
    <row r="5" spans="1:6" ht="14.25">
      <c r="A5" s="3139"/>
      <c r="B5" s="1883"/>
      <c r="C5" s="1883"/>
      <c r="D5" s="1883"/>
      <c r="E5" s="1883"/>
      <c r="F5" s="3136"/>
    </row>
    <row r="6" spans="1:6" ht="28.5">
      <c r="A6" s="3140" t="s">
        <v>2957</v>
      </c>
      <c r="B6" s="3137" t="s">
        <v>2954</v>
      </c>
      <c r="C6" s="3138"/>
      <c r="D6" s="1883"/>
      <c r="E6" s="3137" t="s">
        <v>2955</v>
      </c>
      <c r="F6" s="3137" t="s">
        <v>2959</v>
      </c>
    </row>
    <row r="7" spans="1:6" ht="14.25">
      <c r="A7" s="260" t="s">
        <v>2958</v>
      </c>
      <c r="B7" s="3141" t="e">
        <f ca="1">SUMIF(INDIRECT("'"&amp;A7&amp;"'"&amp;"!A:A"),"总价",INDIRECT("'"&amp;A7&amp;"'"&amp;"!B:B"))</f>
        <v>#DIV/0!</v>
      </c>
      <c r="C7" s="3137" t="s">
        <v>2951</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2951</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2951</v>
      </c>
      <c r="D9" s="1883"/>
      <c r="E9" s="3142" t="e">
        <f t="shared" ca="1" si="1"/>
        <v>#REF!</v>
      </c>
      <c r="F9" s="3142" t="e">
        <f t="shared" ca="1" si="2"/>
        <v>#REF!</v>
      </c>
    </row>
    <row r="10" spans="1:6" ht="14.25">
      <c r="A10" s="260"/>
      <c r="B10" s="3141" t="e">
        <f t="shared" ca="1" si="0"/>
        <v>#REF!</v>
      </c>
      <c r="C10" s="3137" t="s">
        <v>2951</v>
      </c>
      <c r="D10" s="1883"/>
      <c r="E10" s="3142" t="e">
        <f t="shared" ca="1" si="1"/>
        <v>#REF!</v>
      </c>
      <c r="F10" s="3142" t="e">
        <f t="shared" ca="1" si="2"/>
        <v>#REF!</v>
      </c>
    </row>
    <row r="11" spans="1:6" ht="14.25">
      <c r="A11" s="260"/>
      <c r="B11" s="3141" t="e">
        <f t="shared" ca="1" si="0"/>
        <v>#REF!</v>
      </c>
      <c r="C11" s="3137" t="s">
        <v>2951</v>
      </c>
      <c r="D11" s="1883"/>
      <c r="E11" s="3142" t="e">
        <f t="shared" ca="1" si="1"/>
        <v>#REF!</v>
      </c>
      <c r="F11" s="3142" t="e">
        <f t="shared" ca="1" si="2"/>
        <v>#REF!</v>
      </c>
    </row>
    <row r="12" spans="1:6" ht="14.25">
      <c r="A12" s="260"/>
      <c r="B12" s="3141" t="e">
        <f t="shared" ca="1" si="0"/>
        <v>#REF!</v>
      </c>
      <c r="C12" s="3137" t="s">
        <v>2951</v>
      </c>
      <c r="D12" s="1883"/>
      <c r="E12" s="3142" t="e">
        <f t="shared" ca="1" si="1"/>
        <v>#REF!</v>
      </c>
      <c r="F12" s="3142" t="e">
        <f t="shared" ca="1" si="2"/>
        <v>#REF!</v>
      </c>
    </row>
    <row r="13" spans="1:6" ht="14.25">
      <c r="A13" s="260"/>
      <c r="B13" s="3141" t="e">
        <f t="shared" ca="1" si="0"/>
        <v>#REF!</v>
      </c>
      <c r="C13" s="3137" t="s">
        <v>2951</v>
      </c>
      <c r="D13" s="1883"/>
      <c r="E13" s="3142" t="e">
        <f t="shared" ca="1" si="1"/>
        <v>#REF!</v>
      </c>
      <c r="F13" s="3142" t="e">
        <f t="shared" ca="1" si="2"/>
        <v>#REF!</v>
      </c>
    </row>
    <row r="14" spans="1:6" ht="14.25">
      <c r="A14" s="3135"/>
      <c r="B14" s="3141" t="e">
        <f t="shared" ca="1" si="0"/>
        <v>#REF!</v>
      </c>
      <c r="C14" s="3137" t="s">
        <v>2951</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c r="D1" s="2052"/>
      <c r="E1" s="2413" t="s">
        <v>2377</v>
      </c>
      <c r="F1" s="2414">
        <f ca="1">J54</f>
        <v>0</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2461</v>
      </c>
      <c r="C7" s="53">
        <f ca="1">C8+C12+C14</f>
        <v>0</v>
      </c>
      <c r="D7" s="2522" t="s">
        <v>2464</v>
      </c>
      <c r="E7" s="2516"/>
      <c r="F7" s="2517"/>
      <c r="G7" s="1593"/>
      <c r="H7" s="781">
        <v>1</v>
      </c>
      <c r="I7" s="782" t="s">
        <v>2461</v>
      </c>
      <c r="J7" s="53">
        <f ca="1">J8+J12+J14</f>
        <v>0</v>
      </c>
      <c r="K7" s="2522" t="s">
        <v>2464</v>
      </c>
      <c r="L7" s="2516"/>
      <c r="M7" s="2517"/>
    </row>
    <row r="8" spans="1:25" ht="18" customHeight="1">
      <c r="A8" s="1832" t="s">
        <v>1824</v>
      </c>
      <c r="B8" s="3402" t="s">
        <v>2466</v>
      </c>
      <c r="C8" s="1827">
        <f ca="1">ROUND(F8*F10*F9*(1-F11)/10000,0)</f>
        <v>0</v>
      </c>
      <c r="D8" s="1824" t="s">
        <v>2537</v>
      </c>
      <c r="E8" s="61" t="s">
        <v>636</v>
      </c>
      <c r="F8" s="785">
        <f ca="1">INDIRECT("'数据-取费表'!u"&amp;$G$1)</f>
        <v>0</v>
      </c>
      <c r="G8" s="1593"/>
      <c r="H8" s="2530" t="s">
        <v>1824</v>
      </c>
      <c r="I8" s="3402" t="s">
        <v>2466</v>
      </c>
      <c r="J8" s="783">
        <f ca="1">ROUND(M8*M10*M9*(1-M11)/10000,0)</f>
        <v>0</v>
      </c>
      <c r="K8" s="341" t="s">
        <v>2537</v>
      </c>
      <c r="L8" s="784" t="s">
        <v>1738</v>
      </c>
      <c r="M8" s="785">
        <f ca="1">INDIRECT("'数据-取费表'!z"&amp;$G$1)</f>
        <v>0</v>
      </c>
    </row>
    <row r="9" spans="1:25" ht="18" customHeight="1">
      <c r="A9" s="2526"/>
      <c r="B9" s="3403"/>
      <c r="C9" s="1828"/>
      <c r="D9" s="1825"/>
      <c r="E9" s="61" t="s">
        <v>637</v>
      </c>
      <c r="F9" s="785">
        <f ca="1">IF(INDIRECT("'数据-取费表'!ah"&amp;$G$1)="",INDIRECT("'数据-取费表'!k"&amp;$G$1),INDIRECT("'数据-取费表'!ah"&amp;$G$1))</f>
        <v>0</v>
      </c>
      <c r="G9" s="1593"/>
      <c r="H9" s="2515"/>
      <c r="I9" s="3403"/>
      <c r="J9" s="788"/>
      <c r="K9" s="789"/>
      <c r="L9" s="784" t="s">
        <v>1739</v>
      </c>
      <c r="M9" s="785">
        <f ca="1">F9</f>
        <v>0</v>
      </c>
    </row>
    <row r="10" spans="1:25" ht="18" customHeight="1">
      <c r="A10" s="2519"/>
      <c r="B10" s="3404"/>
      <c r="C10" s="1828"/>
      <c r="D10" s="1825"/>
      <c r="E10" s="61" t="s">
        <v>638</v>
      </c>
      <c r="F10" s="785">
        <f ca="1">INDIRECT("'数据-取费表'!ai"&amp;$G$1)</f>
        <v>0</v>
      </c>
      <c r="G10" s="1593"/>
      <c r="H10" s="2515"/>
      <c r="I10" s="3404"/>
      <c r="J10" s="788"/>
      <c r="K10" s="789"/>
      <c r="L10" s="784" t="s">
        <v>1740</v>
      </c>
      <c r="M10" s="785">
        <f ca="1">INDIRECT("'数据-取费表'!ai"&amp;$G$1)</f>
        <v>0</v>
      </c>
    </row>
    <row r="11" spans="1:25" ht="18" customHeight="1">
      <c r="A11" s="786"/>
      <c r="B11" s="3405"/>
      <c r="C11" s="1828"/>
      <c r="D11" s="1825"/>
      <c r="E11" s="61" t="s">
        <v>639</v>
      </c>
      <c r="F11" s="794">
        <f ca="1">INDIRECT("'数据-取费表'!w"&amp;$G$1)</f>
        <v>0</v>
      </c>
      <c r="G11" s="1593"/>
      <c r="H11" s="2531"/>
      <c r="I11" s="3404"/>
      <c r="J11" s="788"/>
      <c r="K11" s="789"/>
      <c r="L11" s="795" t="s">
        <v>1741</v>
      </c>
      <c r="M11" s="796">
        <f ca="1">INDIRECT("'数据-取费表'!ab"&amp;$G$1)</f>
        <v>0</v>
      </c>
    </row>
    <row r="12" spans="1:25" ht="18" customHeight="1">
      <c r="A12" s="1832" t="s">
        <v>1825</v>
      </c>
      <c r="B12" s="2520" t="s">
        <v>2462</v>
      </c>
      <c r="C12" s="799">
        <f ca="1">ROUND(IF(F12="押一",C8/12*F13,IF(F12="押二",C8/12*2*F13,IF(F12="押三",C8/12*3*F13,C13*F13))),0)</f>
        <v>0</v>
      </c>
      <c r="D12" s="2527" t="s">
        <v>2981</v>
      </c>
      <c r="E12" s="2524" t="s">
        <v>2467</v>
      </c>
      <c r="F12" s="2647"/>
      <c r="G12" s="1593"/>
      <c r="H12" s="2587" t="s">
        <v>1825</v>
      </c>
      <c r="I12" s="2592" t="s">
        <v>2462</v>
      </c>
      <c r="J12" s="783">
        <f ca="1">ROUND(IF(M12="押一",J8/12*M13,IF(M12="押二",J8/12*2*M13,IF(M12="押三",J8/12*3*M13,J13*M13))),0)</f>
        <v>0</v>
      </c>
      <c r="K12" s="2527" t="s">
        <v>2981</v>
      </c>
      <c r="L12" s="2524" t="s">
        <v>2467</v>
      </c>
      <c r="M12" s="2647"/>
    </row>
    <row r="13" spans="1:25" ht="18" customHeight="1">
      <c r="A13" s="790"/>
      <c r="B13" s="2521" t="s">
        <v>2576</v>
      </c>
      <c r="C13" s="2525"/>
      <c r="D13" s="789"/>
      <c r="E13" s="2524" t="s">
        <v>2459</v>
      </c>
      <c r="F13" s="796">
        <f ca="1">'数据-取费表'!B39</f>
        <v>1.4999999999999999E-2</v>
      </c>
      <c r="G13" s="1593"/>
      <c r="H13" s="2588"/>
      <c r="I13" s="2521" t="s">
        <v>2576</v>
      </c>
      <c r="J13" s="2525"/>
      <c r="K13" s="2589"/>
      <c r="L13" s="2524" t="s">
        <v>2459</v>
      </c>
      <c r="M13" s="2518">
        <f ca="1">'数据-取费表'!B39</f>
        <v>1.4999999999999999E-2</v>
      </c>
    </row>
    <row r="14" spans="1:25" ht="18" customHeight="1" thickBot="1">
      <c r="A14" s="2563" t="s">
        <v>2470</v>
      </c>
      <c r="B14" s="2564" t="s">
        <v>2463</v>
      </c>
      <c r="C14" s="2565"/>
      <c r="D14" s="2566"/>
      <c r="E14" s="2567"/>
      <c r="F14" s="2568"/>
      <c r="G14" s="1593"/>
      <c r="H14" s="2577" t="s">
        <v>2470</v>
      </c>
      <c r="I14" s="2590" t="s">
        <v>2463</v>
      </c>
      <c r="J14" s="2591"/>
      <c r="K14" s="2566"/>
      <c r="L14" s="2567"/>
      <c r="M14" s="2580"/>
    </row>
    <row r="15" spans="1:25" ht="18" customHeight="1" thickTop="1">
      <c r="A15" s="1831" t="s">
        <v>1874</v>
      </c>
      <c r="B15" s="1829" t="s">
        <v>640</v>
      </c>
      <c r="C15" s="792">
        <f ca="1">ROUND(C31*F15,0)</f>
        <v>0</v>
      </c>
      <c r="D15" s="1836" t="s">
        <v>641</v>
      </c>
      <c r="E15" s="795" t="s">
        <v>642</v>
      </c>
      <c r="F15" s="800">
        <f ca="1">INDIRECT("'数据-取费表'!y"&amp;$G$1)</f>
        <v>0</v>
      </c>
      <c r="G15" s="1593"/>
      <c r="H15" s="1831" t="s">
        <v>1826</v>
      </c>
      <c r="I15" s="1829" t="s">
        <v>643</v>
      </c>
      <c r="J15" s="1821">
        <f ca="1">ROUND(J16*J17,0)</f>
        <v>0</v>
      </c>
      <c r="K15" s="1823" t="s">
        <v>641</v>
      </c>
      <c r="L15" s="801"/>
      <c r="M15" s="802"/>
    </row>
    <row r="16" spans="1:25" ht="18" customHeight="1">
      <c r="A16" s="803" t="s">
        <v>1875</v>
      </c>
      <c r="B16" s="784" t="s">
        <v>644</v>
      </c>
      <c r="C16" s="804">
        <f ca="1">INDIRECT("'数据-取费表'!m"&amp;$G$1)+INDIRECT("'数据-取费表'!t"&amp;$G$1)</f>
        <v>0</v>
      </c>
      <c r="D16" s="1981" t="s">
        <v>645</v>
      </c>
      <c r="E16" s="1982"/>
      <c r="F16" s="805"/>
      <c r="G16" s="1593"/>
      <c r="H16" s="803" t="s">
        <v>2071</v>
      </c>
      <c r="I16" s="2233" t="s">
        <v>2828</v>
      </c>
      <c r="J16" s="53">
        <f ca="1">C31</f>
        <v>0</v>
      </c>
      <c r="K16" s="26"/>
      <c r="L16" s="801"/>
      <c r="M16" s="802"/>
    </row>
    <row r="17" spans="1:25" s="2066" customFormat="1" ht="18" customHeight="1">
      <c r="A17" s="803" t="s">
        <v>1849</v>
      </c>
      <c r="B17" s="784" t="s">
        <v>646</v>
      </c>
      <c r="C17" s="53">
        <f ca="1">ROUND(C16*F17,0)</f>
        <v>0</v>
      </c>
      <c r="D17" s="806" t="s">
        <v>647</v>
      </c>
      <c r="E17" s="806" t="s">
        <v>648</v>
      </c>
      <c r="F17" s="807">
        <f>'数据-取费表'!B33</f>
        <v>0.03</v>
      </c>
      <c r="G17" s="1594"/>
      <c r="H17" s="803" t="s">
        <v>2072</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4"/>
      <c r="M18" s="56"/>
    </row>
    <row r="19" spans="1:25" s="2066"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2071</v>
      </c>
      <c r="I19" s="784" t="s">
        <v>655</v>
      </c>
      <c r="J19" s="53">
        <f ca="1">ROUND(IF(项目基本情况!B11="自然人",J7*M19,J20+J21+J22),0)</f>
        <v>0</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9" t="s">
        <v>660</v>
      </c>
      <c r="L20" s="784" t="s">
        <v>648</v>
      </c>
      <c r="M20" s="809">
        <f>'数据-取费表'!B41</f>
        <v>5.6000000000000001E-2</v>
      </c>
      <c r="N20" s="2065"/>
      <c r="O20" s="2065"/>
      <c r="P20" s="2065"/>
      <c r="Q20" s="2065"/>
      <c r="R20" s="2065"/>
      <c r="S20" s="2065"/>
      <c r="T20" s="2065"/>
      <c r="U20" s="2065"/>
      <c r="V20" s="2065"/>
      <c r="W20" s="2065"/>
      <c r="X20" s="2065"/>
      <c r="Y20" s="2065"/>
    </row>
    <row r="21" spans="1:25" ht="18" customHeight="1">
      <c r="A21" s="803" t="s">
        <v>1876</v>
      </c>
      <c r="B21" s="784" t="s">
        <v>661</v>
      </c>
      <c r="C21" s="53">
        <f ca="1">SUM(C16:C20)</f>
        <v>0</v>
      </c>
      <c r="D21" s="261" t="s">
        <v>662</v>
      </c>
      <c r="E21" s="1984"/>
      <c r="F21" s="56"/>
      <c r="G21" s="1593"/>
      <c r="H21" s="1832" t="s">
        <v>1849</v>
      </c>
      <c r="I21" s="784" t="s">
        <v>663</v>
      </c>
      <c r="J21" s="53">
        <f ca="1">IF(K21="按租金收入计税",ROUND(J7*M21,1),ROUND(C31*F35*0.7,1))</f>
        <v>0</v>
      </c>
      <c r="K21" s="811" t="s">
        <v>664</v>
      </c>
      <c r="L21" s="784" t="s">
        <v>648</v>
      </c>
      <c r="M21" s="809">
        <f>IF(K21="按租金收入计税",'数据-取费表'!B51,'数据-取费表'!B50)</f>
        <v>1.2E-2</v>
      </c>
    </row>
    <row r="22" spans="1:25" s="2066" customFormat="1" ht="18" customHeight="1">
      <c r="A22" s="803" t="s">
        <v>1877</v>
      </c>
      <c r="B22" s="784" t="s">
        <v>665</v>
      </c>
      <c r="C22" s="53">
        <f ca="1">ROUND(C21*F22,0)</f>
        <v>0</v>
      </c>
      <c r="D22" s="812" t="s">
        <v>666</v>
      </c>
      <c r="E22" s="784" t="s">
        <v>648</v>
      </c>
      <c r="F22" s="809">
        <f>'数据-取费表'!B37</f>
        <v>0.02</v>
      </c>
      <c r="G22" s="1594"/>
      <c r="H22" s="1834" t="s">
        <v>1850</v>
      </c>
      <c r="I22" s="1824" t="s">
        <v>667</v>
      </c>
      <c r="J22" s="54">
        <f ca="1">ROUND(M22*M23/10000,0)</f>
        <v>0</v>
      </c>
      <c r="K22" s="814" t="s">
        <v>668</v>
      </c>
      <c r="L22" s="784" t="s">
        <v>669</v>
      </c>
      <c r="M22" s="640">
        <f>'数据-取费表'!B52</f>
        <v>4</v>
      </c>
      <c r="N22" s="2065"/>
      <c r="O22" s="2065"/>
      <c r="P22" s="2065"/>
      <c r="Q22" s="2065"/>
      <c r="R22" s="2065"/>
      <c r="S22" s="2065"/>
      <c r="T22" s="2065"/>
      <c r="U22" s="2065"/>
      <c r="V22" s="2065"/>
      <c r="W22" s="2065"/>
      <c r="X22" s="2065"/>
      <c r="Y22" s="2065"/>
    </row>
    <row r="23" spans="1:25" s="2066" customFormat="1" ht="18" customHeight="1">
      <c r="A23" s="803" t="s">
        <v>1878</v>
      </c>
      <c r="B23" s="784" t="s">
        <v>670</v>
      </c>
      <c r="C23" s="53" t="s">
        <v>1</v>
      </c>
      <c r="D23" s="812" t="s">
        <v>671</v>
      </c>
      <c r="E23" s="784" t="s">
        <v>672</v>
      </c>
      <c r="F23" s="809">
        <f>'数据-取费表'!B38</f>
        <v>0.02</v>
      </c>
      <c r="G23" s="1594"/>
      <c r="H23" s="1835"/>
      <c r="I23" s="1826"/>
      <c r="J23" s="69"/>
      <c r="K23" s="816"/>
      <c r="L23" s="784" t="s">
        <v>673</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674</v>
      </c>
      <c r="C24" s="53"/>
      <c r="D24" s="2598" t="str">
        <f>IF(F25&lt;=1,"单利计息。","复利计息。")&amp;"建造成本、管理费用、销售费用产生的利息。"</f>
        <v>复利计息。建造成本、管理费用、销售费用产生的利息。</v>
      </c>
      <c r="E24" s="1984"/>
      <c r="F24" s="56"/>
      <c r="G24" s="1593"/>
      <c r="H24" s="1833" t="s">
        <v>2072</v>
      </c>
      <c r="I24" s="784" t="s">
        <v>675</v>
      </c>
      <c r="J24" s="53">
        <f ca="1">ROUND(J16*M24,0)</f>
        <v>0</v>
      </c>
      <c r="K24" s="1979" t="s">
        <v>676</v>
      </c>
      <c r="L24" s="784" t="s">
        <v>648</v>
      </c>
      <c r="M24" s="817">
        <f ca="1">INDIRECT("'数据-取费表'!Ak"&amp;$G$1)</f>
        <v>0</v>
      </c>
    </row>
    <row r="25" spans="1:25" s="2066" customFormat="1" ht="18" customHeight="1">
      <c r="A25" s="803" t="s">
        <v>1875</v>
      </c>
      <c r="B25" s="784" t="s">
        <v>2440</v>
      </c>
      <c r="C25" s="53">
        <f ca="1">ROUND(IF('数据-取费表'!B22&lt;=1,(C21+C22)*F26*F25/2,(C21+C22)*(POWER((1+F26),F25/2)-1)),0)</f>
        <v>0</v>
      </c>
      <c r="D25" s="2597" t="str">
        <f>IF(F25&lt;=1,"(建造成本+管理费用)×利率×(建设周期÷2)","(建造成本+管理费用)×((1+利率)^(建设周期÷2)-1)")</f>
        <v>(建造成本+管理费用)×((1+利率)^(建设周期÷2)-1)</v>
      </c>
      <c r="E25" s="784" t="s">
        <v>677</v>
      </c>
      <c r="F25" s="640">
        <f>'数据-取费表'!B20</f>
        <v>1.5</v>
      </c>
      <c r="G25" s="1594"/>
      <c r="H25" s="803" t="s">
        <v>1878</v>
      </c>
      <c r="I25" s="784" t="s">
        <v>678</v>
      </c>
      <c r="J25" s="53">
        <f ca="1">ROUND(J15*M25,0)</f>
        <v>0</v>
      </c>
      <c r="K25" s="1979" t="s">
        <v>679</v>
      </c>
      <c r="L25" s="784" t="s">
        <v>648</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1849</v>
      </c>
      <c r="B26" s="784" t="s">
        <v>680</v>
      </c>
      <c r="C26" s="53">
        <f ca="1">ROUND(IF('数据-取费表'!B22&lt;=1,F23*F26*F25/2,F23*(POWER((1+F26),F25/2)-1)),4)</f>
        <v>6.9999999999999999E-4</v>
      </c>
      <c r="D26" s="2597" t="str">
        <f>IF(F25&lt;=1,"销售费用×利率×(建设周期÷2)","销售费用×((1+利率)^(建设周期÷2)-1)")</f>
        <v>销售费用×((1+利率)^(建设周期÷2)-1)</v>
      </c>
      <c r="E26" s="784" t="s">
        <v>681</v>
      </c>
      <c r="F26" s="819">
        <f ca="1">'数据-取费表'!B40</f>
        <v>4.7500000000000001E-2</v>
      </c>
      <c r="G26" s="1594"/>
      <c r="H26" s="803" t="s">
        <v>1879</v>
      </c>
      <c r="I26" s="784" t="s">
        <v>665</v>
      </c>
      <c r="J26" s="53">
        <f ca="1">ROUND(J7*M26,0)</f>
        <v>0</v>
      </c>
      <c r="K26" s="1979" t="s">
        <v>682</v>
      </c>
      <c r="L26" s="784" t="s">
        <v>648</v>
      </c>
      <c r="M26" s="794">
        <f ca="1">INDIRECT("'数据-取费表'!Am"&amp;$G$1)</f>
        <v>0</v>
      </c>
      <c r="N26" s="2065"/>
      <c r="O26" s="2065"/>
      <c r="P26" s="2065"/>
      <c r="Q26" s="2065"/>
      <c r="R26" s="2065"/>
      <c r="S26" s="2065"/>
      <c r="T26" s="2065"/>
      <c r="U26" s="2065"/>
      <c r="V26" s="2065"/>
      <c r="W26" s="2065"/>
      <c r="X26" s="2065"/>
      <c r="Y26" s="2065"/>
    </row>
    <row r="27" spans="1:25" ht="18" customHeight="1">
      <c r="A27" s="803" t="s">
        <v>1881</v>
      </c>
      <c r="B27" s="784" t="s">
        <v>683</v>
      </c>
      <c r="C27" s="53"/>
      <c r="D27" s="261" t="s">
        <v>684</v>
      </c>
      <c r="E27" s="1984"/>
      <c r="F27" s="56"/>
      <c r="G27" s="1593"/>
      <c r="H27" s="797" t="s">
        <v>1828</v>
      </c>
      <c r="I27" s="3037" t="s">
        <v>2825</v>
      </c>
      <c r="J27" s="799">
        <f ca="1">J7-J18</f>
        <v>0</v>
      </c>
      <c r="K27" s="1981" t="s">
        <v>699</v>
      </c>
      <c r="L27" s="1983"/>
      <c r="M27" s="820"/>
    </row>
    <row r="28" spans="1:25" ht="18" customHeight="1">
      <c r="A28" s="803" t="s">
        <v>1875</v>
      </c>
      <c r="B28" s="784" t="s">
        <v>2441</v>
      </c>
      <c r="C28" s="53">
        <f ca="1">ROUND((C21+C22)*F28,0)</f>
        <v>0</v>
      </c>
      <c r="D28" s="812" t="s">
        <v>700</v>
      </c>
      <c r="E28" s="795" t="s">
        <v>701</v>
      </c>
      <c r="F28" s="794">
        <f ca="1">INDIRECT("'数据-取费表'!q"&amp;$G$1)</f>
        <v>0</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1882</v>
      </c>
      <c r="B30" s="784" t="s">
        <v>686</v>
      </c>
      <c r="C30" s="53">
        <f>ROUND(F30/(1+'数据-取费表'!C42),4)</f>
        <v>5.33E-2</v>
      </c>
      <c r="D30" s="812" t="s">
        <v>708</v>
      </c>
      <c r="E30" s="784" t="s">
        <v>648</v>
      </c>
      <c r="F30" s="809">
        <f>'数据-取费表'!B41</f>
        <v>5.6000000000000001E-2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1883</v>
      </c>
      <c r="B31" s="2567" t="s">
        <v>2826</v>
      </c>
      <c r="C31" s="2570">
        <f ca="1">ROUND((C21+C22+C25+C28)/(1-F23-C26-C29-C30),0)</f>
        <v>0</v>
      </c>
      <c r="D31" s="2571"/>
      <c r="E31" s="2572"/>
      <c r="F31" s="2573"/>
      <c r="G31" s="1594"/>
      <c r="H31" s="823" t="s">
        <v>1872</v>
      </c>
      <c r="I31" s="3038" t="s">
        <v>2827</v>
      </c>
      <c r="J31" s="825">
        <f ca="1">ROUND(J28/(1+F45)^F46,0)</f>
        <v>0</v>
      </c>
      <c r="K31" s="826" t="s">
        <v>687</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0</v>
      </c>
      <c r="D32" s="1823" t="s">
        <v>651</v>
      </c>
      <c r="E32" s="2513"/>
      <c r="F32" s="2517"/>
      <c r="G32" s="2064"/>
      <c r="H32" s="2067"/>
      <c r="I32" s="2068"/>
      <c r="J32" s="2069"/>
      <c r="K32" s="2070"/>
      <c r="L32" s="2071"/>
      <c r="M32" s="2072"/>
    </row>
    <row r="33" spans="1:18" ht="18" customHeight="1">
      <c r="A33" s="803" t="s">
        <v>1876</v>
      </c>
      <c r="B33" s="784" t="s">
        <v>655</v>
      </c>
      <c r="C33" s="53">
        <f ca="1">ROUND(IF(项目基本情况!B11="自然人",C7*F33,C34+C35+C36),1)</f>
        <v>0</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659</v>
      </c>
      <c r="C34" s="53">
        <f ca="1">ROUND(C7*F34/1.05,1)</f>
        <v>0</v>
      </c>
      <c r="D34" s="1979" t="s">
        <v>660</v>
      </c>
      <c r="E34" s="784" t="s">
        <v>648</v>
      </c>
      <c r="F34" s="809">
        <f>'数据-取费表'!B41</f>
        <v>5.6000000000000001E-2</v>
      </c>
      <c r="G34" s="2064"/>
      <c r="H34" s="2073"/>
      <c r="I34" s="2074"/>
      <c r="J34" s="2075"/>
      <c r="K34" s="2076"/>
      <c r="L34" s="2077"/>
      <c r="M34" s="2078"/>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4"/>
      <c r="H35" s="2079"/>
      <c r="I35" s="2079"/>
      <c r="J35" s="2079"/>
      <c r="K35" s="2080"/>
      <c r="L35" s="2079"/>
      <c r="M35" s="2079"/>
    </row>
    <row r="36" spans="1:18" ht="18" customHeight="1">
      <c r="A36" s="813" t="s">
        <v>1880</v>
      </c>
      <c r="B36" s="341" t="s">
        <v>667</v>
      </c>
      <c r="C36" s="54">
        <f ca="1">ROUND(F36*F37/10000,1)</f>
        <v>0</v>
      </c>
      <c r="D36" s="814" t="s">
        <v>668</v>
      </c>
      <c r="E36" s="784" t="s">
        <v>669</v>
      </c>
      <c r="F36" s="640">
        <f>'数据-取费表'!B52</f>
        <v>4</v>
      </c>
      <c r="G36" s="2064"/>
      <c r="H36" s="2067"/>
      <c r="I36" s="3465"/>
      <c r="J36" s="2081"/>
      <c r="K36" s="2082"/>
      <c r="L36" s="2081"/>
      <c r="M36" s="2081"/>
    </row>
    <row r="37" spans="1:18" ht="18" customHeight="1">
      <c r="A37" s="815"/>
      <c r="B37" s="793"/>
      <c r="C37" s="69"/>
      <c r="D37" s="816"/>
      <c r="E37" s="784" t="s">
        <v>673</v>
      </c>
      <c r="F37" s="785">
        <f ca="1">INDIRECT("'数据-取费表'!r"&amp;$G$1)</f>
        <v>0</v>
      </c>
      <c r="G37" s="2064"/>
      <c r="H37" s="2067"/>
      <c r="I37" s="3465"/>
      <c r="J37" s="2079"/>
      <c r="K37" s="2080"/>
      <c r="L37" s="2079"/>
      <c r="M37" s="2079"/>
    </row>
    <row r="38" spans="1:18" ht="18" customHeight="1">
      <c r="A38" s="803" t="s">
        <v>1877</v>
      </c>
      <c r="B38" s="784" t="s">
        <v>675</v>
      </c>
      <c r="C38" s="53">
        <f ca="1">ROUND(C31*F38,1)</f>
        <v>0</v>
      </c>
      <c r="D38" s="1979" t="s">
        <v>690</v>
      </c>
      <c r="E38" s="784" t="s">
        <v>648</v>
      </c>
      <c r="F38" s="817">
        <f ca="1">INDIRECT("'数据-取费表'!Ak"&amp;$G$1)</f>
        <v>0</v>
      </c>
      <c r="G38" s="2064"/>
      <c r="H38" s="2079"/>
      <c r="I38" s="2083"/>
      <c r="J38" s="1990"/>
      <c r="K38" s="2084"/>
      <c r="L38" s="2079"/>
      <c r="M38" s="2079"/>
    </row>
    <row r="39" spans="1:18" ht="18" customHeight="1">
      <c r="A39" s="803" t="s">
        <v>1878</v>
      </c>
      <c r="B39" s="784" t="s">
        <v>678</v>
      </c>
      <c r="C39" s="53">
        <f ca="1">ROUND(C15*F39,1)</f>
        <v>0</v>
      </c>
      <c r="D39" s="1979" t="s">
        <v>679</v>
      </c>
      <c r="E39" s="784" t="s">
        <v>648</v>
      </c>
      <c r="F39" s="818">
        <f ca="1">INDIRECT("'数据-取费表'!Al"&amp;$G$1)</f>
        <v>0</v>
      </c>
      <c r="G39" s="2064"/>
      <c r="H39" s="2079"/>
      <c r="I39" s="2083"/>
      <c r="J39" s="1990"/>
      <c r="K39" s="2084"/>
      <c r="L39" s="2079"/>
      <c r="M39" s="2079"/>
    </row>
    <row r="40" spans="1:18" ht="18" customHeight="1" thickBot="1">
      <c r="A40" s="2586" t="s">
        <v>1879</v>
      </c>
      <c r="B40" s="2572" t="s">
        <v>665</v>
      </c>
      <c r="C40" s="2570">
        <f ca="1">ROUND(C7*F40,1)</f>
        <v>0</v>
      </c>
      <c r="D40" s="2571" t="s">
        <v>682</v>
      </c>
      <c r="E40" s="2572" t="s">
        <v>648</v>
      </c>
      <c r="F40" s="2568">
        <f ca="1">INDIRECT("'数据-取费表'!Am"&amp;$G$1)</f>
        <v>0</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1876</v>
      </c>
      <c r="B42" s="835" t="s">
        <v>692</v>
      </c>
      <c r="C42" s="829">
        <f ca="1">C7-C32</f>
        <v>0</v>
      </c>
      <c r="D42" s="1981" t="s">
        <v>693</v>
      </c>
      <c r="E42" s="1983"/>
      <c r="F42" s="820"/>
      <c r="G42" s="2064"/>
      <c r="H42" s="2064"/>
      <c r="I42" s="2064"/>
      <c r="J42" s="2064"/>
      <c r="K42" s="2085"/>
      <c r="L42" s="2064"/>
      <c r="M42" s="2064"/>
    </row>
    <row r="43" spans="1:18" ht="18" customHeight="1">
      <c r="A43" s="803" t="s">
        <v>1877</v>
      </c>
      <c r="B43" s="835" t="s">
        <v>710</v>
      </c>
      <c r="C43" s="836">
        <f ca="1">ROUND(C15*F43,0)</f>
        <v>0</v>
      </c>
      <c r="D43" s="1356" t="s">
        <v>711</v>
      </c>
      <c r="E43" s="3155" t="s">
        <v>2969</v>
      </c>
      <c r="F43" s="3156">
        <f ca="1">INDIRECT("'数据-取费表'!j"&amp;$G$1)</f>
        <v>0</v>
      </c>
      <c r="G43" s="2064"/>
      <c r="H43" s="2064"/>
      <c r="I43" s="2064"/>
      <c r="J43" s="2064"/>
      <c r="K43" s="2085"/>
      <c r="L43" s="2064"/>
      <c r="M43" s="2064"/>
    </row>
    <row r="44" spans="1:18" ht="18" customHeight="1">
      <c r="A44" s="803" t="s">
        <v>1878</v>
      </c>
      <c r="B44" s="835" t="s">
        <v>712</v>
      </c>
      <c r="C44" s="1357">
        <f ca="1">C42-C43</f>
        <v>0</v>
      </c>
      <c r="D44" s="463" t="s">
        <v>713</v>
      </c>
      <c r="E44" s="464"/>
      <c r="F44" s="465"/>
      <c r="G44" s="2064"/>
      <c r="H44" s="2064"/>
      <c r="I44" s="2064"/>
      <c r="J44" s="2064"/>
      <c r="K44" s="2085"/>
      <c r="L44" s="2064"/>
      <c r="M44" s="2064"/>
    </row>
    <row r="45" spans="1:18" ht="18" customHeight="1">
      <c r="A45" s="803" t="s">
        <v>1879</v>
      </c>
      <c r="B45" s="1356" t="s">
        <v>714</v>
      </c>
      <c r="C45" s="3064">
        <f ca="1">ROUND(-PV(F45,F46,C44,0),0)</f>
        <v>0</v>
      </c>
      <c r="D45" s="1358" t="s">
        <v>715</v>
      </c>
      <c r="E45" s="806" t="s">
        <v>716</v>
      </c>
      <c r="F45" s="830">
        <f ca="1">INDIRECT("'数据-取费表'!h"&amp;$G$1)</f>
        <v>0</v>
      </c>
      <c r="G45" s="2064"/>
      <c r="H45" s="2064"/>
      <c r="I45" s="2064"/>
      <c r="J45" s="2064"/>
      <c r="K45" s="2085"/>
      <c r="L45" s="2064"/>
      <c r="M45" s="2064"/>
    </row>
    <row r="46" spans="1:18" ht="18" customHeight="1" thickBot="1">
      <c r="A46" s="831"/>
      <c r="B46" s="1359"/>
      <c r="C46" s="1360"/>
      <c r="D46" s="1361"/>
      <c r="E46" s="3157" t="s">
        <v>2972</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2383" t="str">
        <f ca="1">IF(M48="住宅",0,IF(L49&gt;J52,L61,J61))</f>
        <v>0</v>
      </c>
      <c r="O47" s="2420" t="s">
        <v>2413</v>
      </c>
      <c r="P47" s="1593"/>
      <c r="Q47" s="1605"/>
      <c r="R47" s="1593"/>
    </row>
    <row r="48" spans="1:18" s="2061" customFormat="1" ht="18" customHeight="1" thickBot="1">
      <c r="A48" s="2086"/>
      <c r="C48" s="2089"/>
      <c r="D48" s="2090"/>
      <c r="E48" s="2090"/>
      <c r="F48" s="2091"/>
      <c r="G48" s="2092"/>
      <c r="I48" s="2384" t="s">
        <v>2346</v>
      </c>
      <c r="J48" s="2389"/>
      <c r="K48" s="2390" t="s">
        <v>2352</v>
      </c>
      <c r="L48" s="2391">
        <f ca="1">INDIRECT("'数据-取费表'!d"&amp;$G$1)</f>
        <v>0</v>
      </c>
      <c r="M48" s="3152" t="str">
        <f>IF(ISNUMBER(FIND("住宅",C1)),"住宅","非住宅")</f>
        <v>非住宅</v>
      </c>
      <c r="O48" s="2421" t="s">
        <v>2378</v>
      </c>
      <c r="P48" s="2422" t="s">
        <v>2379</v>
      </c>
      <c r="Q48" s="2423" t="s">
        <v>2380</v>
      </c>
      <c r="R48" s="2422" t="s">
        <v>2381</v>
      </c>
    </row>
    <row r="49" spans="1:18" s="2061" customFormat="1" ht="18" customHeight="1" thickBot="1">
      <c r="A49" s="2086"/>
      <c r="D49" s="2093"/>
      <c r="E49" s="2094"/>
      <c r="F49" s="2091"/>
      <c r="G49" s="2092"/>
      <c r="H49" s="2095"/>
      <c r="I49" s="2385" t="s">
        <v>2347</v>
      </c>
      <c r="J49" s="2392"/>
      <c r="K49" s="2393" t="s">
        <v>2354</v>
      </c>
      <c r="L49" s="2394">
        <f ca="1">INDIRECT("'数据-取费表'!f"&amp;$G$1)</f>
        <v>0</v>
      </c>
      <c r="O49" s="2424" t="s">
        <v>2382</v>
      </c>
      <c r="P49" s="2425" t="s">
        <v>2408</v>
      </c>
      <c r="Q49" s="2426">
        <f ca="1">C41+J31</f>
        <v>0</v>
      </c>
      <c r="R49" s="2425" t="s">
        <v>2383</v>
      </c>
    </row>
    <row r="50" spans="1:18" s="2061" customFormat="1" ht="18" customHeight="1" thickBot="1">
      <c r="A50" s="2086"/>
      <c r="D50" s="2096"/>
      <c r="E50" s="2096"/>
      <c r="F50" s="2090"/>
      <c r="G50" s="2097"/>
      <c r="H50" s="2095"/>
      <c r="I50" s="2385" t="s">
        <v>2348</v>
      </c>
      <c r="J50" s="2395"/>
      <c r="K50" s="2396" t="s">
        <v>2355</v>
      </c>
      <c r="L50" s="2397"/>
      <c r="O50" s="2424" t="s">
        <v>2384</v>
      </c>
      <c r="P50" s="2425" t="s">
        <v>2409</v>
      </c>
      <c r="Q50" s="2426" t="str">
        <f ca="1">J61</f>
        <v>0</v>
      </c>
      <c r="R50" s="2425" t="s">
        <v>2385</v>
      </c>
    </row>
    <row r="51" spans="1:18" s="2061" customFormat="1" ht="18" customHeight="1" thickBot="1">
      <c r="A51" s="2098"/>
      <c r="D51" s="2096"/>
      <c r="E51" s="2096"/>
      <c r="F51" s="2087"/>
      <c r="H51" s="2095"/>
      <c r="I51" s="2385" t="s">
        <v>2349</v>
      </c>
      <c r="J51" s="2398">
        <f>SUMPRODUCT((I64:I66=J48)*(J63:L63=J49)*(J64:L66))</f>
        <v>0</v>
      </c>
      <c r="K51" s="2396" t="s">
        <v>2356</v>
      </c>
      <c r="L51" s="2397"/>
      <c r="O51" s="2427" t="s">
        <v>2386</v>
      </c>
      <c r="P51" s="2425" t="s">
        <v>2410</v>
      </c>
      <c r="Q51" s="2426">
        <f ca="1">C31</f>
        <v>0</v>
      </c>
      <c r="R51" s="2425" t="s">
        <v>2383</v>
      </c>
    </row>
    <row r="52" spans="1:18" s="2061" customFormat="1" ht="18" customHeight="1" thickBot="1">
      <c r="A52" s="2098"/>
      <c r="F52" s="2087"/>
      <c r="I52" s="2386" t="s">
        <v>2350</v>
      </c>
      <c r="J52" s="2399">
        <f>IF(J50="",J51,J50+J51-YEAR('数据-取费表'!B3))</f>
        <v>0</v>
      </c>
      <c r="K52" s="2385" t="s">
        <v>2357</v>
      </c>
      <c r="L52" s="2400">
        <f ca="1">ROUND(-PV(INDIRECT("'数据-取费表'!h"&amp;$G$1),L49,(C40-C14*J36),0),0)</f>
        <v>0</v>
      </c>
      <c r="O52" s="2427" t="s">
        <v>2387</v>
      </c>
      <c r="P52" s="2425" t="s">
        <v>2388</v>
      </c>
      <c r="Q52" s="2428" t="e">
        <f ca="1">J59</f>
        <v>#VALUE!</v>
      </c>
      <c r="R52" s="2429"/>
    </row>
    <row r="53" spans="1:18" s="2061" customFormat="1" ht="18" customHeight="1" thickBot="1">
      <c r="A53" s="2098"/>
      <c r="F53" s="2087"/>
      <c r="I53" s="2387" t="s">
        <v>2424</v>
      </c>
      <c r="J53" s="2401"/>
      <c r="K53" s="2387" t="s">
        <v>2423</v>
      </c>
      <c r="L53" s="2401"/>
      <c r="O53" s="2427" t="s">
        <v>2389</v>
      </c>
      <c r="P53" s="2425" t="s">
        <v>2390</v>
      </c>
      <c r="Q53" s="2428">
        <f>J53</f>
        <v>0</v>
      </c>
      <c r="R53" s="2429"/>
    </row>
    <row r="54" spans="1:18" s="2061" customFormat="1" ht="43.5" thickBot="1">
      <c r="A54" s="2098"/>
      <c r="I54" s="2388" t="s">
        <v>2351</v>
      </c>
      <c r="J54" s="2402">
        <f ca="1">IF(M48="住宅",J52,IF(J52&gt;L49,L49-'数据-取费表'!B25,J52))</f>
        <v>0</v>
      </c>
      <c r="K54" s="3466"/>
      <c r="L54" s="3467"/>
      <c r="O54" s="2427" t="s">
        <v>2391</v>
      </c>
      <c r="P54" s="2425" t="s">
        <v>2392</v>
      </c>
      <c r="Q54" s="2426">
        <f ca="1">J54</f>
        <v>0</v>
      </c>
      <c r="R54" s="2425" t="s">
        <v>2393</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2394</v>
      </c>
      <c r="P55" s="2425" t="s">
        <v>2411</v>
      </c>
      <c r="Q55" s="2426">
        <f ca="1">Q49+Q50</f>
        <v>0</v>
      </c>
      <c r="R55" s="2429" t="s">
        <v>2395</v>
      </c>
    </row>
    <row r="56" spans="1:18" s="2061" customFormat="1" ht="16.5" thickBot="1">
      <c r="A56" s="2098"/>
      <c r="B56" s="2099"/>
      <c r="C56" s="2099"/>
      <c r="I56" s="3129" t="s">
        <v>2358</v>
      </c>
      <c r="J56" s="3153" t="e">
        <f ca="1">ROUND(IF(J48="钢混",J58/J51,1-(1-2%)*(J51-J58)/J51),3)</f>
        <v>#VALUE!</v>
      </c>
      <c r="K56" s="2403" t="s">
        <v>2359</v>
      </c>
      <c r="L56" s="2404"/>
      <c r="O56" s="2430" t="s">
        <v>2414</v>
      </c>
      <c r="P56" s="1593"/>
      <c r="Q56" s="1605"/>
      <c r="R56" s="1593"/>
    </row>
    <row r="57" spans="1:18" s="2061" customFormat="1" ht="43.5" thickBot="1">
      <c r="A57" s="2098"/>
      <c r="B57" s="2099"/>
      <c r="C57" s="2099"/>
      <c r="I57" s="2405" t="s">
        <v>2360</v>
      </c>
      <c r="J57" s="3152" t="s">
        <v>1678</v>
      </c>
      <c r="K57" s="2385" t="s">
        <v>2365</v>
      </c>
      <c r="L57" s="2394">
        <f ca="1">IF(L49&lt;J52,"——",L49-J52)</f>
        <v>0</v>
      </c>
      <c r="O57" s="2421" t="s">
        <v>2378</v>
      </c>
      <c r="P57" s="2422" t="s">
        <v>2379</v>
      </c>
      <c r="Q57" s="2423" t="s">
        <v>2380</v>
      </c>
      <c r="R57" s="2422" t="s">
        <v>2381</v>
      </c>
    </row>
    <row r="58" spans="1:18" s="2061" customFormat="1" ht="29.25" thickBot="1">
      <c r="A58" s="2098"/>
      <c r="B58" s="2099"/>
      <c r="C58" s="2099"/>
      <c r="I58" s="2406" t="s">
        <v>2361</v>
      </c>
      <c r="J58" s="2408" t="str">
        <f ca="1">IF(OR(M48="住宅",J52&lt;L49,J57="是"),"——",J52-L49)</f>
        <v>——</v>
      </c>
      <c r="K58" s="2385" t="s">
        <v>2366</v>
      </c>
      <c r="L58" s="2394">
        <f ca="1">IF(L49&lt;J52,"——",IF(L56="比较法",L50,IF(L56="基准地价",L51,L52)))</f>
        <v>0</v>
      </c>
      <c r="O58" s="2424" t="s">
        <v>2382</v>
      </c>
      <c r="P58" s="2425" t="s">
        <v>2408</v>
      </c>
      <c r="Q58" s="2426">
        <f ca="1">C41+J31</f>
        <v>0</v>
      </c>
      <c r="R58" s="2425" t="s">
        <v>2383</v>
      </c>
    </row>
    <row r="59" spans="1:18" s="2061" customFormat="1" ht="29.25" thickBot="1">
      <c r="A59" s="2098"/>
      <c r="B59" s="2099"/>
      <c r="C59" s="2099"/>
      <c r="I59" s="2406" t="s">
        <v>2362</v>
      </c>
      <c r="J59" s="3154" t="e">
        <f ca="1">IF(J56&lt;0.4,0.4,J56)</f>
        <v>#VALUE!</v>
      </c>
      <c r="K59" s="2385" t="s">
        <v>2367</v>
      </c>
      <c r="L59" s="2394">
        <f ca="1">IF(ISERROR(POWER(1+L53,L48-L49)*(POWER(1+L53,L49)-1)/(POWER(1+L53,L48)-1)),0,POWER(1+L53,L48-L49)*(POWER(1+L53,L49)-1)/(POWER(1+L53,L48)-1))</f>
        <v>0</v>
      </c>
      <c r="O59" s="2424" t="s">
        <v>2384</v>
      </c>
      <c r="P59" s="2425" t="s">
        <v>2415</v>
      </c>
      <c r="Q59" s="2426" t="e">
        <f ca="1">L61</f>
        <v>#DIV/0!</v>
      </c>
      <c r="R59" s="2429" t="s">
        <v>2417</v>
      </c>
    </row>
    <row r="60" spans="1:18" s="2061" customFormat="1" ht="29.25" thickBot="1">
      <c r="A60" s="2098"/>
      <c r="B60" s="2099"/>
      <c r="C60" s="2099"/>
      <c r="I60" s="2406" t="s">
        <v>2363</v>
      </c>
      <c r="J60" s="2408" t="str">
        <f ca="1">IF(OR(M48="住宅",J52&lt;L49,J57="是"),"——",ROUND(C30*J59,0))</f>
        <v>——</v>
      </c>
      <c r="K60" s="2385" t="s">
        <v>2368</v>
      </c>
      <c r="L60" s="2394">
        <f ca="1">IF(ISERROR(POWER(1+L53,L48-J52)*(POWER(1+L53,J52)-1)/(POWER(1+L53,L48)-1)),0,POWER(1+L53,L48-J52)*(POWER(1+L53,J52)-1)/(POWER(1+L53,L48)-1))</f>
        <v>0</v>
      </c>
      <c r="O60" s="2427" t="s">
        <v>2386</v>
      </c>
      <c r="P60" s="2425" t="s">
        <v>2416</v>
      </c>
      <c r="Q60" s="2426">
        <f>IF(L56="比较法",L50,IF(L56="基准地价",L51,0))</f>
        <v>0</v>
      </c>
      <c r="R60" s="2425" t="s">
        <v>2383</v>
      </c>
    </row>
    <row r="61" spans="1:18" s="2061" customFormat="1" ht="15.75" thickBot="1">
      <c r="A61" s="2098"/>
      <c r="B61" s="2099"/>
      <c r="C61" s="2099"/>
      <c r="I61" s="2407" t="s">
        <v>2364</v>
      </c>
      <c r="J61" s="2409" t="str">
        <f ca="1">IF(OR(M48="住宅",J52&lt;L49,J57="是"),"0",ROUND(J60/(1+J53)^J54,0))</f>
        <v>0</v>
      </c>
      <c r="K61" s="2410" t="s">
        <v>2369</v>
      </c>
      <c r="L61" s="2409" t="e">
        <f ca="1">IF(OR(M48="住宅",L49&lt;J52),0,ROUND(L58*(L59/L60-1),0))</f>
        <v>#DIV/0!</v>
      </c>
      <c r="O61" s="2427" t="s">
        <v>2387</v>
      </c>
      <c r="P61" s="2425" t="s">
        <v>2396</v>
      </c>
      <c r="Q61" s="2428">
        <f>L53</f>
        <v>0</v>
      </c>
      <c r="R61" s="2429"/>
    </row>
    <row r="62" spans="1:18" s="2061" customFormat="1" ht="20.25" thickBot="1">
      <c r="A62" s="2098"/>
      <c r="B62" s="2099"/>
      <c r="C62" s="2099"/>
      <c r="K62" s="2088"/>
      <c r="O62" s="2427" t="s">
        <v>2389</v>
      </c>
      <c r="P62" s="2425" t="s">
        <v>2397</v>
      </c>
      <c r="Q62" s="2426">
        <f ca="1">L59</f>
        <v>0</v>
      </c>
      <c r="R62" s="2429" t="s">
        <v>2398</v>
      </c>
    </row>
    <row r="63" spans="1:18" s="2061" customFormat="1" ht="20.25" thickBot="1">
      <c r="A63" s="2098"/>
      <c r="B63" s="2099"/>
      <c r="C63" s="2099"/>
      <c r="I63" s="2411" t="s">
        <v>2370</v>
      </c>
      <c r="J63" s="2412" t="s">
        <v>2371</v>
      </c>
      <c r="K63" s="2412" t="s">
        <v>2372</v>
      </c>
      <c r="L63" s="2412" t="s">
        <v>2353</v>
      </c>
      <c r="M63" s="3131" t="s">
        <v>2948</v>
      </c>
      <c r="O63" s="2427" t="s">
        <v>2391</v>
      </c>
      <c r="P63" s="2425" t="s">
        <v>2399</v>
      </c>
      <c r="Q63" s="2426">
        <f ca="1">L60</f>
        <v>0</v>
      </c>
      <c r="R63" s="2429" t="s">
        <v>2400</v>
      </c>
    </row>
    <row r="64" spans="1:18" s="2061" customFormat="1" ht="15.75" thickBot="1">
      <c r="A64" s="2098"/>
      <c r="B64" s="2099"/>
      <c r="C64" s="2099"/>
      <c r="I64" s="2411" t="s">
        <v>2373</v>
      </c>
      <c r="J64" s="2412">
        <v>70</v>
      </c>
      <c r="K64" s="2412">
        <v>50</v>
      </c>
      <c r="L64" s="2412">
        <v>80</v>
      </c>
      <c r="M64" s="3132">
        <v>0.02</v>
      </c>
      <c r="O64" s="2424" t="s">
        <v>2394</v>
      </c>
      <c r="P64" s="2425" t="s">
        <v>2411</v>
      </c>
      <c r="Q64" s="2426" t="e">
        <f ca="1">Q58+Q59</f>
        <v>#DIV/0!</v>
      </c>
      <c r="R64" s="2429" t="s">
        <v>2395</v>
      </c>
    </row>
    <row r="65" spans="1:18" s="2061" customFormat="1" ht="16.5" thickBot="1">
      <c r="A65" s="2098"/>
      <c r="B65" s="2099"/>
      <c r="C65" s="2099"/>
      <c r="I65" s="2411" t="s">
        <v>2374</v>
      </c>
      <c r="J65" s="2412">
        <v>50</v>
      </c>
      <c r="K65" s="2412">
        <v>35</v>
      </c>
      <c r="L65" s="2412">
        <v>60</v>
      </c>
      <c r="M65" s="3133">
        <v>0</v>
      </c>
      <c r="O65" s="2430" t="s">
        <v>2418</v>
      </c>
      <c r="P65" s="1593"/>
      <c r="Q65" s="1605"/>
      <c r="R65" s="1593"/>
    </row>
    <row r="66" spans="1:18" s="2061" customFormat="1" ht="15.75" thickBot="1">
      <c r="A66" s="2098"/>
      <c r="B66" s="2099"/>
      <c r="C66" s="2099"/>
      <c r="I66" s="2411" t="s">
        <v>2375</v>
      </c>
      <c r="J66" s="2412">
        <v>40</v>
      </c>
      <c r="K66" s="2412">
        <v>30</v>
      </c>
      <c r="L66" s="2412">
        <v>50</v>
      </c>
      <c r="M66" s="3132">
        <v>0.02</v>
      </c>
      <c r="O66" s="2421" t="s">
        <v>2378</v>
      </c>
      <c r="P66" s="2422" t="s">
        <v>2379</v>
      </c>
      <c r="Q66" s="2423" t="s">
        <v>2380</v>
      </c>
      <c r="R66" s="2422" t="s">
        <v>2381</v>
      </c>
    </row>
    <row r="67" spans="1:18" s="2061" customFormat="1" ht="15.75" thickBot="1">
      <c r="A67" s="2098"/>
      <c r="B67" s="2099"/>
      <c r="C67" s="2099"/>
      <c r="K67" s="2088"/>
      <c r="O67" s="2424" t="s">
        <v>2382</v>
      </c>
      <c r="P67" s="2425" t="s">
        <v>2408</v>
      </c>
      <c r="Q67" s="2426">
        <f ca="1">C41+J31</f>
        <v>0</v>
      </c>
      <c r="R67" s="2425" t="s">
        <v>2383</v>
      </c>
    </row>
    <row r="68" spans="1:18" s="2061" customFormat="1" ht="20.25" thickBot="1">
      <c r="A68" s="2098"/>
      <c r="B68" s="2099"/>
      <c r="C68" s="2099"/>
      <c r="K68" s="2088"/>
      <c r="O68" s="2424" t="s">
        <v>2384</v>
      </c>
      <c r="P68" s="2425" t="s">
        <v>2415</v>
      </c>
      <c r="Q68" s="2426" t="e">
        <f ca="1">L61</f>
        <v>#DIV/0!</v>
      </c>
      <c r="R68" s="2429" t="s">
        <v>2417</v>
      </c>
    </row>
    <row r="69" spans="1:18" s="2061" customFormat="1" ht="21.75" thickBot="1">
      <c r="A69" s="2098"/>
      <c r="B69" s="2099"/>
      <c r="C69" s="2099"/>
      <c r="K69" s="2088"/>
      <c r="O69" s="2427" t="s">
        <v>2386</v>
      </c>
      <c r="P69" s="2425" t="s">
        <v>2416</v>
      </c>
      <c r="Q69" s="2431">
        <f ca="1">L52</f>
        <v>0</v>
      </c>
      <c r="R69" s="2432" t="s">
        <v>2419</v>
      </c>
    </row>
    <row r="70" spans="1:18" s="2061" customFormat="1" ht="20.25" thickBot="1">
      <c r="A70" s="2098"/>
      <c r="B70" s="2099"/>
      <c r="C70" s="2099"/>
      <c r="K70" s="2088"/>
      <c r="O70" s="2427" t="s">
        <v>2387</v>
      </c>
      <c r="P70" s="2433" t="s">
        <v>2401</v>
      </c>
      <c r="Q70" s="2426">
        <f ca="1">ROUND(Q71-Q72*Q73,0)</f>
        <v>0</v>
      </c>
      <c r="R70" s="2429"/>
    </row>
    <row r="71" spans="1:18" s="2061" customFormat="1" ht="15.75" thickBot="1">
      <c r="A71" s="2098"/>
      <c r="B71" s="2099"/>
      <c r="C71" s="2099"/>
      <c r="K71" s="2088"/>
      <c r="O71" s="2427" t="s">
        <v>2402</v>
      </c>
      <c r="P71" s="2433" t="s">
        <v>2403</v>
      </c>
      <c r="Q71" s="2426">
        <f ca="1">C42</f>
        <v>0</v>
      </c>
      <c r="R71" s="2425" t="s">
        <v>2383</v>
      </c>
    </row>
    <row r="72" spans="1:18" s="2061" customFormat="1" ht="15.75" thickBot="1">
      <c r="A72" s="2098"/>
      <c r="B72" s="2099"/>
      <c r="C72" s="2099"/>
      <c r="K72" s="2088"/>
      <c r="O72" s="2427" t="s">
        <v>2404</v>
      </c>
      <c r="P72" s="2433" t="s">
        <v>2405</v>
      </c>
      <c r="Q72" s="2426">
        <f ca="1">C15</f>
        <v>0</v>
      </c>
      <c r="R72" s="2425" t="s">
        <v>2383</v>
      </c>
    </row>
    <row r="73" spans="1:18" s="2061" customFormat="1" ht="15.75" thickBot="1">
      <c r="A73" s="2098"/>
      <c r="B73" s="2099"/>
      <c r="C73" s="2099"/>
      <c r="K73" s="2088"/>
      <c r="O73" s="2427" t="s">
        <v>2406</v>
      </c>
      <c r="P73" s="2433" t="s">
        <v>2407</v>
      </c>
      <c r="Q73" s="2428">
        <f ca="1">F43</f>
        <v>0</v>
      </c>
      <c r="R73" s="2429"/>
    </row>
    <row r="74" spans="1:18" s="2061" customFormat="1" ht="15.75" thickBot="1">
      <c r="A74" s="2098"/>
      <c r="B74" s="2099"/>
      <c r="C74" s="2099"/>
      <c r="K74" s="2088"/>
      <c r="O74" s="2427" t="s">
        <v>2389</v>
      </c>
      <c r="P74" s="2425" t="s">
        <v>2396</v>
      </c>
      <c r="Q74" s="2428">
        <f>L53</f>
        <v>0</v>
      </c>
      <c r="R74" s="2429"/>
    </row>
    <row r="75" spans="1:18" s="2061" customFormat="1" ht="20.25" thickBot="1">
      <c r="A75" s="2098"/>
      <c r="B75" s="2099"/>
      <c r="C75" s="2099"/>
      <c r="K75" s="2088"/>
      <c r="O75" s="2427" t="s">
        <v>2391</v>
      </c>
      <c r="P75" s="2425" t="s">
        <v>2397</v>
      </c>
      <c r="Q75" s="2426">
        <f ca="1">L59</f>
        <v>0</v>
      </c>
      <c r="R75" s="2429" t="s">
        <v>2398</v>
      </c>
    </row>
    <row r="76" spans="1:18" s="2061" customFormat="1" ht="20.25" thickBot="1">
      <c r="A76" s="2098"/>
      <c r="B76" s="2099"/>
      <c r="C76" s="2099"/>
      <c r="K76" s="2088"/>
      <c r="O76" s="2427" t="s">
        <v>2420</v>
      </c>
      <c r="P76" s="2425" t="s">
        <v>2399</v>
      </c>
      <c r="Q76" s="2426">
        <f ca="1">L60</f>
        <v>0</v>
      </c>
      <c r="R76" s="2429" t="s">
        <v>2400</v>
      </c>
    </row>
    <row r="77" spans="1:18" s="2061" customFormat="1" ht="15.75" thickBot="1">
      <c r="A77" s="2098"/>
      <c r="B77" s="2099"/>
      <c r="C77" s="2099"/>
      <c r="K77" s="2088"/>
      <c r="O77" s="2424" t="s">
        <v>2394</v>
      </c>
      <c r="P77" s="2425" t="s">
        <v>2411</v>
      </c>
      <c r="Q77" s="2426" t="e">
        <f ca="1">Q67+Q68</f>
        <v>#DIV/0!</v>
      </c>
      <c r="R77" s="2429" t="s">
        <v>2395</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74" t="s">
        <v>2579</v>
      </c>
      <c r="C1" s="3474"/>
      <c r="D1" s="3474"/>
      <c r="E1" s="3474"/>
      <c r="F1" s="3474"/>
      <c r="G1" s="3473" t="s">
        <v>2580</v>
      </c>
      <c r="H1" s="3473"/>
      <c r="I1" s="3473"/>
      <c r="J1" s="3473"/>
      <c r="K1" s="3473"/>
      <c r="L1" s="3473"/>
      <c r="N1" s="3473" t="s">
        <v>2581</v>
      </c>
      <c r="O1" s="3473"/>
      <c r="P1" s="3473"/>
      <c r="Q1" s="3473"/>
      <c r="R1" s="2680"/>
      <c r="S1" s="3473" t="s">
        <v>2582</v>
      </c>
      <c r="T1" s="3473"/>
      <c r="U1" s="3473"/>
      <c r="V1" s="3473"/>
      <c r="X1" s="3472" t="s">
        <v>2642</v>
      </c>
      <c r="Y1" s="3473"/>
      <c r="Z1" s="3473"/>
      <c r="AA1" s="3473"/>
      <c r="AB1" s="3473"/>
      <c r="AD1" s="3472" t="s">
        <v>2646</v>
      </c>
      <c r="AE1" s="3473"/>
      <c r="AF1" s="3473"/>
      <c r="AG1" s="3473"/>
      <c r="AH1" s="3473"/>
    </row>
    <row r="2" spans="1:34" s="2782" customFormat="1" ht="14.25" thickBot="1">
      <c r="B2" s="2790" t="s">
        <v>2583</v>
      </c>
      <c r="C2" s="2790" t="s">
        <v>2644</v>
      </c>
      <c r="D2" s="2783" t="s">
        <v>1644</v>
      </c>
      <c r="E2" s="2783" t="s">
        <v>1951</v>
      </c>
      <c r="F2" s="2790" t="s">
        <v>2645</v>
      </c>
      <c r="G2" s="2786"/>
      <c r="H2" s="2785"/>
      <c r="I2" s="2790" t="s">
        <v>2963</v>
      </c>
      <c r="J2" s="2783" t="s">
        <v>2965</v>
      </c>
      <c r="K2" s="2783" t="s">
        <v>2966</v>
      </c>
      <c r="L2" s="2790" t="s">
        <v>2967</v>
      </c>
      <c r="N2" s="2790" t="s">
        <v>2583</v>
      </c>
      <c r="O2" s="2783" t="s">
        <v>2964</v>
      </c>
      <c r="P2" s="2783" t="s">
        <v>1951</v>
      </c>
      <c r="Q2" s="2790" t="s">
        <v>2645</v>
      </c>
      <c r="R2" s="2784"/>
      <c r="S2" s="2790" t="s">
        <v>2583</v>
      </c>
      <c r="T2" s="2783" t="s">
        <v>2964</v>
      </c>
      <c r="U2" s="2783" t="s">
        <v>1951</v>
      </c>
      <c r="V2" s="2790" t="s">
        <v>2645</v>
      </c>
      <c r="X2" s="2790" t="s">
        <v>2583</v>
      </c>
      <c r="Y2" s="2790" t="s">
        <v>2644</v>
      </c>
      <c r="Z2" s="2783" t="s">
        <v>1644</v>
      </c>
      <c r="AA2" s="2783" t="s">
        <v>1951</v>
      </c>
      <c r="AB2" s="2790" t="s">
        <v>2645</v>
      </c>
      <c r="AD2" s="2790" t="s">
        <v>2583</v>
      </c>
      <c r="AE2" s="2790" t="s">
        <v>2644</v>
      </c>
      <c r="AF2" s="2783" t="s">
        <v>1644</v>
      </c>
      <c r="AG2" s="2783" t="s">
        <v>1951</v>
      </c>
      <c r="AH2" s="2790" t="s">
        <v>2645</v>
      </c>
    </row>
    <row r="3" spans="1:34" s="3167" customFormat="1" ht="14.25">
      <c r="A3" s="3179" t="s">
        <v>2976</v>
      </c>
      <c r="B3" s="3168"/>
      <c r="C3" s="3168"/>
      <c r="D3" s="3169"/>
      <c r="E3" s="3169"/>
      <c r="F3" s="3168"/>
      <c r="G3" s="3170"/>
      <c r="H3" s="3171"/>
      <c r="I3" s="3178">
        <f>ROUND(AVERAGE($I7:$I22),2)</f>
        <v>2.4500000000000002</v>
      </c>
      <c r="J3" s="3178">
        <f>ROUND(AVERAGE($J7:$J22),2)</f>
        <v>1.65</v>
      </c>
      <c r="K3" s="3178">
        <f>ROUND(AVERAGE($K7:$K22),2)</f>
        <v>2.71</v>
      </c>
      <c r="L3" s="3178">
        <f>ROUND(AVERAGE($L7:$L22),2)</f>
        <v>1.39</v>
      </c>
      <c r="N3" s="3170"/>
      <c r="O3" s="3172"/>
      <c r="P3" s="3172"/>
      <c r="Q3" s="3172"/>
      <c r="R3" s="3172"/>
      <c r="S3" s="3170"/>
      <c r="T3" s="3172"/>
      <c r="U3" s="3172"/>
      <c r="V3" s="3172"/>
      <c r="W3" s="3175"/>
      <c r="X3" s="3173">
        <f>ROUND(SUMPRODUCT(PRODUCT(1+N3:N$21)),4)</f>
        <v>1.4517</v>
      </c>
      <c r="Y3" s="3173">
        <f>ROUND(SUMPRODUCT(PRODUCT(1+O3:O$21)),4)</f>
        <v>1.2928999999999999</v>
      </c>
      <c r="Z3" s="3173">
        <f t="shared" ref="Z3:Z19" si="0">Y3</f>
        <v>1.2928999999999999</v>
      </c>
      <c r="AA3" s="3173">
        <f>ROUND(SUMPRODUCT(PRODUCT(1+P3:P$21)),4)</f>
        <v>1.5068999999999999</v>
      </c>
      <c r="AB3" s="3173">
        <f>ROUND(SUMPRODUCT(PRODUCT(1+Q3:Q$21)),4)</f>
        <v>1.2557</v>
      </c>
      <c r="AD3" s="3174">
        <f>ROUND(AVERAGE(I3:I$22)/100,4)</f>
        <v>2.2800000000000001E-2</v>
      </c>
      <c r="AE3" s="3174">
        <f>ROUND(AVERAGE(J3:J$22)/100,4)</f>
        <v>1.5699999999999999E-2</v>
      </c>
      <c r="AF3" s="3174">
        <f t="shared" ref="AF3:AF20" si="1">AE3</f>
        <v>1.5699999999999999E-2</v>
      </c>
      <c r="AG3" s="3174">
        <f>ROUND(AVERAGE(K3:K$22)/100,4)</f>
        <v>2.5100000000000001E-2</v>
      </c>
      <c r="AH3" s="3174">
        <f>ROUND(AVERAGE(L3:L$22)/100,4)</f>
        <v>1.35E-2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c r="A5" s="3144" t="s">
        <v>2983</v>
      </c>
      <c r="B5" s="2821">
        <f>B6*(1+N5)</f>
        <v>446.46299999999997</v>
      </c>
      <c r="C5" s="2821">
        <f t="shared" ref="C5" si="2">C6*(1+O5)</f>
        <v>333.27840000000003</v>
      </c>
      <c r="D5" s="2821">
        <f t="shared" ref="D5" si="3">C5</f>
        <v>333.27840000000003</v>
      </c>
      <c r="E5" s="2821">
        <f t="shared" ref="E5" si="4">E6*(1+P5)</f>
        <v>637.28279999999995</v>
      </c>
      <c r="F5" s="2821">
        <f t="shared" ref="F5" si="5">F6*(1+Q5)</f>
        <v>288.68830000000003</v>
      </c>
      <c r="G5" s="2781">
        <v>2018</v>
      </c>
      <c r="H5" s="3145">
        <v>2</v>
      </c>
      <c r="I5" s="3161">
        <v>0</v>
      </c>
      <c r="J5" s="3161">
        <v>0</v>
      </c>
      <c r="K5" s="3161">
        <v>0</v>
      </c>
      <c r="L5" s="3161">
        <v>0</v>
      </c>
      <c r="N5" s="2788">
        <f t="shared" ref="N5" si="6">I5/100</f>
        <v>0</v>
      </c>
      <c r="O5" s="2788">
        <f t="shared" ref="O5" si="7">J5/100</f>
        <v>0</v>
      </c>
      <c r="P5" s="2788">
        <f t="shared" ref="P5" si="8">K5/100</f>
        <v>0</v>
      </c>
      <c r="Q5" s="2788">
        <f t="shared" ref="Q5" si="9">L5/100</f>
        <v>0</v>
      </c>
      <c r="R5" s="3147"/>
      <c r="S5" s="3148"/>
      <c r="T5" s="3147"/>
      <c r="U5" s="3147"/>
      <c r="V5" s="3147"/>
      <c r="W5" s="3177" t="s">
        <v>2977</v>
      </c>
      <c r="X5" s="3149">
        <f>ROUND(SUMPRODUCT(PRODUCT(1+N5:N$21)),4)</f>
        <v>1.4517</v>
      </c>
      <c r="Y5" s="3149">
        <f>ROUND(SUMPRODUCT(PRODUCT(1+O5:O$21)),4)</f>
        <v>1.2928999999999999</v>
      </c>
      <c r="Z5" s="3149">
        <f t="shared" ref="Z5" si="10">Y5</f>
        <v>1.2928999999999999</v>
      </c>
      <c r="AA5" s="3149">
        <f>ROUND(SUMPRODUCT(PRODUCT(1+P5:P$21)),4)</f>
        <v>1.5068999999999999</v>
      </c>
      <c r="AB5" s="3149">
        <f>ROUND(SUMPRODUCT(PRODUCT(1+Q5:Q$21)),4)</f>
        <v>1.2557</v>
      </c>
      <c r="AD5" s="3150">
        <f>ROUND(AVERAGE(I5:I$22)/100,4)</f>
        <v>2.2700000000000001E-2</v>
      </c>
      <c r="AE5" s="3150">
        <f>ROUND(AVERAGE(J5:J$22)/100,4)</f>
        <v>1.5699999999999999E-2</v>
      </c>
      <c r="AF5" s="3150">
        <f t="shared" ref="AF5" si="11">AE5</f>
        <v>1.5699999999999999E-2</v>
      </c>
      <c r="AG5" s="3150">
        <f>ROUND(AVERAGE(K5:K$22)/100,4)</f>
        <v>2.5000000000000001E-2</v>
      </c>
      <c r="AH5" s="3150">
        <f>ROUND(AVERAGE(L5:L$22)/100,4)</f>
        <v>1.35E-2</v>
      </c>
    </row>
    <row r="6" spans="1:34" s="2787" customFormat="1" ht="13.5" thickBot="1">
      <c r="A6" s="2681" t="s">
        <v>2984</v>
      </c>
      <c r="B6" s="2695">
        <f>B7*(1+N6)</f>
        <v>446.46299999999997</v>
      </c>
      <c r="C6" s="2695">
        <f t="shared" ref="C6" si="12">C7*(1+O6)</f>
        <v>333.27840000000003</v>
      </c>
      <c r="D6" s="2695">
        <f t="shared" ref="D6:D11" si="13">C6</f>
        <v>333.27840000000003</v>
      </c>
      <c r="E6" s="2695">
        <f t="shared" ref="E6" si="14">E7*(1+P6)</f>
        <v>637.28279999999995</v>
      </c>
      <c r="F6" s="2695">
        <f t="shared" ref="F6" si="15">F7*(1+Q6)</f>
        <v>288.68830000000003</v>
      </c>
      <c r="G6" s="3166">
        <v>2018</v>
      </c>
      <c r="H6" s="2685">
        <v>1</v>
      </c>
      <c r="I6" s="2685">
        <v>1.7</v>
      </c>
      <c r="J6" s="2685">
        <v>1.92</v>
      </c>
      <c r="K6" s="2685">
        <v>1.64</v>
      </c>
      <c r="L6" s="2696">
        <v>2.0099999999999998</v>
      </c>
      <c r="M6" s="2689"/>
      <c r="N6" s="2690">
        <f t="shared" ref="N6:N11" si="16">I6/100</f>
        <v>1.7000000000000001E-2</v>
      </c>
      <c r="O6" s="2691">
        <f t="shared" ref="O6" si="17">J6/100</f>
        <v>1.9199999999999998E-2</v>
      </c>
      <c r="P6" s="2691">
        <f t="shared" ref="P6" si="18">K6/100</f>
        <v>1.6399999999999998E-2</v>
      </c>
      <c r="Q6" s="2691">
        <f t="shared" ref="Q6" si="19">L6/100</f>
        <v>2.0099999999999996E-2</v>
      </c>
      <c r="R6" s="2692"/>
      <c r="S6" s="2698">
        <f>B6/B7-1</f>
        <v>1.6999999999999904E-2</v>
      </c>
      <c r="T6" s="2699">
        <f>C6/C7-1</f>
        <v>1.9200000000000106E-2</v>
      </c>
      <c r="U6" s="2699">
        <f>E6/E7-1</f>
        <v>1.639999999999997E-2</v>
      </c>
      <c r="V6" s="2699">
        <f>F6/F7-1</f>
        <v>2.0100000000000007E-2</v>
      </c>
      <c r="W6" s="2689"/>
      <c r="X6" s="2780">
        <f>ROUND(SUMPRODUCT(PRODUCT(1+N6:N$21)),4)</f>
        <v>1.4517</v>
      </c>
      <c r="Y6" s="2780">
        <f>ROUND(SUMPRODUCT(PRODUCT(1+O6:O$21)),4)</f>
        <v>1.2928999999999999</v>
      </c>
      <c r="Z6" s="2780">
        <f t="shared" ref="Z6" si="20">Y6</f>
        <v>1.2928999999999999</v>
      </c>
      <c r="AA6" s="2780">
        <f>ROUND(SUMPRODUCT(PRODUCT(1+P6:P$21)),4)</f>
        <v>1.5068999999999999</v>
      </c>
      <c r="AB6" s="2780">
        <f>ROUND(SUMPRODUCT(PRODUCT(1+Q6:Q$21)),4)</f>
        <v>1.2557</v>
      </c>
      <c r="AC6" s="2689"/>
      <c r="AD6" s="2700">
        <f>ROUND(AVERAGE(I6:I$22)/100,4)</f>
        <v>2.4E-2</v>
      </c>
      <c r="AE6" s="2700">
        <f>ROUND(AVERAGE(J6:J$22)/100,4)</f>
        <v>1.66E-2</v>
      </c>
      <c r="AF6" s="2700">
        <f t="shared" ref="AF6" si="21">AE6</f>
        <v>1.66E-2</v>
      </c>
      <c r="AG6" s="2700">
        <f>ROUND(AVERAGE(K6:K$22)/100,4)</f>
        <v>2.6499999999999999E-2</v>
      </c>
      <c r="AH6" s="2700">
        <f>ROUND(AVERAGE(L6:L$22)/100,4)</f>
        <v>1.43E-2</v>
      </c>
    </row>
    <row r="7" spans="1:34">
      <c r="A7" s="2681" t="s">
        <v>2974</v>
      </c>
      <c r="B7" s="3181">
        <v>439</v>
      </c>
      <c r="C7" s="3181">
        <v>327</v>
      </c>
      <c r="D7" s="3181">
        <f t="shared" si="13"/>
        <v>327</v>
      </c>
      <c r="E7" s="3181">
        <v>627</v>
      </c>
      <c r="F7" s="3182">
        <v>283</v>
      </c>
      <c r="G7" s="3164">
        <v>2017</v>
      </c>
      <c r="H7" s="2682">
        <v>4</v>
      </c>
      <c r="I7" s="2682">
        <v>1.71</v>
      </c>
      <c r="J7" s="2682">
        <v>1.78</v>
      </c>
      <c r="K7" s="2682">
        <v>1.71</v>
      </c>
      <c r="L7" s="2683">
        <v>1.43</v>
      </c>
      <c r="N7" s="2690">
        <f t="shared" si="16"/>
        <v>1.7100000000000001E-2</v>
      </c>
      <c r="O7" s="2691">
        <f t="shared" ref="O7" si="22">J7/100</f>
        <v>1.78E-2</v>
      </c>
      <c r="P7" s="2691">
        <f t="shared" ref="P7" si="23">K7/100</f>
        <v>1.7100000000000001E-2</v>
      </c>
      <c r="Q7" s="2691">
        <f t="shared" ref="Q7" si="24">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2978</v>
      </c>
      <c r="B8" s="2695">
        <f t="shared" ref="B8:C10" si="25">B9*(1+N8)</f>
        <v>431.80730811680002</v>
      </c>
      <c r="C8" s="2695">
        <f t="shared" si="25"/>
        <v>320.57880516480003</v>
      </c>
      <c r="D8" s="2695">
        <f t="shared" si="13"/>
        <v>320.57880516480003</v>
      </c>
      <c r="E8" s="2695">
        <f t="shared" ref="E8:F10" si="26">E9*(1+P8)</f>
        <v>615.96110553196797</v>
      </c>
      <c r="F8" s="2695">
        <f t="shared" si="26"/>
        <v>279.46777300108801</v>
      </c>
      <c r="G8" s="3166"/>
      <c r="H8" s="2685">
        <v>3</v>
      </c>
      <c r="I8" s="2685">
        <v>2.98</v>
      </c>
      <c r="J8" s="2685">
        <v>2.11</v>
      </c>
      <c r="K8" s="2685">
        <v>3.24</v>
      </c>
      <c r="L8" s="2696">
        <v>1.72</v>
      </c>
      <c r="M8" s="2689"/>
      <c r="N8" s="2690">
        <f t="shared" si="16"/>
        <v>2.98E-2</v>
      </c>
      <c r="O8" s="2691">
        <f t="shared" ref="O8:O9" si="27">J8/100</f>
        <v>2.1099999999999997E-2</v>
      </c>
      <c r="P8" s="2691">
        <f t="shared" ref="P8:P9" si="28">K8/100</f>
        <v>3.2400000000000005E-2</v>
      </c>
      <c r="Q8" s="2691">
        <f t="shared" ref="Q8:Q9" si="29">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2584</v>
      </c>
      <c r="B9" s="2695">
        <f t="shared" si="25"/>
        <v>419.31181600000002</v>
      </c>
      <c r="C9" s="2695">
        <f t="shared" si="25"/>
        <v>313.95436800000004</v>
      </c>
      <c r="D9" s="2695">
        <f t="shared" si="13"/>
        <v>313.95436800000004</v>
      </c>
      <c r="E9" s="2695">
        <f t="shared" si="26"/>
        <v>596.63028431999999</v>
      </c>
      <c r="F9" s="2695">
        <f t="shared" si="26"/>
        <v>274.74220703999998</v>
      </c>
      <c r="G9" s="3165"/>
      <c r="H9" s="2686">
        <v>2</v>
      </c>
      <c r="I9" s="2686">
        <v>3.4</v>
      </c>
      <c r="J9" s="2686">
        <v>2</v>
      </c>
      <c r="K9" s="2686">
        <v>3.82</v>
      </c>
      <c r="L9" s="2697">
        <v>1.68</v>
      </c>
      <c r="N9" s="2690">
        <f t="shared" si="16"/>
        <v>3.4000000000000002E-2</v>
      </c>
      <c r="O9" s="2691">
        <f t="shared" si="27"/>
        <v>0.02</v>
      </c>
      <c r="P9" s="2691">
        <f t="shared" si="28"/>
        <v>3.8199999999999998E-2</v>
      </c>
      <c r="Q9" s="2691">
        <f t="shared" si="29"/>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2585</v>
      </c>
      <c r="B10" s="2695">
        <f t="shared" si="25"/>
        <v>405.524</v>
      </c>
      <c r="C10" s="2695">
        <f t="shared" si="25"/>
        <v>307.79840000000002</v>
      </c>
      <c r="D10" s="2695">
        <f t="shared" si="13"/>
        <v>307.79840000000002</v>
      </c>
      <c r="E10" s="2695">
        <f t="shared" si="26"/>
        <v>574.67759999999998</v>
      </c>
      <c r="F10" s="2695">
        <f t="shared" si="26"/>
        <v>270.20280000000002</v>
      </c>
      <c r="G10" s="3166"/>
      <c r="H10" s="2685">
        <v>1</v>
      </c>
      <c r="I10" s="2685">
        <v>3.45</v>
      </c>
      <c r="J10" s="2685">
        <v>1.92</v>
      </c>
      <c r="K10" s="2685">
        <v>3.92</v>
      </c>
      <c r="L10" s="2696">
        <v>1.58</v>
      </c>
      <c r="M10" s="2689"/>
      <c r="N10" s="2690">
        <f t="shared" si="16"/>
        <v>3.4500000000000003E-2</v>
      </c>
      <c r="O10" s="2691">
        <f t="shared" ref="O10" si="30">J10/100</f>
        <v>1.9199999999999998E-2</v>
      </c>
      <c r="P10" s="2691">
        <f t="shared" ref="P10" si="31">K10/100</f>
        <v>3.9199999999999999E-2</v>
      </c>
      <c r="Q10" s="2691">
        <f t="shared" ref="Q10" si="32">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970</v>
      </c>
      <c r="B11" s="2687">
        <v>392</v>
      </c>
      <c r="C11" s="2687">
        <v>302</v>
      </c>
      <c r="D11" s="2687">
        <f t="shared" si="13"/>
        <v>302</v>
      </c>
      <c r="E11" s="2687">
        <v>553</v>
      </c>
      <c r="F11" s="2688">
        <v>266</v>
      </c>
      <c r="G11" s="3471">
        <v>2016</v>
      </c>
      <c r="H11" s="2682">
        <v>4</v>
      </c>
      <c r="I11" s="2682">
        <v>4.5599999999999996</v>
      </c>
      <c r="J11" s="2682">
        <v>2.15</v>
      </c>
      <c r="K11" s="2682">
        <v>5.32</v>
      </c>
      <c r="L11" s="2683">
        <v>1.57</v>
      </c>
      <c r="N11" s="2690">
        <f t="shared" si="16"/>
        <v>4.5599999999999995E-2</v>
      </c>
      <c r="O11" s="2691">
        <f t="shared" ref="O11:Q26" si="33">J11/100</f>
        <v>2.1499999999999998E-2</v>
      </c>
      <c r="P11" s="2691">
        <f t="shared" si="33"/>
        <v>5.3200000000000004E-2</v>
      </c>
      <c r="Q11" s="2691">
        <f t="shared" si="33"/>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969</v>
      </c>
      <c r="B12" s="2695">
        <f t="shared" ref="B12:C14" si="34">B11/(1+N11)</f>
        <v>374.90436113236416</v>
      </c>
      <c r="C12" s="2695">
        <f t="shared" si="34"/>
        <v>295.64366128242779</v>
      </c>
      <c r="D12" s="2695">
        <f t="shared" ref="D12:D71" si="35">C12</f>
        <v>295.64366128242779</v>
      </c>
      <c r="E12" s="2695">
        <f t="shared" ref="E12:F14" si="36">E11/(1+P11)</f>
        <v>525.06646410938095</v>
      </c>
      <c r="F12" s="2695">
        <f t="shared" si="36"/>
        <v>261.88835286009646</v>
      </c>
      <c r="G12" s="3469"/>
      <c r="H12" s="2685">
        <v>3</v>
      </c>
      <c r="I12" s="2685">
        <v>4.12</v>
      </c>
      <c r="J12" s="2685">
        <v>2</v>
      </c>
      <c r="K12" s="2685">
        <v>4.79</v>
      </c>
      <c r="L12" s="2696">
        <v>1.97</v>
      </c>
      <c r="N12" s="2690">
        <f t="shared" ref="N12:Q46" si="37">I12/100</f>
        <v>4.1200000000000001E-2</v>
      </c>
      <c r="O12" s="2691">
        <f t="shared" si="33"/>
        <v>0.02</v>
      </c>
      <c r="P12" s="2691">
        <f t="shared" si="33"/>
        <v>4.7899999999999998E-2</v>
      </c>
      <c r="Q12" s="2691">
        <f t="shared" si="33"/>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959</v>
      </c>
      <c r="B13" s="2695">
        <f t="shared" si="34"/>
        <v>360.06949782209392</v>
      </c>
      <c r="C13" s="2695">
        <f t="shared" si="34"/>
        <v>289.84672674747821</v>
      </c>
      <c r="D13" s="2695">
        <f t="shared" si="35"/>
        <v>289.84672674747821</v>
      </c>
      <c r="E13" s="2695">
        <f t="shared" si="36"/>
        <v>501.06543001181495</v>
      </c>
      <c r="F13" s="2695">
        <f t="shared" si="36"/>
        <v>256.82882500744967</v>
      </c>
      <c r="G13" s="3469"/>
      <c r="H13" s="2686">
        <v>2</v>
      </c>
      <c r="I13" s="2686">
        <v>3.85</v>
      </c>
      <c r="J13" s="2686">
        <v>1.95</v>
      </c>
      <c r="K13" s="2686">
        <v>4.4800000000000004</v>
      </c>
      <c r="L13" s="2697">
        <v>1.41</v>
      </c>
      <c r="N13" s="2690">
        <f t="shared" si="37"/>
        <v>3.85E-2</v>
      </c>
      <c r="O13" s="2691">
        <f t="shared" si="33"/>
        <v>1.95E-2</v>
      </c>
      <c r="P13" s="2691">
        <f t="shared" si="33"/>
        <v>4.4800000000000006E-2</v>
      </c>
      <c r="Q13" s="2691">
        <f t="shared" si="33"/>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968</v>
      </c>
      <c r="B14" s="2695">
        <f t="shared" si="34"/>
        <v>346.720748986128</v>
      </c>
      <c r="C14" s="2695">
        <f t="shared" si="34"/>
        <v>284.30282172386285</v>
      </c>
      <c r="D14" s="2695">
        <f t="shared" si="35"/>
        <v>284.30282172386285</v>
      </c>
      <c r="E14" s="2695">
        <f t="shared" si="36"/>
        <v>479.58023546306947</v>
      </c>
      <c r="F14" s="2695">
        <f t="shared" si="36"/>
        <v>253.25788877571213</v>
      </c>
      <c r="G14" s="3470"/>
      <c r="H14" s="2685">
        <v>1</v>
      </c>
      <c r="I14" s="2685">
        <v>4.09</v>
      </c>
      <c r="J14" s="2685">
        <v>2.93</v>
      </c>
      <c r="K14" s="2685">
        <v>4.54</v>
      </c>
      <c r="L14" s="2696">
        <v>1.48</v>
      </c>
      <c r="N14" s="2690">
        <f t="shared" si="37"/>
        <v>4.0899999999999999E-2</v>
      </c>
      <c r="O14" s="2691">
        <f t="shared" si="33"/>
        <v>2.9300000000000003E-2</v>
      </c>
      <c r="P14" s="2691">
        <f t="shared" si="33"/>
        <v>4.5400000000000003E-2</v>
      </c>
      <c r="Q14" s="2691">
        <f t="shared" si="33"/>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967</v>
      </c>
      <c r="B15" s="2687">
        <v>333</v>
      </c>
      <c r="C15" s="2687">
        <v>277</v>
      </c>
      <c r="D15" s="2687">
        <f t="shared" si="35"/>
        <v>277</v>
      </c>
      <c r="E15" s="2687">
        <v>459</v>
      </c>
      <c r="F15" s="2688">
        <v>249</v>
      </c>
      <c r="G15" s="3468">
        <v>2015</v>
      </c>
      <c r="H15" s="2701">
        <v>4</v>
      </c>
      <c r="I15" s="2701">
        <v>1.63</v>
      </c>
      <c r="J15" s="2701">
        <v>1.1100000000000001</v>
      </c>
      <c r="K15" s="2701">
        <v>1.77</v>
      </c>
      <c r="L15" s="2702">
        <v>1.89</v>
      </c>
      <c r="N15" s="2703">
        <f t="shared" si="37"/>
        <v>1.6299999999999999E-2</v>
      </c>
      <c r="O15" s="2704">
        <f t="shared" si="33"/>
        <v>1.11E-2</v>
      </c>
      <c r="P15" s="2704">
        <f t="shared" si="33"/>
        <v>1.77E-2</v>
      </c>
      <c r="Q15" s="2704">
        <f t="shared" si="33"/>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966</v>
      </c>
      <c r="B16" s="2695">
        <f t="shared" ref="B16:C18" si="38">B15/(1+N15)</f>
        <v>327.65915576109415</v>
      </c>
      <c r="C16" s="2695">
        <f t="shared" si="38"/>
        <v>273.95905449510434</v>
      </c>
      <c r="D16" s="2695">
        <f t="shared" si="35"/>
        <v>273.95905449510434</v>
      </c>
      <c r="E16" s="2695">
        <f t="shared" ref="E16:F18" si="39">E15/(1+P15)</f>
        <v>451.01699911565294</v>
      </c>
      <c r="F16" s="2695">
        <f t="shared" si="39"/>
        <v>244.38119540681129</v>
      </c>
      <c r="G16" s="3469"/>
      <c r="H16" s="2706">
        <v>3</v>
      </c>
      <c r="I16" s="2706">
        <v>1.65</v>
      </c>
      <c r="J16" s="2706">
        <v>0.92</v>
      </c>
      <c r="K16" s="2706">
        <v>1.88</v>
      </c>
      <c r="L16" s="2707">
        <v>1.26</v>
      </c>
      <c r="N16" s="2690">
        <f t="shared" si="37"/>
        <v>1.6500000000000001E-2</v>
      </c>
      <c r="O16" s="2708">
        <f t="shared" si="33"/>
        <v>9.1999999999999998E-3</v>
      </c>
      <c r="P16" s="2708">
        <f t="shared" si="33"/>
        <v>1.8799999999999997E-2</v>
      </c>
      <c r="Q16" s="2708">
        <f t="shared" si="33"/>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965</v>
      </c>
      <c r="B17" s="2695">
        <f t="shared" si="38"/>
        <v>322.34053690220776</v>
      </c>
      <c r="C17" s="2695">
        <f t="shared" si="38"/>
        <v>271.46160770422546</v>
      </c>
      <c r="D17" s="2695">
        <f t="shared" si="35"/>
        <v>271.46160770422546</v>
      </c>
      <c r="E17" s="2695">
        <f t="shared" si="39"/>
        <v>442.69434542172456</v>
      </c>
      <c r="F17" s="2695">
        <f t="shared" si="39"/>
        <v>241.34030753190925</v>
      </c>
      <c r="G17" s="3469"/>
      <c r="H17" s="2686">
        <v>2</v>
      </c>
      <c r="I17" s="2686">
        <v>0.77</v>
      </c>
      <c r="J17" s="2686">
        <v>0.69</v>
      </c>
      <c r="K17" s="2686">
        <v>0.8</v>
      </c>
      <c r="L17" s="2697">
        <v>0.88</v>
      </c>
      <c r="N17" s="2690">
        <f t="shared" si="37"/>
        <v>7.7000000000000002E-3</v>
      </c>
      <c r="O17" s="2708">
        <f t="shared" si="33"/>
        <v>6.8999999999999999E-3</v>
      </c>
      <c r="P17" s="2708">
        <f t="shared" si="33"/>
        <v>8.0000000000000002E-3</v>
      </c>
      <c r="Q17" s="2708">
        <f t="shared" si="33"/>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964</v>
      </c>
      <c r="B18" s="2695">
        <f t="shared" si="38"/>
        <v>319.87748030386797</v>
      </c>
      <c r="C18" s="2695">
        <f t="shared" si="38"/>
        <v>269.60135833173649</v>
      </c>
      <c r="D18" s="2695">
        <f t="shared" si="35"/>
        <v>269.60135833173649</v>
      </c>
      <c r="E18" s="2695">
        <f t="shared" si="39"/>
        <v>439.18089823583784</v>
      </c>
      <c r="F18" s="2695">
        <f t="shared" si="39"/>
        <v>239.23503918706311</v>
      </c>
      <c r="G18" s="3470"/>
      <c r="H18" s="2685">
        <v>1</v>
      </c>
      <c r="I18" s="2685">
        <v>0.51</v>
      </c>
      <c r="J18" s="2685">
        <v>0.54</v>
      </c>
      <c r="K18" s="2685">
        <v>0.48</v>
      </c>
      <c r="L18" s="2696">
        <v>0.93</v>
      </c>
      <c r="N18" s="2698">
        <f t="shared" si="37"/>
        <v>5.1000000000000004E-3</v>
      </c>
      <c r="O18" s="2699">
        <f t="shared" si="33"/>
        <v>5.4000000000000003E-3</v>
      </c>
      <c r="P18" s="2699">
        <f t="shared" si="33"/>
        <v>4.7999999999999996E-3</v>
      </c>
      <c r="Q18" s="2699">
        <f t="shared" si="33"/>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963</v>
      </c>
      <c r="B19" s="2709">
        <v>318</v>
      </c>
      <c r="C19" s="2709">
        <v>268</v>
      </c>
      <c r="D19" s="2709">
        <f t="shared" si="35"/>
        <v>268</v>
      </c>
      <c r="E19" s="2709">
        <v>437</v>
      </c>
      <c r="F19" s="2710">
        <v>237</v>
      </c>
      <c r="G19" s="3468">
        <v>2014</v>
      </c>
      <c r="H19" s="2701">
        <v>4</v>
      </c>
      <c r="I19" s="2701">
        <v>0.21</v>
      </c>
      <c r="J19" s="2701">
        <v>0.41</v>
      </c>
      <c r="K19" s="2701">
        <v>0.12</v>
      </c>
      <c r="L19" s="2702">
        <v>0.89</v>
      </c>
      <c r="N19" s="2690">
        <f t="shared" si="37"/>
        <v>2.0999999999999999E-3</v>
      </c>
      <c r="O19" s="2691">
        <f t="shared" si="33"/>
        <v>4.0999999999999995E-3</v>
      </c>
      <c r="P19" s="2691">
        <f t="shared" si="33"/>
        <v>1.1999999999999999E-3</v>
      </c>
      <c r="Q19" s="2691">
        <f t="shared" si="33"/>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962</v>
      </c>
      <c r="B20" s="2695">
        <f t="shared" ref="B20:C22" si="40">B19/(1+N19)</f>
        <v>317.33359944117353</v>
      </c>
      <c r="C20" s="2695">
        <f t="shared" si="40"/>
        <v>266.90568668459315</v>
      </c>
      <c r="D20" s="2695">
        <f t="shared" si="35"/>
        <v>266.90568668459315</v>
      </c>
      <c r="E20" s="2695">
        <f t="shared" ref="E20:F22" si="41">E19/(1+P19)</f>
        <v>436.47622852576905</v>
      </c>
      <c r="F20" s="2695">
        <f t="shared" si="41"/>
        <v>234.90930716622066</v>
      </c>
      <c r="G20" s="3469"/>
      <c r="H20" s="2711">
        <v>3</v>
      </c>
      <c r="I20" s="2711">
        <v>0.83</v>
      </c>
      <c r="J20" s="2711">
        <v>1.47</v>
      </c>
      <c r="K20" s="2711">
        <v>0.65</v>
      </c>
      <c r="L20" s="2712">
        <v>0.72</v>
      </c>
      <c r="N20" s="2690">
        <f t="shared" si="37"/>
        <v>8.3000000000000001E-3</v>
      </c>
      <c r="O20" s="2691">
        <f t="shared" si="33"/>
        <v>1.47E-2</v>
      </c>
      <c r="P20" s="2691">
        <f t="shared" si="33"/>
        <v>6.5000000000000006E-3</v>
      </c>
      <c r="Q20" s="2691">
        <f t="shared" si="33"/>
        <v>7.1999999999999998E-3</v>
      </c>
      <c r="R20" s="2692"/>
      <c r="S20" s="2690"/>
      <c r="T20" s="2691"/>
      <c r="U20" s="2691"/>
      <c r="V20" s="2691"/>
      <c r="X20" s="2780">
        <f>ROUND(SUMPRODUCT(PRODUCT(1+N20:N$21)),4)</f>
        <v>1.0325</v>
      </c>
      <c r="Y20" s="2780">
        <f>ROUND(SUMPRODUCT(PRODUCT(1+O20:O$21)),4)</f>
        <v>1.0353000000000001</v>
      </c>
      <c r="Z20" s="2780">
        <f t="shared" ref="Z20:Z21" si="42">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961</v>
      </c>
      <c r="B21" s="2695">
        <f t="shared" si="40"/>
        <v>314.72141172386546</v>
      </c>
      <c r="C21" s="2695">
        <f t="shared" si="40"/>
        <v>263.03901319069001</v>
      </c>
      <c r="D21" s="2695">
        <f t="shared" si="35"/>
        <v>263.03901319069001</v>
      </c>
      <c r="E21" s="2695">
        <f t="shared" si="41"/>
        <v>433.65745506782821</v>
      </c>
      <c r="F21" s="2695">
        <f t="shared" si="41"/>
        <v>233.23005080045735</v>
      </c>
      <c r="G21" s="3469"/>
      <c r="H21" s="2701">
        <v>2</v>
      </c>
      <c r="I21" s="2701">
        <v>2.4</v>
      </c>
      <c r="J21" s="2701">
        <v>2.0299999999999998</v>
      </c>
      <c r="K21" s="2701">
        <v>2.59</v>
      </c>
      <c r="L21" s="2702">
        <v>1.52</v>
      </c>
      <c r="N21" s="2690">
        <f t="shared" si="37"/>
        <v>2.4E-2</v>
      </c>
      <c r="O21" s="2691">
        <f t="shared" si="33"/>
        <v>2.0299999999999999E-2</v>
      </c>
      <c r="P21" s="2691">
        <f t="shared" si="33"/>
        <v>2.5899999999999999E-2</v>
      </c>
      <c r="Q21" s="2691">
        <f t="shared" si="33"/>
        <v>1.52E-2</v>
      </c>
      <c r="R21" s="2692"/>
      <c r="S21" s="2690"/>
      <c r="T21" s="2691"/>
      <c r="U21" s="2691"/>
      <c r="V21" s="2691"/>
      <c r="X21" s="2780">
        <f>1+N21</f>
        <v>1.024</v>
      </c>
      <c r="Y21" s="2780">
        <f>1+O21</f>
        <v>1.0203</v>
      </c>
      <c r="Z21" s="2780">
        <f t="shared" si="42"/>
        <v>1.0203</v>
      </c>
      <c r="AA21" s="2780">
        <f>1+P21</f>
        <v>1.0259</v>
      </c>
      <c r="AB21" s="2780">
        <f>1+Q21</f>
        <v>1.0152000000000001</v>
      </c>
      <c r="AD21" s="2700">
        <f>ROUND(AVERAGE(I21:I$22)/100,4)</f>
        <v>2.69E-2</v>
      </c>
      <c r="AE21" s="2700">
        <f>ROUND(AVERAGE(J21:J$22)/100,4)</f>
        <v>2.1899999999999999E-2</v>
      </c>
      <c r="AF21" s="2700">
        <f t="shared" ref="AF21" si="43">AE21</f>
        <v>2.1899999999999999E-2</v>
      </c>
      <c r="AG21" s="2700">
        <f>ROUND(AVERAGE(K21:K$22)/100,4)</f>
        <v>2.9399999999999999E-2</v>
      </c>
      <c r="AH21" s="2700">
        <f>ROUND(AVERAGE(L21:L$22)/100,4)</f>
        <v>1.44E-2</v>
      </c>
    </row>
    <row r="22" spans="1:34" s="2717" customFormat="1" ht="13.5" thickBot="1">
      <c r="A22" s="2713" t="s">
        <v>960</v>
      </c>
      <c r="B22" s="2714">
        <f t="shared" si="40"/>
        <v>307.34512863658733</v>
      </c>
      <c r="C22" s="2714">
        <f t="shared" si="40"/>
        <v>257.80556031626975</v>
      </c>
      <c r="D22" s="2714">
        <f t="shared" si="35"/>
        <v>257.80556031626975</v>
      </c>
      <c r="E22" s="2714">
        <f t="shared" si="41"/>
        <v>422.70928459677179</v>
      </c>
      <c r="F22" s="2714">
        <f t="shared" si="41"/>
        <v>229.73803270336617</v>
      </c>
      <c r="G22" s="3470"/>
      <c r="H22" s="2715">
        <v>1</v>
      </c>
      <c r="I22" s="2715">
        <v>2.97</v>
      </c>
      <c r="J22" s="2715">
        <v>2.34</v>
      </c>
      <c r="K22" s="2715">
        <v>3.28</v>
      </c>
      <c r="L22" s="2716">
        <v>1.36</v>
      </c>
      <c r="N22" s="2718">
        <f t="shared" si="37"/>
        <v>2.9700000000000001E-2</v>
      </c>
      <c r="O22" s="2719">
        <f t="shared" si="33"/>
        <v>2.3399999999999997E-2</v>
      </c>
      <c r="P22" s="2719">
        <f t="shared" si="33"/>
        <v>3.2799999999999996E-2</v>
      </c>
      <c r="Q22" s="2719">
        <f t="shared" si="33"/>
        <v>1.3600000000000001E-2</v>
      </c>
      <c r="R22" s="2720"/>
      <c r="S22" s="2721">
        <f>B22/B23-1</f>
        <v>2.7910129219355539E-2</v>
      </c>
      <c r="T22" s="2722">
        <f>C22/C23-1</f>
        <v>2.3037937762975247E-2</v>
      </c>
      <c r="U22" s="2722">
        <f>E22/E23-1</f>
        <v>3.3519033243940788E-2</v>
      </c>
      <c r="V22" s="2722">
        <f>F22/F23-1</f>
        <v>1.2061818076502862E-2</v>
      </c>
      <c r="W22" s="2789" t="s">
        <v>2643</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2586</v>
      </c>
      <c r="B23" s="2687">
        <v>299</v>
      </c>
      <c r="C23" s="2687">
        <v>252</v>
      </c>
      <c r="D23" s="2687">
        <f t="shared" si="35"/>
        <v>252</v>
      </c>
      <c r="E23" s="2687">
        <v>409</v>
      </c>
      <c r="F23" s="2688">
        <v>227</v>
      </c>
      <c r="G23" s="3475">
        <v>2013</v>
      </c>
      <c r="H23" s="2723">
        <v>4</v>
      </c>
      <c r="I23" s="2723">
        <v>1.83</v>
      </c>
      <c r="J23" s="2723">
        <v>1.68</v>
      </c>
      <c r="K23" s="2723">
        <v>1.97</v>
      </c>
      <c r="L23" s="2724">
        <v>0.87</v>
      </c>
      <c r="N23" s="2703">
        <f t="shared" si="37"/>
        <v>1.83E-2</v>
      </c>
      <c r="O23" s="2704">
        <f t="shared" si="33"/>
        <v>1.6799999999999999E-2</v>
      </c>
      <c r="P23" s="2704">
        <f t="shared" si="33"/>
        <v>1.9699999999999999E-2</v>
      </c>
      <c r="Q23" s="2704">
        <f t="shared" si="33"/>
        <v>8.6999999999999994E-3</v>
      </c>
      <c r="R23" s="2692"/>
      <c r="S23" s="2693"/>
      <c r="T23" s="2694"/>
      <c r="U23" s="2694"/>
      <c r="V23" s="2694"/>
      <c r="X23" s="2694"/>
      <c r="Y23" s="2694"/>
      <c r="Z23" s="2694"/>
    </row>
    <row r="24" spans="1:34">
      <c r="A24" s="2681" t="s">
        <v>2587</v>
      </c>
      <c r="B24" s="2695">
        <f t="shared" ref="B24:C26" si="44">B23/(1+N23)</f>
        <v>293.62663262299913</v>
      </c>
      <c r="C24" s="2695">
        <f t="shared" si="44"/>
        <v>247.83634933123525</v>
      </c>
      <c r="D24" s="2695">
        <f t="shared" si="35"/>
        <v>247.83634933123525</v>
      </c>
      <c r="E24" s="2695">
        <f t="shared" ref="E24:F26" si="45">E23/(1+P23)</f>
        <v>401.09836226341076</v>
      </c>
      <c r="F24" s="2695">
        <f t="shared" si="45"/>
        <v>225.04213343908003</v>
      </c>
      <c r="G24" s="3476"/>
      <c r="H24" s="2706">
        <v>3</v>
      </c>
      <c r="I24" s="2706">
        <v>1.86</v>
      </c>
      <c r="J24" s="2706">
        <v>1.72</v>
      </c>
      <c r="K24" s="2706">
        <v>1.98</v>
      </c>
      <c r="L24" s="2707">
        <v>0.88</v>
      </c>
      <c r="N24" s="2690">
        <f t="shared" si="37"/>
        <v>1.8600000000000002E-2</v>
      </c>
      <c r="O24" s="2708">
        <f t="shared" si="33"/>
        <v>1.72E-2</v>
      </c>
      <c r="P24" s="2708">
        <f t="shared" si="33"/>
        <v>1.9799999999999998E-2</v>
      </c>
      <c r="Q24" s="2708">
        <f t="shared" si="33"/>
        <v>8.8000000000000005E-3</v>
      </c>
      <c r="R24" s="2692"/>
      <c r="S24" s="2690"/>
      <c r="T24" s="2691"/>
      <c r="U24" s="2691"/>
      <c r="V24" s="2691"/>
    </row>
    <row r="25" spans="1:34">
      <c r="A25" s="2681" t="s">
        <v>2588</v>
      </c>
      <c r="B25" s="2695">
        <f t="shared" si="44"/>
        <v>288.2649053828776</v>
      </c>
      <c r="C25" s="2695">
        <f t="shared" si="44"/>
        <v>243.64564425013293</v>
      </c>
      <c r="D25" s="2695">
        <f t="shared" si="35"/>
        <v>243.64564425013293</v>
      </c>
      <c r="E25" s="2695">
        <f t="shared" si="45"/>
        <v>393.31080825986544</v>
      </c>
      <c r="F25" s="2695">
        <f t="shared" si="45"/>
        <v>223.07903790551154</v>
      </c>
      <c r="G25" s="3476"/>
      <c r="H25" s="2686">
        <v>2</v>
      </c>
      <c r="I25" s="2686">
        <v>2.04</v>
      </c>
      <c r="J25" s="2686">
        <v>2.33</v>
      </c>
      <c r="K25" s="2686">
        <v>2.0699999999999998</v>
      </c>
      <c r="L25" s="2697">
        <v>0.69</v>
      </c>
      <c r="N25" s="2690">
        <f t="shared" si="37"/>
        <v>2.0400000000000001E-2</v>
      </c>
      <c r="O25" s="2708">
        <f t="shared" si="33"/>
        <v>2.3300000000000001E-2</v>
      </c>
      <c r="P25" s="2708">
        <f t="shared" si="33"/>
        <v>2.07E-2</v>
      </c>
      <c r="Q25" s="2708">
        <f t="shared" si="33"/>
        <v>6.8999999999999999E-3</v>
      </c>
      <c r="R25" s="2692"/>
      <c r="S25" s="2690"/>
      <c r="T25" s="2691"/>
      <c r="U25" s="2691"/>
      <c r="V25" s="2691"/>
      <c r="X25" s="2792"/>
      <c r="Y25" s="2794"/>
    </row>
    <row r="26" spans="1:34">
      <c r="A26" s="2681" t="s">
        <v>2589</v>
      </c>
      <c r="B26" s="2695">
        <f t="shared" si="44"/>
        <v>282.50186729015837</v>
      </c>
      <c r="C26" s="2695">
        <f t="shared" si="44"/>
        <v>238.09796174155468</v>
      </c>
      <c r="D26" s="2695">
        <f t="shared" si="35"/>
        <v>238.09796174155468</v>
      </c>
      <c r="E26" s="2695">
        <f t="shared" si="45"/>
        <v>385.33438646014054</v>
      </c>
      <c r="F26" s="2695">
        <f t="shared" si="45"/>
        <v>221.55034055567739</v>
      </c>
      <c r="G26" s="3477"/>
      <c r="H26" s="2685">
        <v>1</v>
      </c>
      <c r="I26" s="2685">
        <v>1.67</v>
      </c>
      <c r="J26" s="2685">
        <v>1.31</v>
      </c>
      <c r="K26" s="2685">
        <v>1.85</v>
      </c>
      <c r="L26" s="2696">
        <v>0.96</v>
      </c>
      <c r="N26" s="2698">
        <f t="shared" si="37"/>
        <v>1.67E-2</v>
      </c>
      <c r="O26" s="2699">
        <f t="shared" si="33"/>
        <v>1.3100000000000001E-2</v>
      </c>
      <c r="P26" s="2699">
        <f t="shared" si="33"/>
        <v>1.8500000000000003E-2</v>
      </c>
      <c r="Q26" s="2699">
        <f t="shared" si="33"/>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2590</v>
      </c>
      <c r="B27" s="2725">
        <v>278</v>
      </c>
      <c r="C27" s="2725">
        <v>234</v>
      </c>
      <c r="D27" s="2725">
        <f t="shared" si="35"/>
        <v>234</v>
      </c>
      <c r="E27" s="2725">
        <v>379</v>
      </c>
      <c r="F27" s="2726">
        <v>220</v>
      </c>
      <c r="G27" s="3468">
        <v>2012</v>
      </c>
      <c r="H27" s="2701">
        <v>4</v>
      </c>
      <c r="I27" s="2701">
        <v>0.91</v>
      </c>
      <c r="J27" s="2701">
        <v>0.68</v>
      </c>
      <c r="K27" s="2701">
        <v>0.98</v>
      </c>
      <c r="L27" s="2702">
        <v>0.9</v>
      </c>
      <c r="N27" s="2690">
        <f t="shared" si="37"/>
        <v>9.1000000000000004E-3</v>
      </c>
      <c r="O27" s="2691">
        <f t="shared" si="37"/>
        <v>6.8000000000000005E-3</v>
      </c>
      <c r="P27" s="2691">
        <f t="shared" si="37"/>
        <v>9.7999999999999997E-3</v>
      </c>
      <c r="Q27" s="2691">
        <f t="shared" si="37"/>
        <v>9.0000000000000011E-3</v>
      </c>
      <c r="R27" s="2692"/>
      <c r="S27" s="2693"/>
      <c r="T27" s="2694"/>
      <c r="U27" s="2694"/>
      <c r="V27" s="2694"/>
      <c r="X27" s="2694"/>
      <c r="Y27" s="2694"/>
      <c r="Z27" s="2694"/>
    </row>
    <row r="28" spans="1:34">
      <c r="A28" s="2681" t="s">
        <v>2591</v>
      </c>
      <c r="B28" s="2695">
        <f>B27/(1+N27)</f>
        <v>275.49301357645425</v>
      </c>
      <c r="C28" s="2695">
        <f>C27/(1+O27)</f>
        <v>232.41954707985698</v>
      </c>
      <c r="D28" s="2695">
        <f t="shared" si="35"/>
        <v>232.41954707985698</v>
      </c>
      <c r="E28" s="2695">
        <f t="shared" ref="E28:F30" si="46">E27/(1+P27)</f>
        <v>375.32184591008121</v>
      </c>
      <c r="F28" s="2695">
        <f t="shared" si="46"/>
        <v>218.03766105054513</v>
      </c>
      <c r="G28" s="3469"/>
      <c r="H28" s="2706">
        <v>3</v>
      </c>
      <c r="I28" s="2706">
        <v>0.09</v>
      </c>
      <c r="J28" s="2706">
        <v>0.28999999999999998</v>
      </c>
      <c r="K28" s="2706">
        <v>-0.01</v>
      </c>
      <c r="L28" s="2707">
        <v>0.57999999999999996</v>
      </c>
      <c r="N28" s="2690">
        <f t="shared" si="37"/>
        <v>8.9999999999999998E-4</v>
      </c>
      <c r="O28" s="2691">
        <f t="shared" si="37"/>
        <v>2.8999999999999998E-3</v>
      </c>
      <c r="P28" s="2691">
        <f t="shared" si="37"/>
        <v>-1E-4</v>
      </c>
      <c r="Q28" s="2691">
        <f t="shared" si="37"/>
        <v>5.7999999999999996E-3</v>
      </c>
      <c r="R28" s="2692"/>
      <c r="S28" s="2690"/>
      <c r="T28" s="2691"/>
      <c r="U28" s="2691"/>
      <c r="V28" s="2691"/>
    </row>
    <row r="29" spans="1:34">
      <c r="A29" s="2681" t="s">
        <v>2592</v>
      </c>
      <c r="B29" s="2695">
        <f>B28/(1+N28)</f>
        <v>275.24529281292263</v>
      </c>
      <c r="C29" s="2695">
        <f>C28/(1+O28)</f>
        <v>231.74747938962707</v>
      </c>
      <c r="D29" s="2695">
        <f t="shared" si="35"/>
        <v>231.74747938962707</v>
      </c>
      <c r="E29" s="2695">
        <f t="shared" si="46"/>
        <v>375.35938184826603</v>
      </c>
      <c r="F29" s="2695">
        <f t="shared" si="46"/>
        <v>216.78033510692495</v>
      </c>
      <c r="G29" s="3469"/>
      <c r="H29" s="2686">
        <v>2</v>
      </c>
      <c r="I29" s="2686">
        <v>0.02</v>
      </c>
      <c r="J29" s="2686">
        <v>0.12</v>
      </c>
      <c r="K29" s="2686">
        <v>-0.08</v>
      </c>
      <c r="L29" s="2697">
        <v>1.24</v>
      </c>
      <c r="N29" s="2690">
        <f t="shared" si="37"/>
        <v>2.0000000000000001E-4</v>
      </c>
      <c r="O29" s="2691">
        <f t="shared" si="37"/>
        <v>1.1999999999999999E-3</v>
      </c>
      <c r="P29" s="2691">
        <f t="shared" si="37"/>
        <v>-8.0000000000000004E-4</v>
      </c>
      <c r="Q29" s="2691">
        <f t="shared" si="37"/>
        <v>1.24E-2</v>
      </c>
      <c r="R29" s="2692"/>
      <c r="S29" s="2690"/>
      <c r="T29" s="2691"/>
      <c r="U29" s="2691"/>
      <c r="V29" s="2691"/>
    </row>
    <row r="30" spans="1:34" ht="13.5" thickBot="1">
      <c r="A30" s="2681" t="s">
        <v>2593</v>
      </c>
      <c r="B30" s="2695">
        <f>B29/(1+N29)</f>
        <v>275.19025476197027</v>
      </c>
      <c r="C30" s="2727">
        <v>232</v>
      </c>
      <c r="D30" s="2727">
        <f t="shared" si="35"/>
        <v>232</v>
      </c>
      <c r="E30" s="2695">
        <f t="shared" si="46"/>
        <v>375.65990977608692</v>
      </c>
      <c r="F30" s="2695">
        <f t="shared" si="46"/>
        <v>214.12518283971252</v>
      </c>
      <c r="G30" s="3470"/>
      <c r="H30" s="2685">
        <v>1</v>
      </c>
      <c r="I30" s="2685">
        <v>0.02</v>
      </c>
      <c r="J30" s="2685">
        <v>0.13</v>
      </c>
      <c r="K30" s="2685">
        <v>-0.04</v>
      </c>
      <c r="L30" s="2696">
        <v>0.46</v>
      </c>
      <c r="N30" s="2690">
        <f t="shared" si="37"/>
        <v>2.0000000000000001E-4</v>
      </c>
      <c r="O30" s="2691">
        <f t="shared" si="37"/>
        <v>1.2999999999999999E-3</v>
      </c>
      <c r="P30" s="2691">
        <f t="shared" si="37"/>
        <v>-4.0000000000000002E-4</v>
      </c>
      <c r="Q30" s="2691">
        <f t="shared" si="37"/>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2594</v>
      </c>
      <c r="B31" s="2687">
        <v>275</v>
      </c>
      <c r="C31" s="2687">
        <v>232</v>
      </c>
      <c r="D31" s="2687">
        <f t="shared" si="35"/>
        <v>232</v>
      </c>
      <c r="E31" s="2687">
        <v>376</v>
      </c>
      <c r="F31" s="2688">
        <v>213</v>
      </c>
      <c r="G31" s="3468">
        <v>2011</v>
      </c>
      <c r="H31" s="2701">
        <v>4</v>
      </c>
      <c r="I31" s="2701">
        <v>-0.2</v>
      </c>
      <c r="J31" s="2701">
        <v>0.04</v>
      </c>
      <c r="K31" s="2701">
        <v>-0.34</v>
      </c>
      <c r="L31" s="2702">
        <v>0.46</v>
      </c>
      <c r="N31" s="2703">
        <f t="shared" si="37"/>
        <v>-2E-3</v>
      </c>
      <c r="O31" s="2704">
        <f t="shared" si="37"/>
        <v>4.0000000000000002E-4</v>
      </c>
      <c r="P31" s="2704">
        <f t="shared" si="37"/>
        <v>-3.4000000000000002E-3</v>
      </c>
      <c r="Q31" s="2704">
        <f t="shared" si="37"/>
        <v>4.5999999999999999E-3</v>
      </c>
      <c r="R31" s="2692"/>
      <c r="S31" s="2693"/>
      <c r="T31" s="2694"/>
      <c r="U31" s="2694"/>
      <c r="V31" s="2694"/>
      <c r="X31" s="2694"/>
      <c r="Y31" s="2694"/>
      <c r="Z31" s="2694"/>
    </row>
    <row r="32" spans="1:34">
      <c r="A32" s="2681" t="s">
        <v>2595</v>
      </c>
      <c r="B32" s="2695">
        <f t="shared" ref="B32:C34" si="47">B31/(1+N31)</f>
        <v>275.55110220440883</v>
      </c>
      <c r="C32" s="2695">
        <f t="shared" si="47"/>
        <v>231.90723710515795</v>
      </c>
      <c r="D32" s="2695">
        <f t="shared" si="35"/>
        <v>231.90723710515795</v>
      </c>
      <c r="E32" s="2695">
        <f t="shared" ref="E32:F34" si="48">E31/(1+P31)</f>
        <v>377.28276138872161</v>
      </c>
      <c r="F32" s="2695">
        <f t="shared" si="48"/>
        <v>212.02468644236512</v>
      </c>
      <c r="G32" s="3469">
        <v>2011</v>
      </c>
      <c r="H32" s="2706">
        <v>3</v>
      </c>
      <c r="I32" s="2706">
        <v>0.13</v>
      </c>
      <c r="J32" s="2706">
        <v>0.75</v>
      </c>
      <c r="K32" s="2706">
        <v>-0.08</v>
      </c>
      <c r="L32" s="2707">
        <v>0.53</v>
      </c>
      <c r="N32" s="2690">
        <f t="shared" si="37"/>
        <v>1.2999999999999999E-3</v>
      </c>
      <c r="O32" s="2708">
        <f t="shared" si="37"/>
        <v>7.4999999999999997E-3</v>
      </c>
      <c r="P32" s="2708">
        <f t="shared" si="37"/>
        <v>-8.0000000000000004E-4</v>
      </c>
      <c r="Q32" s="2708">
        <f t="shared" si="37"/>
        <v>5.3E-3</v>
      </c>
      <c r="R32" s="2692"/>
      <c r="S32" s="2690"/>
      <c r="T32" s="2691"/>
      <c r="U32" s="2691"/>
      <c r="V32" s="2691"/>
    </row>
    <row r="33" spans="1:26">
      <c r="A33" s="2681" t="s">
        <v>2596</v>
      </c>
      <c r="B33" s="2695">
        <f t="shared" si="47"/>
        <v>275.19335084830601</v>
      </c>
      <c r="C33" s="2695">
        <f t="shared" si="47"/>
        <v>230.18088050139744</v>
      </c>
      <c r="D33" s="2695">
        <f t="shared" si="35"/>
        <v>230.18088050139744</v>
      </c>
      <c r="E33" s="2695">
        <f t="shared" si="48"/>
        <v>377.58482925212331</v>
      </c>
      <c r="F33" s="2695">
        <f t="shared" si="48"/>
        <v>210.90687997847917</v>
      </c>
      <c r="G33" s="3469">
        <v>2011</v>
      </c>
      <c r="H33" s="2686">
        <v>2</v>
      </c>
      <c r="I33" s="2686">
        <v>-0.4</v>
      </c>
      <c r="J33" s="2686">
        <v>0.17</v>
      </c>
      <c r="K33" s="2686">
        <v>-0.57999999999999996</v>
      </c>
      <c r="L33" s="2697">
        <v>-0.2</v>
      </c>
      <c r="N33" s="2690">
        <f t="shared" si="37"/>
        <v>-4.0000000000000001E-3</v>
      </c>
      <c r="O33" s="2708">
        <f t="shared" si="37"/>
        <v>1.7000000000000001E-3</v>
      </c>
      <c r="P33" s="2708">
        <f t="shared" si="37"/>
        <v>-5.7999999999999996E-3</v>
      </c>
      <c r="Q33" s="2708">
        <f t="shared" si="37"/>
        <v>-2E-3</v>
      </c>
      <c r="R33" s="2692"/>
      <c r="S33" s="2690"/>
      <c r="T33" s="2691"/>
      <c r="U33" s="2691"/>
      <c r="V33" s="2691"/>
    </row>
    <row r="34" spans="1:26" ht="13.5" thickBot="1">
      <c r="A34" s="2681" t="s">
        <v>2597</v>
      </c>
      <c r="B34" s="2695">
        <f t="shared" si="47"/>
        <v>276.29854502841971</v>
      </c>
      <c r="C34" s="2695">
        <f t="shared" si="47"/>
        <v>229.79023709833027</v>
      </c>
      <c r="D34" s="2695">
        <f t="shared" si="35"/>
        <v>229.79023709833027</v>
      </c>
      <c r="E34" s="2695">
        <f t="shared" si="48"/>
        <v>379.78759731655936</v>
      </c>
      <c r="F34" s="2695">
        <f t="shared" si="48"/>
        <v>211.32953905659235</v>
      </c>
      <c r="G34" s="3470">
        <v>2011</v>
      </c>
      <c r="H34" s="2685">
        <v>1</v>
      </c>
      <c r="I34" s="2685">
        <v>2.65</v>
      </c>
      <c r="J34" s="2685">
        <v>3.76</v>
      </c>
      <c r="K34" s="2685">
        <v>1.89</v>
      </c>
      <c r="L34" s="2696">
        <v>7.95</v>
      </c>
      <c r="N34" s="2698">
        <f t="shared" si="37"/>
        <v>2.6499999999999999E-2</v>
      </c>
      <c r="O34" s="2699">
        <f t="shared" si="37"/>
        <v>3.7599999999999995E-2</v>
      </c>
      <c r="P34" s="2699">
        <f t="shared" si="37"/>
        <v>1.89E-2</v>
      </c>
      <c r="Q34" s="2699">
        <f t="shared" si="37"/>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2598</v>
      </c>
      <c r="B35" s="2687">
        <v>269</v>
      </c>
      <c r="C35" s="2687">
        <v>221</v>
      </c>
      <c r="D35" s="2687">
        <f t="shared" si="35"/>
        <v>221</v>
      </c>
      <c r="E35" s="2687">
        <v>373</v>
      </c>
      <c r="F35" s="2688">
        <v>196</v>
      </c>
      <c r="G35" s="3468">
        <v>2010</v>
      </c>
      <c r="H35" s="2701">
        <v>4</v>
      </c>
      <c r="I35" s="2701">
        <v>5.72</v>
      </c>
      <c r="J35" s="2701">
        <v>6.57</v>
      </c>
      <c r="K35" s="2701">
        <v>5.72</v>
      </c>
      <c r="L35" s="2702">
        <v>2.72</v>
      </c>
      <c r="N35" s="2690">
        <f t="shared" si="37"/>
        <v>5.7200000000000001E-2</v>
      </c>
      <c r="O35" s="2691">
        <f t="shared" si="37"/>
        <v>6.5700000000000008E-2</v>
      </c>
      <c r="P35" s="2691">
        <f t="shared" si="37"/>
        <v>5.7200000000000001E-2</v>
      </c>
      <c r="Q35" s="2691">
        <f t="shared" si="37"/>
        <v>2.7200000000000002E-2</v>
      </c>
      <c r="R35" s="2692"/>
      <c r="S35" s="2693"/>
      <c r="T35" s="2694"/>
      <c r="U35" s="2694"/>
      <c r="V35" s="2694"/>
      <c r="X35" s="2694"/>
      <c r="Y35" s="2694"/>
      <c r="Z35" s="2694"/>
    </row>
    <row r="36" spans="1:26">
      <c r="A36" s="2681" t="s">
        <v>2599</v>
      </c>
      <c r="B36" s="2695">
        <f t="shared" ref="B36:C38" si="49">B35/(1+N35)</f>
        <v>254.44570563753314</v>
      </c>
      <c r="C36" s="2695">
        <f t="shared" si="49"/>
        <v>207.37543398705074</v>
      </c>
      <c r="D36" s="2695">
        <f t="shared" si="35"/>
        <v>207.37543398705074</v>
      </c>
      <c r="E36" s="2695">
        <f t="shared" ref="E36:F38" si="50">E35/(1+P35)</f>
        <v>352.81876655315932</v>
      </c>
      <c r="F36" s="2695">
        <f t="shared" si="50"/>
        <v>190.809968847352</v>
      </c>
      <c r="G36" s="3469">
        <v>2010</v>
      </c>
      <c r="H36" s="2706">
        <v>3</v>
      </c>
      <c r="I36" s="2706">
        <v>4.7300000000000004</v>
      </c>
      <c r="J36" s="2706">
        <v>3.9</v>
      </c>
      <c r="K36" s="2706">
        <v>5.03</v>
      </c>
      <c r="L36" s="2707">
        <v>4.21</v>
      </c>
      <c r="N36" s="2690">
        <f t="shared" si="37"/>
        <v>4.7300000000000002E-2</v>
      </c>
      <c r="O36" s="2691">
        <f t="shared" si="37"/>
        <v>3.9E-2</v>
      </c>
      <c r="P36" s="2691">
        <f t="shared" si="37"/>
        <v>5.0300000000000004E-2</v>
      </c>
      <c r="Q36" s="2691">
        <f t="shared" si="37"/>
        <v>4.2099999999999999E-2</v>
      </c>
      <c r="R36" s="2692"/>
      <c r="S36" s="2690"/>
      <c r="T36" s="2691"/>
      <c r="U36" s="2691"/>
      <c r="V36" s="2691"/>
    </row>
    <row r="37" spans="1:26">
      <c r="A37" s="2681" t="s">
        <v>2600</v>
      </c>
      <c r="B37" s="2695">
        <f t="shared" si="49"/>
        <v>242.95398227588385</v>
      </c>
      <c r="C37" s="2695">
        <f t="shared" si="49"/>
        <v>199.59137053614126</v>
      </c>
      <c r="D37" s="2695">
        <f t="shared" si="35"/>
        <v>199.59137053614126</v>
      </c>
      <c r="E37" s="2695">
        <f t="shared" si="50"/>
        <v>335.92189522342125</v>
      </c>
      <c r="F37" s="2695">
        <f t="shared" si="50"/>
        <v>183.10139991109489</v>
      </c>
      <c r="G37" s="3469">
        <v>2010</v>
      </c>
      <c r="H37" s="2686">
        <v>2</v>
      </c>
      <c r="I37" s="2686">
        <v>4.6900000000000004</v>
      </c>
      <c r="J37" s="2686">
        <v>3.55</v>
      </c>
      <c r="K37" s="2686">
        <v>5.07</v>
      </c>
      <c r="L37" s="2697">
        <v>4.2300000000000004</v>
      </c>
      <c r="N37" s="2690">
        <f t="shared" si="37"/>
        <v>4.6900000000000004E-2</v>
      </c>
      <c r="O37" s="2691">
        <f t="shared" si="37"/>
        <v>3.5499999999999997E-2</v>
      </c>
      <c r="P37" s="2691">
        <f t="shared" si="37"/>
        <v>5.0700000000000002E-2</v>
      </c>
      <c r="Q37" s="2691">
        <f t="shared" si="37"/>
        <v>4.2300000000000004E-2</v>
      </c>
      <c r="R37" s="2692"/>
      <c r="S37" s="2690"/>
      <c r="T37" s="2691"/>
      <c r="U37" s="2691"/>
      <c r="V37" s="2691"/>
    </row>
    <row r="38" spans="1:26" ht="13.5" thickBot="1">
      <c r="A38" s="2681" t="s">
        <v>2601</v>
      </c>
      <c r="B38" s="2695">
        <f t="shared" si="49"/>
        <v>232.06990378821649</v>
      </c>
      <c r="C38" s="2695">
        <f t="shared" si="49"/>
        <v>192.74878854286936</v>
      </c>
      <c r="D38" s="2695">
        <f t="shared" si="35"/>
        <v>192.74878854286936</v>
      </c>
      <c r="E38" s="2695">
        <f t="shared" si="50"/>
        <v>319.71247284992984</v>
      </c>
      <c r="F38" s="2695">
        <f t="shared" si="50"/>
        <v>175.67053622862409</v>
      </c>
      <c r="G38" s="3470">
        <v>2010</v>
      </c>
      <c r="H38" s="2685">
        <v>1</v>
      </c>
      <c r="I38" s="2685">
        <v>5.4</v>
      </c>
      <c r="J38" s="2685">
        <v>3.2</v>
      </c>
      <c r="K38" s="2685">
        <v>6.16</v>
      </c>
      <c r="L38" s="2696">
        <v>4.51</v>
      </c>
      <c r="N38" s="2690">
        <f t="shared" si="37"/>
        <v>5.4000000000000006E-2</v>
      </c>
      <c r="O38" s="2691">
        <f t="shared" si="37"/>
        <v>3.2000000000000001E-2</v>
      </c>
      <c r="P38" s="2691">
        <f t="shared" si="37"/>
        <v>6.1600000000000002E-2</v>
      </c>
      <c r="Q38" s="2691">
        <f t="shared" si="37"/>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2602</v>
      </c>
      <c r="B39" s="2687">
        <v>220</v>
      </c>
      <c r="C39" s="2687">
        <v>187</v>
      </c>
      <c r="D39" s="2687">
        <f t="shared" si="35"/>
        <v>187</v>
      </c>
      <c r="E39" s="2687">
        <v>301</v>
      </c>
      <c r="F39" s="2688">
        <v>168</v>
      </c>
      <c r="G39" s="3468">
        <v>2009</v>
      </c>
      <c r="H39" s="2701">
        <v>4</v>
      </c>
      <c r="I39" s="2701">
        <v>2.2999999999999998</v>
      </c>
      <c r="J39" s="2701">
        <v>1.04</v>
      </c>
      <c r="K39" s="2701">
        <v>2.84</v>
      </c>
      <c r="L39" s="2702">
        <v>0.67</v>
      </c>
      <c r="N39" s="2703">
        <f t="shared" si="37"/>
        <v>2.3E-2</v>
      </c>
      <c r="O39" s="2704">
        <f t="shared" si="37"/>
        <v>1.04E-2</v>
      </c>
      <c r="P39" s="2704">
        <f t="shared" si="37"/>
        <v>2.8399999999999998E-2</v>
      </c>
      <c r="Q39" s="2704">
        <f t="shared" si="37"/>
        <v>6.7000000000000002E-3</v>
      </c>
      <c r="R39" s="2692"/>
      <c r="S39" s="2693"/>
      <c r="T39" s="2694"/>
      <c r="U39" s="2694"/>
      <c r="V39" s="2694"/>
      <c r="X39" s="2694"/>
      <c r="Y39" s="2694"/>
      <c r="Z39" s="2694"/>
    </row>
    <row r="40" spans="1:26">
      <c r="A40" s="2681" t="s">
        <v>2603</v>
      </c>
      <c r="B40" s="2695">
        <f t="shared" ref="B40:C42" si="51">B39/(1+N39)</f>
        <v>215.05376344086022</v>
      </c>
      <c r="C40" s="2695">
        <f t="shared" si="51"/>
        <v>185.0752177355503</v>
      </c>
      <c r="D40" s="2695">
        <f t="shared" si="35"/>
        <v>185.0752177355503</v>
      </c>
      <c r="E40" s="2695">
        <f t="shared" ref="E40:F42" si="52">E39/(1+P39)</f>
        <v>292.68767016725008</v>
      </c>
      <c r="F40" s="2695">
        <f t="shared" si="52"/>
        <v>166.88189132810174</v>
      </c>
      <c r="G40" s="3469">
        <v>2009</v>
      </c>
      <c r="H40" s="2706">
        <v>3</v>
      </c>
      <c r="I40" s="2706">
        <v>2.1</v>
      </c>
      <c r="J40" s="2706">
        <v>1.86</v>
      </c>
      <c r="K40" s="2706">
        <v>2.29</v>
      </c>
      <c r="L40" s="2707">
        <v>0.85</v>
      </c>
      <c r="N40" s="2690">
        <f t="shared" si="37"/>
        <v>2.1000000000000001E-2</v>
      </c>
      <c r="O40" s="2708">
        <f t="shared" si="37"/>
        <v>1.8600000000000002E-2</v>
      </c>
      <c r="P40" s="2708">
        <f t="shared" si="37"/>
        <v>2.29E-2</v>
      </c>
      <c r="Q40" s="2708">
        <f t="shared" si="37"/>
        <v>8.5000000000000006E-3</v>
      </c>
      <c r="R40" s="2692"/>
      <c r="S40" s="2690"/>
      <c r="T40" s="2691"/>
      <c r="U40" s="2691"/>
      <c r="V40" s="2691"/>
    </row>
    <row r="41" spans="1:26">
      <c r="A41" s="2681" t="s">
        <v>2604</v>
      </c>
      <c r="B41" s="2695">
        <f t="shared" si="51"/>
        <v>210.630522469011</v>
      </c>
      <c r="C41" s="2695">
        <f t="shared" si="51"/>
        <v>181.69567812247232</v>
      </c>
      <c r="D41" s="2695">
        <f t="shared" si="35"/>
        <v>181.69567812247232</v>
      </c>
      <c r="E41" s="2695">
        <f t="shared" si="52"/>
        <v>286.13517466736738</v>
      </c>
      <c r="F41" s="2695">
        <f t="shared" si="52"/>
        <v>165.47535084591149</v>
      </c>
      <c r="G41" s="3469">
        <v>2009</v>
      </c>
      <c r="H41" s="2686">
        <v>2</v>
      </c>
      <c r="I41" s="2686">
        <v>0.86</v>
      </c>
      <c r="J41" s="2686">
        <v>-1.1299999999999999</v>
      </c>
      <c r="K41" s="2686">
        <v>1.79</v>
      </c>
      <c r="L41" s="2697">
        <v>-2.0699999999999998</v>
      </c>
      <c r="N41" s="2690">
        <f t="shared" si="37"/>
        <v>8.6E-3</v>
      </c>
      <c r="O41" s="2708">
        <f t="shared" si="37"/>
        <v>-1.1299999999999999E-2</v>
      </c>
      <c r="P41" s="2708">
        <f t="shared" si="37"/>
        <v>1.7899999999999999E-2</v>
      </c>
      <c r="Q41" s="2708">
        <f t="shared" si="37"/>
        <v>-2.07E-2</v>
      </c>
      <c r="R41" s="2692"/>
      <c r="S41" s="2690"/>
      <c r="T41" s="2691"/>
      <c r="U41" s="2691"/>
      <c r="V41" s="2691"/>
    </row>
    <row r="42" spans="1:26">
      <c r="A42" s="2681" t="s">
        <v>2605</v>
      </c>
      <c r="B42" s="2695">
        <f t="shared" si="51"/>
        <v>208.83454537875372</v>
      </c>
      <c r="C42" s="2695">
        <f t="shared" si="51"/>
        <v>183.77230517090351</v>
      </c>
      <c r="D42" s="2695">
        <f t="shared" si="35"/>
        <v>183.77230517090351</v>
      </c>
      <c r="E42" s="2695">
        <f t="shared" si="52"/>
        <v>281.10342338870947</v>
      </c>
      <c r="F42" s="2695">
        <f t="shared" si="52"/>
        <v>168.97309388942256</v>
      </c>
      <c r="G42" s="3470">
        <v>2009</v>
      </c>
      <c r="H42" s="2685">
        <v>1</v>
      </c>
      <c r="I42" s="2685">
        <v>-2.64</v>
      </c>
      <c r="J42" s="2685">
        <v>-2.5299999999999998</v>
      </c>
      <c r="K42" s="2685">
        <v>-3.02</v>
      </c>
      <c r="L42" s="2696">
        <v>1.52</v>
      </c>
      <c r="N42" s="2698">
        <f t="shared" si="37"/>
        <v>-2.64E-2</v>
      </c>
      <c r="O42" s="2699">
        <f t="shared" si="37"/>
        <v>-2.53E-2</v>
      </c>
      <c r="P42" s="2699">
        <f t="shared" si="37"/>
        <v>-3.0200000000000001E-2</v>
      </c>
      <c r="Q42" s="2699">
        <f t="shared" si="37"/>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2606</v>
      </c>
      <c r="B43" s="2725">
        <v>214</v>
      </c>
      <c r="C43" s="2725">
        <v>188</v>
      </c>
      <c r="D43" s="2725">
        <f t="shared" si="35"/>
        <v>188</v>
      </c>
      <c r="E43" s="2725">
        <v>289</v>
      </c>
      <c r="F43" s="2726">
        <v>166</v>
      </c>
      <c r="G43" s="3468">
        <v>2008</v>
      </c>
      <c r="H43" s="2701">
        <v>4</v>
      </c>
      <c r="I43" s="2701">
        <v>1.73</v>
      </c>
      <c r="J43" s="2701">
        <v>0.03</v>
      </c>
      <c r="K43" s="2701">
        <v>2.59</v>
      </c>
      <c r="L43" s="2702">
        <v>-1.66</v>
      </c>
      <c r="N43" s="2690">
        <f t="shared" si="37"/>
        <v>1.7299999999999999E-2</v>
      </c>
      <c r="O43" s="2691">
        <f t="shared" si="37"/>
        <v>2.9999999999999997E-4</v>
      </c>
      <c r="P43" s="2691">
        <f t="shared" si="37"/>
        <v>2.5899999999999999E-2</v>
      </c>
      <c r="Q43" s="2691">
        <f t="shared" si="37"/>
        <v>-1.66E-2</v>
      </c>
      <c r="R43" s="2692"/>
      <c r="S43" s="2693"/>
      <c r="T43" s="2694"/>
      <c r="U43" s="2694"/>
      <c r="V43" s="2694"/>
      <c r="X43" s="2694"/>
      <c r="Y43" s="2694"/>
      <c r="Z43" s="2694"/>
    </row>
    <row r="44" spans="1:26">
      <c r="A44" s="2681" t="s">
        <v>2607</v>
      </c>
      <c r="B44" s="2695">
        <f t="shared" ref="B44:C46" si="53">B43/(1+N43)</f>
        <v>210.36075887152265</v>
      </c>
      <c r="C44" s="2695">
        <f t="shared" si="53"/>
        <v>187.94361691492554</v>
      </c>
      <c r="D44" s="2695">
        <f t="shared" si="35"/>
        <v>187.94361691492554</v>
      </c>
      <c r="E44" s="2695">
        <f t="shared" ref="E44:F46" si="54">E43/(1+P43)</f>
        <v>281.70386977288234</v>
      </c>
      <c r="F44" s="2695">
        <f t="shared" si="54"/>
        <v>168.80211511083994</v>
      </c>
      <c r="G44" s="3469">
        <v>2008</v>
      </c>
      <c r="H44" s="2706">
        <v>3</v>
      </c>
      <c r="I44" s="2706">
        <v>1.96</v>
      </c>
      <c r="J44" s="2706">
        <v>2.36</v>
      </c>
      <c r="K44" s="2706">
        <v>1.82</v>
      </c>
      <c r="L44" s="2707">
        <v>2.2200000000000002</v>
      </c>
      <c r="N44" s="2690">
        <f t="shared" si="37"/>
        <v>1.9599999999999999E-2</v>
      </c>
      <c r="O44" s="2691">
        <f t="shared" si="37"/>
        <v>2.3599999999999999E-2</v>
      </c>
      <c r="P44" s="2691">
        <f t="shared" si="37"/>
        <v>1.8200000000000001E-2</v>
      </c>
      <c r="Q44" s="2691">
        <f t="shared" si="37"/>
        <v>2.2200000000000001E-2</v>
      </c>
      <c r="R44" s="2692"/>
      <c r="S44" s="2690"/>
      <c r="T44" s="2691"/>
      <c r="U44" s="2691"/>
      <c r="V44" s="2691"/>
    </row>
    <row r="45" spans="1:26">
      <c r="A45" s="2681" t="s">
        <v>2608</v>
      </c>
      <c r="B45" s="2695">
        <f t="shared" si="53"/>
        <v>206.31694671589116</v>
      </c>
      <c r="C45" s="2695">
        <f t="shared" si="53"/>
        <v>183.61041121036101</v>
      </c>
      <c r="D45" s="2695">
        <f t="shared" si="35"/>
        <v>183.61041121036101</v>
      </c>
      <c r="E45" s="2695">
        <f t="shared" si="54"/>
        <v>276.66850301795557</v>
      </c>
      <c r="F45" s="2695">
        <f t="shared" si="54"/>
        <v>165.1360938278614</v>
      </c>
      <c r="G45" s="3469">
        <v>2008</v>
      </c>
      <c r="H45" s="2686">
        <v>2</v>
      </c>
      <c r="I45" s="2686">
        <v>4.93</v>
      </c>
      <c r="J45" s="2686">
        <v>7.38</v>
      </c>
      <c r="K45" s="2686">
        <v>3.98</v>
      </c>
      <c r="L45" s="2697">
        <v>6.86</v>
      </c>
      <c r="N45" s="2690">
        <f t="shared" si="37"/>
        <v>4.9299999999999997E-2</v>
      </c>
      <c r="O45" s="2691">
        <f t="shared" si="37"/>
        <v>7.3800000000000004E-2</v>
      </c>
      <c r="P45" s="2691">
        <f t="shared" si="37"/>
        <v>3.9800000000000002E-2</v>
      </c>
      <c r="Q45" s="2691">
        <f t="shared" si="37"/>
        <v>6.8600000000000008E-2</v>
      </c>
      <c r="R45" s="2692"/>
      <c r="S45" s="2690"/>
      <c r="T45" s="2691"/>
      <c r="U45" s="2691"/>
      <c r="V45" s="2691"/>
    </row>
    <row r="46" spans="1:26" s="2731" customFormat="1" ht="13.5" thickBot="1">
      <c r="A46" s="2681" t="s">
        <v>2609</v>
      </c>
      <c r="B46" s="2728">
        <f t="shared" si="53"/>
        <v>196.62341248059772</v>
      </c>
      <c r="C46" s="2728">
        <f t="shared" si="53"/>
        <v>170.99125648199012</v>
      </c>
      <c r="D46" s="2728">
        <f t="shared" si="35"/>
        <v>170.99125648199012</v>
      </c>
      <c r="E46" s="2728">
        <f t="shared" si="54"/>
        <v>266.07857570490052</v>
      </c>
      <c r="F46" s="2728">
        <f t="shared" si="54"/>
        <v>154.53499328828505</v>
      </c>
      <c r="G46" s="3470">
        <v>2008</v>
      </c>
      <c r="H46" s="2729">
        <v>1</v>
      </c>
      <c r="I46" s="2729">
        <v>4.1399999999999997</v>
      </c>
      <c r="J46" s="2729">
        <v>3.45</v>
      </c>
      <c r="K46" s="2729">
        <v>4.95</v>
      </c>
      <c r="L46" s="2730">
        <v>4.82</v>
      </c>
      <c r="N46" s="2732">
        <f t="shared" si="37"/>
        <v>4.1399999999999999E-2</v>
      </c>
      <c r="O46" s="2733">
        <f t="shared" si="37"/>
        <v>3.4500000000000003E-2</v>
      </c>
      <c r="P46" s="2733">
        <f t="shared" si="37"/>
        <v>4.9500000000000002E-2</v>
      </c>
      <c r="Q46" s="2733">
        <f t="shared" si="37"/>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2610</v>
      </c>
      <c r="B47" s="2687">
        <v>188</v>
      </c>
      <c r="C47" s="2687">
        <v>165</v>
      </c>
      <c r="D47" s="2687">
        <f t="shared" si="35"/>
        <v>165</v>
      </c>
      <c r="E47" s="2687">
        <v>254</v>
      </c>
      <c r="F47" s="2688">
        <v>148</v>
      </c>
      <c r="G47" s="3468">
        <v>2007</v>
      </c>
      <c r="H47" s="2736">
        <v>4</v>
      </c>
      <c r="I47" s="2736">
        <v>5.51</v>
      </c>
      <c r="J47" s="2736">
        <v>4.8899999999999997</v>
      </c>
      <c r="K47" s="2736">
        <v>6.43</v>
      </c>
      <c r="L47" s="2737">
        <v>5.36</v>
      </c>
      <c r="N47" s="2738">
        <f t="shared" ref="N47:O50" si="55">B47/B48-1</f>
        <v>4.1339718365245526E-2</v>
      </c>
      <c r="O47" s="2739">
        <f t="shared" si="55"/>
        <v>4.0324492593776018E-2</v>
      </c>
      <c r="P47" s="2739">
        <f t="shared" ref="P47:Q50" si="56">E47/E48-1</f>
        <v>6.1625555347990968E-2</v>
      </c>
      <c r="Q47" s="2739">
        <f t="shared" si="56"/>
        <v>4.6757569250590603E-2</v>
      </c>
      <c r="R47" s="2692"/>
      <c r="S47" s="2693"/>
      <c r="T47" s="2694"/>
      <c r="U47" s="2694"/>
      <c r="V47" s="2694"/>
      <c r="X47" s="2694"/>
      <c r="Y47" s="2694"/>
      <c r="Z47" s="2694"/>
    </row>
    <row r="48" spans="1:26">
      <c r="A48" s="2681" t="s">
        <v>2611</v>
      </c>
      <c r="B48" s="2695">
        <f t="shared" ref="B48:C50" si="57">B49+(B$47-B$51)*I48/SUM(I$47:I$50)</f>
        <v>180.5366651097618</v>
      </c>
      <c r="C48" s="2695">
        <f t="shared" si="57"/>
        <v>158.60435967302453</v>
      </c>
      <c r="D48" s="2695">
        <f t="shared" si="35"/>
        <v>158.60435967302453</v>
      </c>
      <c r="E48" s="2695">
        <f t="shared" ref="E48:F50" si="58">E49+(E$47-E$51)*K48/SUM(K$47:K$50)</f>
        <v>239.25573260785075</v>
      </c>
      <c r="F48" s="2695">
        <f t="shared" si="58"/>
        <v>141.38899430740037</v>
      </c>
      <c r="G48" s="3469">
        <v>2007</v>
      </c>
      <c r="H48" s="2706">
        <v>3</v>
      </c>
      <c r="I48" s="2706">
        <v>8.65</v>
      </c>
      <c r="J48" s="2706">
        <v>8.06</v>
      </c>
      <c r="K48" s="2706">
        <v>9.94</v>
      </c>
      <c r="L48" s="2707">
        <v>5.8</v>
      </c>
      <c r="N48" s="2738">
        <f t="shared" si="55"/>
        <v>6.940217571740015E-2</v>
      </c>
      <c r="O48" s="2739">
        <f t="shared" si="55"/>
        <v>7.1197482471153428E-2</v>
      </c>
      <c r="P48" s="2739">
        <f t="shared" si="56"/>
        <v>0.10529679922579582</v>
      </c>
      <c r="Q48" s="2739">
        <f t="shared" si="56"/>
        <v>5.3292245059512133E-2</v>
      </c>
      <c r="R48" s="2692"/>
      <c r="S48" s="2690"/>
      <c r="T48" s="2691"/>
      <c r="U48" s="2691"/>
      <c r="V48" s="2691"/>
      <c r="X48" s="2740"/>
      <c r="Y48" s="2740"/>
      <c r="Z48" s="2740"/>
    </row>
    <row r="49" spans="1:26">
      <c r="A49" s="2681" t="s">
        <v>2612</v>
      </c>
      <c r="B49" s="2695">
        <f t="shared" si="57"/>
        <v>168.82017748715555</v>
      </c>
      <c r="C49" s="2695">
        <f t="shared" si="57"/>
        <v>148.06267029972753</v>
      </c>
      <c r="D49" s="2695">
        <f t="shared" si="35"/>
        <v>148.06267029972753</v>
      </c>
      <c r="E49" s="2695">
        <f t="shared" si="58"/>
        <v>216.46288379323747</v>
      </c>
      <c r="F49" s="2695">
        <f t="shared" si="58"/>
        <v>134.23529411764704</v>
      </c>
      <c r="G49" s="3469">
        <v>2007</v>
      </c>
      <c r="H49" s="2686">
        <v>2</v>
      </c>
      <c r="I49" s="2686">
        <v>3.67</v>
      </c>
      <c r="J49" s="2686">
        <v>2.3199999999999998</v>
      </c>
      <c r="K49" s="2686">
        <v>5.0199999999999996</v>
      </c>
      <c r="L49" s="2697">
        <v>6.71</v>
      </c>
      <c r="N49" s="2738">
        <f t="shared" si="55"/>
        <v>3.0339138143848032E-2</v>
      </c>
      <c r="O49" s="2739">
        <f t="shared" si="55"/>
        <v>2.0922341588790472E-2</v>
      </c>
      <c r="P49" s="2739">
        <f t="shared" si="56"/>
        <v>5.6164796592717003E-2</v>
      </c>
      <c r="Q49" s="2739">
        <f t="shared" si="56"/>
        <v>6.5704536723887319E-2</v>
      </c>
      <c r="R49" s="2692"/>
      <c r="S49" s="2690"/>
      <c r="T49" s="2691"/>
      <c r="U49" s="2691"/>
      <c r="V49" s="2691"/>
      <c r="X49" s="2740"/>
      <c r="Y49" s="2740"/>
      <c r="Z49" s="2740"/>
    </row>
    <row r="50" spans="1:26">
      <c r="A50" s="2681" t="s">
        <v>2613</v>
      </c>
      <c r="B50" s="2695">
        <f t="shared" si="57"/>
        <v>163.84913591779542</v>
      </c>
      <c r="C50" s="2695">
        <f t="shared" si="57"/>
        <v>145.0283378746594</v>
      </c>
      <c r="D50" s="2695">
        <f t="shared" si="35"/>
        <v>145.0283378746594</v>
      </c>
      <c r="E50" s="2695">
        <f t="shared" si="58"/>
        <v>204.95180722891567</v>
      </c>
      <c r="F50" s="2695">
        <f t="shared" si="58"/>
        <v>125.95920303605313</v>
      </c>
      <c r="G50" s="3470">
        <v>2007</v>
      </c>
      <c r="H50" s="2685">
        <v>1</v>
      </c>
      <c r="I50" s="2685">
        <v>3.58</v>
      </c>
      <c r="J50" s="2685">
        <v>3.08</v>
      </c>
      <c r="K50" s="2685">
        <v>4.34</v>
      </c>
      <c r="L50" s="2696">
        <v>3.21</v>
      </c>
      <c r="N50" s="2741">
        <f t="shared" si="55"/>
        <v>3.0497710174814063E-2</v>
      </c>
      <c r="O50" s="2742">
        <f t="shared" si="55"/>
        <v>2.8569772160704998E-2</v>
      </c>
      <c r="P50" s="2742">
        <f t="shared" si="56"/>
        <v>5.1034908866234296E-2</v>
      </c>
      <c r="Q50" s="2742">
        <f t="shared" si="56"/>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2614</v>
      </c>
      <c r="B51" s="2709">
        <v>159</v>
      </c>
      <c r="C51" s="2709">
        <v>141</v>
      </c>
      <c r="D51" s="2709">
        <f t="shared" si="35"/>
        <v>141</v>
      </c>
      <c r="E51" s="2709">
        <v>195</v>
      </c>
      <c r="F51" s="2710">
        <v>122</v>
      </c>
      <c r="G51" s="3468">
        <v>2006</v>
      </c>
      <c r="H51" s="2701">
        <v>4</v>
      </c>
      <c r="I51" s="2701">
        <v>3.79</v>
      </c>
      <c r="J51" s="2701">
        <v>2.21</v>
      </c>
      <c r="K51" s="2701">
        <v>5.65</v>
      </c>
      <c r="L51" s="2702">
        <v>5.41</v>
      </c>
      <c r="N51" s="2738">
        <f t="shared" ref="N51:O54" si="59">I51/SUM(I$51:I$54)*(B$51/B$55-1)</f>
        <v>7.245466462748526E-2</v>
      </c>
      <c r="O51" s="2739">
        <f t="shared" si="59"/>
        <v>2.3237230038062766E-2</v>
      </c>
      <c r="P51" s="2739">
        <f t="shared" ref="P51:Q54" si="60">K51/SUM(K$51:K$54)*(E$51/E$55-1)</f>
        <v>0.16146893866323722</v>
      </c>
      <c r="Q51" s="2739">
        <f t="shared" si="60"/>
        <v>5.0755230321793784E-2</v>
      </c>
      <c r="R51" s="2692"/>
      <c r="S51" s="2693"/>
      <c r="T51" s="2694"/>
      <c r="U51" s="2694"/>
      <c r="V51" s="2694"/>
      <c r="X51" s="2740"/>
      <c r="Y51" s="2740"/>
      <c r="Z51" s="2740"/>
    </row>
    <row r="52" spans="1:26">
      <c r="A52" s="2681" t="s">
        <v>2615</v>
      </c>
      <c r="B52" s="2695">
        <f t="shared" ref="B52:C54" si="61">B53+(B$51-B$55)*I52/SUM(I$51:I$54)</f>
        <v>149.00125628140702</v>
      </c>
      <c r="C52" s="2695">
        <f t="shared" si="61"/>
        <v>137.95592286501378</v>
      </c>
      <c r="D52" s="2695">
        <f t="shared" si="35"/>
        <v>137.95592286501378</v>
      </c>
      <c r="E52" s="2695">
        <f t="shared" ref="E52:F54" si="62">E53+(E$51-E$55)*K52/SUM(K$51:K$54)</f>
        <v>169.97231450719823</v>
      </c>
      <c r="F52" s="2695">
        <f t="shared" si="62"/>
        <v>116.21390374331551</v>
      </c>
      <c r="G52" s="3469">
        <v>2006</v>
      </c>
      <c r="H52" s="2706">
        <v>3</v>
      </c>
      <c r="I52" s="2706">
        <v>0.92</v>
      </c>
      <c r="J52" s="2706">
        <v>1.08</v>
      </c>
      <c r="K52" s="2706">
        <v>0.73</v>
      </c>
      <c r="L52" s="2707">
        <v>1.08</v>
      </c>
      <c r="N52" s="2738">
        <f t="shared" si="59"/>
        <v>1.7587939698492462E-2</v>
      </c>
      <c r="O52" s="2739">
        <f t="shared" si="59"/>
        <v>1.1355750425840628E-2</v>
      </c>
      <c r="P52" s="2739">
        <f t="shared" si="60"/>
        <v>2.0862358446754544E-2</v>
      </c>
      <c r="Q52" s="2739">
        <f t="shared" si="60"/>
        <v>1.0132282578103011E-2</v>
      </c>
      <c r="R52" s="2692"/>
      <c r="S52" s="2690"/>
      <c r="T52" s="2691"/>
      <c r="U52" s="2691"/>
      <c r="V52" s="2691"/>
      <c r="X52" s="2740"/>
      <c r="Y52" s="2740"/>
      <c r="Z52" s="2740"/>
    </row>
    <row r="53" spans="1:26">
      <c r="A53" s="2681" t="s">
        <v>2616</v>
      </c>
      <c r="B53" s="2695">
        <f t="shared" si="61"/>
        <v>146.57412060301507</v>
      </c>
      <c r="C53" s="2695">
        <f t="shared" si="61"/>
        <v>136.46831955922866</v>
      </c>
      <c r="D53" s="2695">
        <f t="shared" si="35"/>
        <v>136.46831955922866</v>
      </c>
      <c r="E53" s="2695">
        <f t="shared" si="62"/>
        <v>166.73864894795128</v>
      </c>
      <c r="F53" s="2695">
        <f t="shared" si="62"/>
        <v>115.05882352941177</v>
      </c>
      <c r="G53" s="3469">
        <v>2006</v>
      </c>
      <c r="H53" s="2686">
        <v>2</v>
      </c>
      <c r="I53" s="2686">
        <v>0.96</v>
      </c>
      <c r="J53" s="2686">
        <v>0.25</v>
      </c>
      <c r="K53" s="2686">
        <v>1.9</v>
      </c>
      <c r="L53" s="2697">
        <v>0.95</v>
      </c>
      <c r="N53" s="2738">
        <f t="shared" si="59"/>
        <v>1.8352632728861701E-2</v>
      </c>
      <c r="O53" s="2739">
        <f t="shared" si="59"/>
        <v>2.6286459319075526E-3</v>
      </c>
      <c r="P53" s="2739">
        <f t="shared" si="60"/>
        <v>5.4299289107991269E-2</v>
      </c>
      <c r="Q53" s="2739">
        <f t="shared" si="60"/>
        <v>8.9126559714794995E-3</v>
      </c>
      <c r="R53" s="2692"/>
      <c r="S53" s="2690"/>
      <c r="T53" s="2691"/>
      <c r="U53" s="2691"/>
      <c r="V53" s="2691"/>
      <c r="X53" s="2740"/>
      <c r="Y53" s="2740"/>
      <c r="Z53" s="2740"/>
    </row>
    <row r="54" spans="1:26">
      <c r="A54" s="2681" t="s">
        <v>2617</v>
      </c>
      <c r="B54" s="2695">
        <f t="shared" si="61"/>
        <v>144.04145728643215</v>
      </c>
      <c r="C54" s="2695">
        <f t="shared" si="61"/>
        <v>136.12396694214877</v>
      </c>
      <c r="D54" s="2695">
        <f t="shared" si="35"/>
        <v>136.12396694214877</v>
      </c>
      <c r="E54" s="2695">
        <f t="shared" si="62"/>
        <v>158.32225913621264</v>
      </c>
      <c r="F54" s="2695">
        <f t="shared" si="62"/>
        <v>114.04278074866311</v>
      </c>
      <c r="G54" s="3470">
        <v>2006</v>
      </c>
      <c r="H54" s="2685">
        <v>1</v>
      </c>
      <c r="I54" s="2685">
        <v>2.29</v>
      </c>
      <c r="J54" s="2685">
        <v>3.72</v>
      </c>
      <c r="K54" s="2685">
        <v>0.75</v>
      </c>
      <c r="L54" s="2696">
        <v>0.04</v>
      </c>
      <c r="N54" s="2741">
        <f t="shared" si="59"/>
        <v>4.3778675988638847E-2</v>
      </c>
      <c r="O54" s="2742">
        <f t="shared" si="59"/>
        <v>3.9114251466784385E-2</v>
      </c>
      <c r="P54" s="2742">
        <f t="shared" si="60"/>
        <v>2.1433929911049188E-2</v>
      </c>
      <c r="Q54" s="2742">
        <f t="shared" si="60"/>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2618</v>
      </c>
      <c r="B55" s="2709">
        <v>138</v>
      </c>
      <c r="C55" s="2709">
        <v>131</v>
      </c>
      <c r="D55" s="2709">
        <f t="shared" si="35"/>
        <v>131</v>
      </c>
      <c r="E55" s="2709">
        <v>155</v>
      </c>
      <c r="F55" s="2710">
        <v>114</v>
      </c>
      <c r="G55" s="3468">
        <v>2005</v>
      </c>
      <c r="H55" s="2701">
        <v>4</v>
      </c>
      <c r="I55" s="2701">
        <v>3.29</v>
      </c>
      <c r="J55" s="2701">
        <v>1.44</v>
      </c>
      <c r="K55" s="2701">
        <v>0.66</v>
      </c>
      <c r="L55" s="2702">
        <v>7.78</v>
      </c>
      <c r="N55" s="2738">
        <f t="shared" ref="N55:O58" si="63">I55/SUM(I$55:I$58)*(B$55/B$59-1)</f>
        <v>9.9404603216919935E-2</v>
      </c>
      <c r="O55" s="2739">
        <f t="shared" si="63"/>
        <v>4.7636550760861554E-2</v>
      </c>
      <c r="P55" s="2739">
        <f t="shared" ref="P55:Q58" si="64">K55/SUM(K$55:K$58)*(E$55/E$59-1)</f>
        <v>8.3756345177664976E-2</v>
      </c>
      <c r="Q55" s="2739">
        <f t="shared" si="64"/>
        <v>5.2148766661559584E-2</v>
      </c>
      <c r="R55" s="2692"/>
      <c r="S55" s="2693"/>
      <c r="T55" s="2694"/>
      <c r="U55" s="2694"/>
      <c r="V55" s="2694"/>
      <c r="X55" s="2740"/>
      <c r="Y55" s="2740"/>
      <c r="Z55" s="2740"/>
    </row>
    <row r="56" spans="1:26">
      <c r="A56" s="2681" t="s">
        <v>2619</v>
      </c>
      <c r="B56" s="2695">
        <f t="shared" ref="B56:C58" si="65">B57+(B$55-B$59)*I56/SUM(I$55:I$58)</f>
        <v>125.9720430107527</v>
      </c>
      <c r="C56" s="2695">
        <f t="shared" si="65"/>
        <v>125.1883408071749</v>
      </c>
      <c r="D56" s="2695">
        <f t="shared" si="35"/>
        <v>125.1883408071749</v>
      </c>
      <c r="E56" s="2695">
        <f t="shared" ref="E56:F58" si="66">E57+(E$55-E$59)*K56/SUM(K$55:K$58)</f>
        <v>144.61421319796952</v>
      </c>
      <c r="F56" s="2695">
        <f t="shared" si="66"/>
        <v>108.42008196721311</v>
      </c>
      <c r="G56" s="3469">
        <v>2005</v>
      </c>
      <c r="H56" s="2706">
        <v>3</v>
      </c>
      <c r="I56" s="2706">
        <v>0.46</v>
      </c>
      <c r="J56" s="2706">
        <v>0.32</v>
      </c>
      <c r="K56" s="2706">
        <v>0.42</v>
      </c>
      <c r="L56" s="2707">
        <v>0.64</v>
      </c>
      <c r="N56" s="2738">
        <f t="shared" si="63"/>
        <v>1.3898515951301874E-2</v>
      </c>
      <c r="O56" s="2739">
        <f t="shared" si="63"/>
        <v>1.0585900169080346E-2</v>
      </c>
      <c r="P56" s="2739">
        <f t="shared" si="64"/>
        <v>5.3299492385786795E-2</v>
      </c>
      <c r="Q56" s="2739">
        <f t="shared" si="64"/>
        <v>4.2898728359123568E-3</v>
      </c>
      <c r="R56" s="2692"/>
      <c r="S56" s="2690"/>
      <c r="T56" s="2691"/>
      <c r="U56" s="2691"/>
      <c r="V56" s="2691"/>
      <c r="X56" s="2740"/>
      <c r="Y56" s="2740"/>
      <c r="Z56" s="2740"/>
    </row>
    <row r="57" spans="1:26">
      <c r="A57" s="2681" t="s">
        <v>2620</v>
      </c>
      <c r="B57" s="2695">
        <f t="shared" si="65"/>
        <v>124.29032258064517</v>
      </c>
      <c r="C57" s="2695">
        <f t="shared" si="65"/>
        <v>123.8968609865471</v>
      </c>
      <c r="D57" s="2695">
        <f t="shared" si="35"/>
        <v>123.8968609865471</v>
      </c>
      <c r="E57" s="2695">
        <f t="shared" si="66"/>
        <v>138.00507614213197</v>
      </c>
      <c r="F57" s="2695">
        <f t="shared" si="66"/>
        <v>107.96106557377048</v>
      </c>
      <c r="G57" s="3469">
        <v>2005</v>
      </c>
      <c r="H57" s="2686">
        <v>2</v>
      </c>
      <c r="I57" s="2686">
        <v>0.47</v>
      </c>
      <c r="J57" s="2686">
        <v>0.1</v>
      </c>
      <c r="K57" s="2686">
        <v>0.52</v>
      </c>
      <c r="L57" s="2697">
        <v>0.79</v>
      </c>
      <c r="N57" s="2738">
        <f t="shared" si="63"/>
        <v>1.420065760241713E-2</v>
      </c>
      <c r="O57" s="2739">
        <f t="shared" si="63"/>
        <v>3.3080938028376083E-3</v>
      </c>
      <c r="P57" s="2739">
        <f t="shared" si="64"/>
        <v>6.598984771573603E-2</v>
      </c>
      <c r="Q57" s="2739">
        <f t="shared" si="64"/>
        <v>5.2953117818293153E-3</v>
      </c>
      <c r="R57" s="2692"/>
      <c r="S57" s="2690"/>
      <c r="T57" s="2691"/>
      <c r="U57" s="2691"/>
      <c r="V57" s="2691"/>
      <c r="X57" s="2740"/>
      <c r="Y57" s="2740"/>
      <c r="Z57" s="2740"/>
    </row>
    <row r="58" spans="1:26">
      <c r="A58" s="2681" t="s">
        <v>2621</v>
      </c>
      <c r="B58" s="2695">
        <f t="shared" si="65"/>
        <v>122.57204301075269</v>
      </c>
      <c r="C58" s="2695">
        <f t="shared" si="65"/>
        <v>123.4932735426009</v>
      </c>
      <c r="D58" s="2695">
        <f t="shared" si="35"/>
        <v>123.4932735426009</v>
      </c>
      <c r="E58" s="2695">
        <f t="shared" si="66"/>
        <v>129.82233502538071</v>
      </c>
      <c r="F58" s="2695">
        <f t="shared" si="66"/>
        <v>107.39446721311475</v>
      </c>
      <c r="G58" s="3470">
        <v>2005</v>
      </c>
      <c r="H58" s="2685">
        <v>1</v>
      </c>
      <c r="I58" s="2685">
        <v>0.43</v>
      </c>
      <c r="J58" s="2685">
        <v>0.37</v>
      </c>
      <c r="K58" s="2685">
        <v>0.37</v>
      </c>
      <c r="L58" s="2696">
        <v>0.55000000000000004</v>
      </c>
      <c r="N58" s="2741">
        <f t="shared" si="63"/>
        <v>1.2992090997956099E-2</v>
      </c>
      <c r="O58" s="2742">
        <f t="shared" si="63"/>
        <v>1.2239947070499151E-2</v>
      </c>
      <c r="P58" s="2742">
        <f t="shared" si="64"/>
        <v>4.6954314720812178E-2</v>
      </c>
      <c r="Q58" s="2742">
        <f t="shared" si="64"/>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2622</v>
      </c>
      <c r="B59" s="2725">
        <v>121</v>
      </c>
      <c r="C59" s="2725">
        <v>122</v>
      </c>
      <c r="D59" s="2725">
        <f t="shared" si="35"/>
        <v>122</v>
      </c>
      <c r="E59" s="2725">
        <v>124</v>
      </c>
      <c r="F59" s="2726">
        <v>107</v>
      </c>
      <c r="G59" s="3468">
        <v>2004</v>
      </c>
      <c r="H59" s="2701">
        <v>4</v>
      </c>
      <c r="I59" s="2701">
        <v>0.33</v>
      </c>
      <c r="J59" s="2701">
        <v>0.5</v>
      </c>
      <c r="K59" s="2701">
        <v>0.5</v>
      </c>
      <c r="L59" s="2702">
        <v>0</v>
      </c>
      <c r="N59" s="2738">
        <f t="shared" ref="N59:O62" si="67">I59/SUM(I$59:I$62)*(B$59/B$63-1)</f>
        <v>1.3391770148526898E-2</v>
      </c>
      <c r="O59" s="2739">
        <f t="shared" si="67"/>
        <v>1.063264221158958E-2</v>
      </c>
      <c r="P59" s="2739">
        <f t="shared" ref="P59:Q62" si="68">K59/SUM(K$59:K$62)*(E$59/E$63-1)</f>
        <v>2.2244466688911134E-2</v>
      </c>
      <c r="Q59" s="2739">
        <f t="shared" si="68"/>
        <v>0</v>
      </c>
      <c r="R59" s="2692"/>
      <c r="S59" s="2693"/>
      <c r="T59" s="2694"/>
      <c r="U59" s="2694"/>
      <c r="V59" s="2694"/>
      <c r="X59" s="2740"/>
      <c r="Y59" s="2740"/>
      <c r="Z59" s="2740"/>
    </row>
    <row r="60" spans="1:26">
      <c r="A60" s="2681" t="s">
        <v>2623</v>
      </c>
      <c r="B60" s="2695">
        <f t="shared" ref="B60:C62" si="69">B61+(B$59-B$63)*I60/SUM(I$59:I$62)</f>
        <v>119.51351351351352</v>
      </c>
      <c r="C60" s="2695">
        <f t="shared" si="69"/>
        <v>120.7878787878788</v>
      </c>
      <c r="D60" s="2695">
        <f t="shared" si="35"/>
        <v>120.7878787878788</v>
      </c>
      <c r="E60" s="2695">
        <f t="shared" ref="E60:F62" si="70">E61+(E$59-E$63)*K60/SUM(K$59:K$62)</f>
        <v>121.5975975975976</v>
      </c>
      <c r="F60" s="2695">
        <f t="shared" si="70"/>
        <v>107</v>
      </c>
      <c r="G60" s="3469">
        <v>2004</v>
      </c>
      <c r="H60" s="2706">
        <v>3</v>
      </c>
      <c r="I60" s="2706">
        <v>0.56000000000000005</v>
      </c>
      <c r="J60" s="2706">
        <v>0.8</v>
      </c>
      <c r="K60" s="2706">
        <v>0.83</v>
      </c>
      <c r="L60" s="2707">
        <v>0.06</v>
      </c>
      <c r="N60" s="2738">
        <f t="shared" si="67"/>
        <v>2.2725428130833527E-2</v>
      </c>
      <c r="O60" s="2739">
        <f t="shared" si="67"/>
        <v>1.7012227538543329E-2</v>
      </c>
      <c r="P60" s="2739">
        <f t="shared" si="68"/>
        <v>3.6925814703592477E-2</v>
      </c>
      <c r="Q60" s="2739">
        <f t="shared" si="68"/>
        <v>2.8846153846153744E-2</v>
      </c>
      <c r="R60" s="2692"/>
      <c r="S60" s="2690"/>
      <c r="T60" s="2691"/>
      <c r="U60" s="2691"/>
      <c r="V60" s="2691"/>
      <c r="X60" s="2740"/>
      <c r="Y60" s="2740"/>
      <c r="Z60" s="2740"/>
    </row>
    <row r="61" spans="1:26">
      <c r="A61" s="2681" t="s">
        <v>2624</v>
      </c>
      <c r="B61" s="2695">
        <f t="shared" si="69"/>
        <v>116.99099099099099</v>
      </c>
      <c r="C61" s="2695">
        <f t="shared" si="69"/>
        <v>118.84848484848486</v>
      </c>
      <c r="D61" s="2695">
        <f t="shared" si="35"/>
        <v>118.84848484848486</v>
      </c>
      <c r="E61" s="2695">
        <f t="shared" si="70"/>
        <v>117.60960960960961</v>
      </c>
      <c r="F61" s="2695">
        <f t="shared" si="70"/>
        <v>104</v>
      </c>
      <c r="G61" s="3469">
        <v>2004</v>
      </c>
      <c r="H61" s="2686">
        <v>2</v>
      </c>
      <c r="I61" s="2686">
        <v>1</v>
      </c>
      <c r="J61" s="2686">
        <v>1.5</v>
      </c>
      <c r="K61" s="2686">
        <v>1.5</v>
      </c>
      <c r="L61" s="2697">
        <v>0</v>
      </c>
      <c r="N61" s="2738">
        <f t="shared" si="67"/>
        <v>4.0581121662202721E-2</v>
      </c>
      <c r="O61" s="2739">
        <f t="shared" si="67"/>
        <v>3.1897926634768738E-2</v>
      </c>
      <c r="P61" s="2739">
        <f t="shared" si="68"/>
        <v>6.6733400066733395E-2</v>
      </c>
      <c r="Q61" s="2739">
        <f t="shared" si="68"/>
        <v>0</v>
      </c>
      <c r="R61" s="2692"/>
      <c r="S61" s="2690"/>
      <c r="T61" s="2691"/>
      <c r="U61" s="2691"/>
      <c r="V61" s="2691"/>
      <c r="X61" s="2740"/>
      <c r="Y61" s="2740"/>
      <c r="Z61" s="2740"/>
    </row>
    <row r="62" spans="1:26" s="2731" customFormat="1" ht="13.5" thickBot="1">
      <c r="A62" s="2681" t="s">
        <v>2625</v>
      </c>
      <c r="B62" s="2728">
        <f t="shared" si="69"/>
        <v>112.48648648648648</v>
      </c>
      <c r="C62" s="2728">
        <f t="shared" si="69"/>
        <v>115.21212121212122</v>
      </c>
      <c r="D62" s="2728">
        <f t="shared" si="35"/>
        <v>115.21212121212122</v>
      </c>
      <c r="E62" s="2728">
        <f t="shared" si="70"/>
        <v>110.4024024024024</v>
      </c>
      <c r="F62" s="2728">
        <f t="shared" si="70"/>
        <v>104</v>
      </c>
      <c r="G62" s="3470">
        <v>2004</v>
      </c>
      <c r="H62" s="2729">
        <v>1</v>
      </c>
      <c r="I62" s="2729">
        <v>0.33</v>
      </c>
      <c r="J62" s="2729">
        <v>0.5</v>
      </c>
      <c r="K62" s="2729">
        <v>0.5</v>
      </c>
      <c r="L62" s="2730">
        <v>0</v>
      </c>
      <c r="N62" s="2743">
        <f t="shared" si="67"/>
        <v>1.3391770148526898E-2</v>
      </c>
      <c r="O62" s="2744">
        <f t="shared" si="67"/>
        <v>1.063264221158958E-2</v>
      </c>
      <c r="P62" s="2744">
        <f t="shared" si="68"/>
        <v>2.2244466688911134E-2</v>
      </c>
      <c r="Q62" s="2744">
        <f t="shared" si="68"/>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2626</v>
      </c>
      <c r="B63" s="2746">
        <v>111</v>
      </c>
      <c r="C63" s="2746">
        <v>114</v>
      </c>
      <c r="D63" s="2746">
        <f t="shared" si="35"/>
        <v>114</v>
      </c>
      <c r="E63" s="2746">
        <v>108</v>
      </c>
      <c r="F63" s="2747">
        <v>104</v>
      </c>
      <c r="G63" s="3468">
        <v>2003</v>
      </c>
      <c r="H63" s="2736">
        <v>4</v>
      </c>
      <c r="I63" s="2748"/>
      <c r="J63" s="2748"/>
      <c r="K63" s="2748"/>
      <c r="L63" s="2748"/>
      <c r="N63" s="2749"/>
      <c r="O63" s="2748"/>
      <c r="P63" s="2748"/>
      <c r="Q63" s="2748"/>
      <c r="S63" s="2749"/>
      <c r="T63" s="2748"/>
      <c r="U63" s="2748"/>
      <c r="V63" s="2748"/>
      <c r="X63" s="2740"/>
      <c r="Y63" s="2740"/>
      <c r="Z63" s="2740"/>
    </row>
    <row r="64" spans="1:26">
      <c r="A64" s="2681" t="s">
        <v>2627</v>
      </c>
      <c r="B64" s="2750">
        <f t="shared" ref="B64:C66" si="71">B65+(B$63-B$67)/4</f>
        <v>109.75</v>
      </c>
      <c r="C64" s="2750">
        <f t="shared" si="71"/>
        <v>112.25</v>
      </c>
      <c r="D64" s="2750">
        <f t="shared" si="35"/>
        <v>112.25</v>
      </c>
      <c r="E64" s="2750">
        <f t="shared" ref="E64:F66" si="72">E65+(E$63-E$67)/4</f>
        <v>107.25</v>
      </c>
      <c r="F64" s="2750">
        <f t="shared" si="72"/>
        <v>103.5</v>
      </c>
      <c r="G64" s="3469">
        <v>2003</v>
      </c>
      <c r="H64" s="2706">
        <v>3</v>
      </c>
      <c r="I64" s="2748"/>
      <c r="J64" s="2748"/>
      <c r="K64" s="2748"/>
      <c r="L64" s="2748"/>
      <c r="X64" s="2740"/>
      <c r="Y64" s="2740"/>
      <c r="Z64" s="2740"/>
    </row>
    <row r="65" spans="1:26">
      <c r="A65" s="2681" t="s">
        <v>2628</v>
      </c>
      <c r="B65" s="2750">
        <f t="shared" si="71"/>
        <v>108.5</v>
      </c>
      <c r="C65" s="2750">
        <f t="shared" si="71"/>
        <v>110.5</v>
      </c>
      <c r="D65" s="2750">
        <f t="shared" si="35"/>
        <v>110.5</v>
      </c>
      <c r="E65" s="2750">
        <f t="shared" si="72"/>
        <v>106.5</v>
      </c>
      <c r="F65" s="2750">
        <f t="shared" si="72"/>
        <v>103</v>
      </c>
      <c r="G65" s="3469">
        <v>2003</v>
      </c>
      <c r="H65" s="2686">
        <v>2</v>
      </c>
      <c r="I65" s="2748"/>
      <c r="J65" s="2748"/>
      <c r="K65" s="2748"/>
      <c r="L65" s="2748"/>
      <c r="X65" s="2740"/>
      <c r="Y65" s="2740"/>
      <c r="Z65" s="2740"/>
    </row>
    <row r="66" spans="1:26" ht="13.5" thickBot="1">
      <c r="A66" s="2681" t="s">
        <v>2629</v>
      </c>
      <c r="B66" s="2750">
        <f t="shared" si="71"/>
        <v>107.25</v>
      </c>
      <c r="C66" s="2750">
        <f t="shared" si="71"/>
        <v>108.75</v>
      </c>
      <c r="D66" s="2750">
        <f t="shared" si="35"/>
        <v>108.75</v>
      </c>
      <c r="E66" s="2750">
        <f t="shared" si="72"/>
        <v>105.75</v>
      </c>
      <c r="F66" s="2750">
        <f t="shared" si="72"/>
        <v>102.5</v>
      </c>
      <c r="G66" s="3470">
        <v>2003</v>
      </c>
      <c r="H66" s="2751">
        <v>1</v>
      </c>
      <c r="I66" s="2748"/>
      <c r="J66" s="2748"/>
      <c r="K66" s="2748"/>
      <c r="L66" s="2748"/>
      <c r="S66" s="2690"/>
      <c r="T66" s="2691"/>
      <c r="U66" s="2691"/>
      <c r="X66" s="2740"/>
      <c r="Y66" s="2740"/>
      <c r="Z66" s="2740"/>
    </row>
    <row r="67" spans="1:26" ht="13.5" thickBot="1">
      <c r="A67" s="2681" t="s">
        <v>2630</v>
      </c>
      <c r="B67" s="2752">
        <v>106</v>
      </c>
      <c r="C67" s="2752">
        <v>107</v>
      </c>
      <c r="D67" s="2752">
        <f t="shared" si="35"/>
        <v>107</v>
      </c>
      <c r="E67" s="2752">
        <v>105</v>
      </c>
      <c r="F67" s="2753">
        <v>102</v>
      </c>
      <c r="G67" s="3468">
        <v>2002</v>
      </c>
      <c r="H67" s="2701">
        <v>4</v>
      </c>
      <c r="I67" s="2748"/>
      <c r="J67" s="2748"/>
      <c r="K67" s="2748"/>
      <c r="L67" s="2748"/>
      <c r="N67" s="2749"/>
      <c r="O67" s="2748"/>
      <c r="P67" s="2748"/>
      <c r="Q67" s="2748"/>
      <c r="S67" s="2749"/>
      <c r="T67" s="2748"/>
      <c r="U67" s="2748"/>
      <c r="V67" s="2748"/>
      <c r="X67" s="2740"/>
      <c r="Y67" s="2740"/>
      <c r="Z67" s="2740"/>
    </row>
    <row r="68" spans="1:26">
      <c r="A68" s="2681" t="s">
        <v>2631</v>
      </c>
      <c r="B68" s="2750">
        <f t="shared" ref="B68:C70" si="73">B69+(B$67-B$71)/4</f>
        <v>105</v>
      </c>
      <c r="C68" s="2750">
        <f t="shared" si="73"/>
        <v>106</v>
      </c>
      <c r="D68" s="2750">
        <f t="shared" si="35"/>
        <v>106</v>
      </c>
      <c r="E68" s="2750">
        <f t="shared" ref="E68:F70" si="74">E69+(E$67-E$71)/4</f>
        <v>104.5</v>
      </c>
      <c r="F68" s="2750">
        <f t="shared" si="74"/>
        <v>101.5</v>
      </c>
      <c r="G68" s="3469">
        <v>2002</v>
      </c>
      <c r="H68" s="2706">
        <v>3</v>
      </c>
      <c r="I68" s="2748"/>
      <c r="J68" s="2748"/>
      <c r="K68" s="2748"/>
      <c r="L68" s="2748"/>
      <c r="X68" s="2740"/>
      <c r="Y68" s="2740"/>
      <c r="Z68" s="2740"/>
    </row>
    <row r="69" spans="1:26">
      <c r="A69" s="2681" t="s">
        <v>2632</v>
      </c>
      <c r="B69" s="2750">
        <f t="shared" si="73"/>
        <v>104</v>
      </c>
      <c r="C69" s="2750">
        <f t="shared" si="73"/>
        <v>105</v>
      </c>
      <c r="D69" s="2750">
        <f t="shared" si="35"/>
        <v>105</v>
      </c>
      <c r="E69" s="2750">
        <f t="shared" si="74"/>
        <v>104</v>
      </c>
      <c r="F69" s="2750">
        <f t="shared" si="74"/>
        <v>101</v>
      </c>
      <c r="G69" s="3469">
        <v>2002</v>
      </c>
      <c r="H69" s="2686">
        <v>2</v>
      </c>
      <c r="I69" s="2748"/>
      <c r="J69" s="2748"/>
      <c r="K69" s="2748"/>
      <c r="L69" s="2748"/>
      <c r="X69" s="2740"/>
      <c r="Y69" s="2740"/>
      <c r="Z69" s="2740"/>
    </row>
    <row r="70" spans="1:26" s="2717" customFormat="1" ht="13.5" thickBot="1">
      <c r="A70" s="2713" t="s">
        <v>2633</v>
      </c>
      <c r="B70" s="2754">
        <f t="shared" si="73"/>
        <v>103</v>
      </c>
      <c r="C70" s="2754">
        <f t="shared" si="73"/>
        <v>104</v>
      </c>
      <c r="D70" s="2754">
        <f t="shared" si="35"/>
        <v>104</v>
      </c>
      <c r="E70" s="2754">
        <f t="shared" si="74"/>
        <v>103.5</v>
      </c>
      <c r="F70" s="2754">
        <f t="shared" si="74"/>
        <v>100.5</v>
      </c>
      <c r="G70" s="3470">
        <v>2002</v>
      </c>
      <c r="H70" s="2755">
        <v>1</v>
      </c>
      <c r="I70" s="2756"/>
      <c r="J70" s="2756"/>
      <c r="K70" s="2756"/>
      <c r="L70" s="2756"/>
      <c r="N70" s="2757"/>
      <c r="S70" s="2757"/>
      <c r="X70" s="2758"/>
      <c r="Y70" s="2758"/>
      <c r="Z70" s="2758"/>
    </row>
    <row r="71" spans="1:26" ht="13.5" thickBot="1">
      <c r="B71" s="2759">
        <v>102</v>
      </c>
      <c r="C71" s="2760">
        <v>103</v>
      </c>
      <c r="D71" s="2760">
        <f t="shared" si="35"/>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2634</v>
      </c>
      <c r="G73" s="2764"/>
      <c r="N73" s="2764"/>
      <c r="S73" s="2764"/>
    </row>
    <row r="74" spans="1:26" s="2763" customFormat="1">
      <c r="A74" s="2763" t="s">
        <v>2635</v>
      </c>
      <c r="G74" s="2764"/>
      <c r="N74" s="2764"/>
      <c r="S74" s="2764"/>
    </row>
    <row r="75" spans="1:26" s="2763" customFormat="1">
      <c r="A75" s="2763" t="s">
        <v>2636</v>
      </c>
      <c r="G75" s="2764"/>
      <c r="I75" s="2765"/>
      <c r="J75" s="2765"/>
      <c r="K75" s="2765"/>
      <c r="L75" s="2765"/>
      <c r="N75" s="2766"/>
      <c r="O75" s="2765"/>
      <c r="P75" s="2765"/>
      <c r="Q75" s="2765"/>
      <c r="S75" s="2766"/>
      <c r="T75" s="2765"/>
      <c r="U75" s="2765"/>
      <c r="V75" s="2765"/>
    </row>
    <row r="76" spans="1:26" s="2763" customFormat="1">
      <c r="A76" s="2763" t="s">
        <v>2637</v>
      </c>
      <c r="G76" s="2764"/>
      <c r="N76" s="2764"/>
      <c r="S76" s="2764"/>
    </row>
    <row r="83" spans="7:22" ht="13.5" thickBot="1"/>
    <row r="84" spans="7:22">
      <c r="G84" s="2689"/>
      <c r="S84" s="2767" t="s">
        <v>2638</v>
      </c>
      <c r="T84" s="2768" t="s">
        <v>2639</v>
      </c>
      <c r="U84" s="2768" t="s">
        <v>2640</v>
      </c>
      <c r="V84" s="2768" t="s">
        <v>2641</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95">
        <v>1</v>
      </c>
      <c r="B7" s="748" t="s">
        <v>608</v>
      </c>
      <c r="C7" s="749">
        <f>C8+C9</f>
        <v>0</v>
      </c>
      <c r="D7" s="749"/>
      <c r="E7" s="750"/>
      <c r="F7" s="750"/>
      <c r="G7" s="2505"/>
    </row>
    <row r="8" spans="1:25" s="2185" customFormat="1" ht="13.5" customHeight="1">
      <c r="A8" s="2495" t="s">
        <v>2443</v>
      </c>
      <c r="B8" s="2498" t="s">
        <v>2445</v>
      </c>
      <c r="C8" s="2499"/>
      <c r="D8" s="749"/>
      <c r="E8" s="750"/>
      <c r="F8" s="750"/>
      <c r="G8" s="751"/>
    </row>
    <row r="9" spans="1:25" s="2185" customFormat="1" ht="13.5" customHeight="1">
      <c r="A9" s="2495" t="s">
        <v>2444</v>
      </c>
      <c r="B9" s="2498" t="s">
        <v>2446</v>
      </c>
      <c r="C9" s="2499"/>
      <c r="D9" s="749"/>
      <c r="E9" s="750"/>
      <c r="F9" s="750"/>
      <c r="G9" s="751"/>
    </row>
    <row r="10" spans="1:25" s="2185" customFormat="1" ht="36">
      <c r="A10" s="2495">
        <v>2</v>
      </c>
      <c r="B10" s="748" t="s">
        <v>612</v>
      </c>
      <c r="C10" s="749">
        <f>C11+C14+C15</f>
        <v>0</v>
      </c>
      <c r="D10" s="760">
        <f>'数据-汇总表'!E3</f>
        <v>26666</v>
      </c>
      <c r="E10" s="749">
        <f>'数据-取费表'!B31</f>
        <v>200</v>
      </c>
      <c r="F10" s="761"/>
      <c r="G10" s="759" t="s">
        <v>613</v>
      </c>
    </row>
    <row r="11" spans="1:25" s="2185" customFormat="1" ht="13.5" customHeight="1">
      <c r="A11" s="2495" t="s">
        <v>2443</v>
      </c>
      <c r="B11" s="752" t="s">
        <v>609</v>
      </c>
      <c r="C11" s="753">
        <f>'数据-取费表'!B29</f>
        <v>0</v>
      </c>
      <c r="D11" s="754"/>
      <c r="E11" s="753"/>
      <c r="F11" s="755"/>
      <c r="G11" s="2504" t="s">
        <v>2454</v>
      </c>
    </row>
    <row r="12" spans="1:25" s="2185" customFormat="1" ht="13.5" customHeight="1">
      <c r="A12" s="2502" t="s">
        <v>2451</v>
      </c>
      <c r="B12" s="756" t="s">
        <v>610</v>
      </c>
      <c r="C12" s="757">
        <f>ROUND(D12*E12/10000,0)</f>
        <v>0</v>
      </c>
      <c r="D12" s="758">
        <f>'数据-汇总表'!E5</f>
        <v>0</v>
      </c>
      <c r="E12" s="757">
        <f>'数据-取费表'!B27</f>
        <v>50</v>
      </c>
      <c r="F12" s="755"/>
      <c r="G12" s="759"/>
    </row>
    <row r="13" spans="1:25" s="2185" customFormat="1" ht="13.5" customHeight="1">
      <c r="A13" s="2502" t="s">
        <v>2450</v>
      </c>
      <c r="B13" s="756" t="s">
        <v>611</v>
      </c>
      <c r="C13" s="757">
        <f>ROUND(D13*E13/10000,0)</f>
        <v>106</v>
      </c>
      <c r="D13" s="758">
        <f>'数据-汇总表'!E6</f>
        <v>26666</v>
      </c>
      <c r="E13" s="757">
        <f>'数据-取费表'!B28</f>
        <v>39.700000000000003</v>
      </c>
      <c r="F13" s="755"/>
      <c r="G13" s="759"/>
    </row>
    <row r="14" spans="1:25" s="2185" customFormat="1" ht="13.5" customHeight="1">
      <c r="A14" s="2495" t="s">
        <v>2444</v>
      </c>
      <c r="B14" s="2501" t="s">
        <v>2447</v>
      </c>
      <c r="C14" s="2499"/>
      <c r="D14" s="758"/>
      <c r="E14" s="757"/>
      <c r="F14" s="2500"/>
      <c r="G14" s="2503" t="s">
        <v>2452</v>
      </c>
    </row>
    <row r="15" spans="1:25" s="2185" customFormat="1" ht="13.5" customHeight="1">
      <c r="A15" s="2495" t="s">
        <v>2449</v>
      </c>
      <c r="B15" s="2501" t="s">
        <v>2448</v>
      </c>
      <c r="C15" s="2499"/>
      <c r="D15" s="758"/>
      <c r="E15" s="757"/>
      <c r="F15" s="2500"/>
      <c r="G15" s="2503" t="s">
        <v>2453</v>
      </c>
    </row>
    <row r="16" spans="1:25" s="2186" customFormat="1" ht="48">
      <c r="A16" s="2495">
        <v>3</v>
      </c>
      <c r="B16" s="748" t="s">
        <v>614</v>
      </c>
      <c r="C16" s="2499"/>
      <c r="D16" s="760"/>
      <c r="E16" s="749"/>
      <c r="F16" s="761"/>
      <c r="G16" s="759" t="s">
        <v>2455</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615</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616</v>
      </c>
      <c r="C18" s="749">
        <f>ROUND((C7+C10+C16)*F18,0)</f>
        <v>0</v>
      </c>
      <c r="D18" s="762"/>
      <c r="E18" s="763"/>
      <c r="F18" s="761">
        <f>'数据-取费表'!Q16</f>
        <v>0.05</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624</v>
      </c>
      <c r="C22" s="749">
        <f ca="1">ROUND(C21*F22,0)</f>
        <v>0</v>
      </c>
      <c r="D22" s="760"/>
      <c r="E22" s="749"/>
      <c r="F22" s="766">
        <f>'数据-取费表'!AP16</f>
        <v>0.79800000000000004</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33"/>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66" t="s">
        <v>522</v>
      </c>
      <c r="D4" s="3367"/>
      <c r="E4" s="3430" t="s">
        <v>523</v>
      </c>
      <c r="F4" s="3431"/>
      <c r="G4" s="3366" t="s">
        <v>524</v>
      </c>
      <c r="H4" s="3367"/>
      <c r="I4" s="3366" t="s">
        <v>525</v>
      </c>
      <c r="J4" s="3367"/>
      <c r="K4" s="514" t="s">
        <v>526</v>
      </c>
      <c r="L4" s="2135"/>
      <c r="M4" s="2136"/>
      <c r="N4" s="2136"/>
      <c r="O4" s="2136"/>
      <c r="P4" s="3368" t="s">
        <v>527</v>
      </c>
      <c r="Q4" s="3369"/>
      <c r="R4" s="3374" t="s">
        <v>523</v>
      </c>
      <c r="S4" s="3375"/>
      <c r="T4" s="3374" t="s">
        <v>524</v>
      </c>
      <c r="U4" s="3375"/>
      <c r="V4" s="3361" t="s">
        <v>525</v>
      </c>
      <c r="W4" s="3361"/>
      <c r="X4" s="1568"/>
      <c r="Y4" s="3374" t="s">
        <v>527</v>
      </c>
      <c r="Z4" s="3375"/>
      <c r="AA4" s="3363" t="s">
        <v>523</v>
      </c>
      <c r="AB4" s="3361" t="s">
        <v>524</v>
      </c>
      <c r="AC4" s="3363" t="s">
        <v>525</v>
      </c>
    </row>
    <row r="5" spans="1:29" ht="15">
      <c r="A5" s="515"/>
      <c r="B5" s="516"/>
      <c r="C5" s="3384" t="s">
        <v>2933</v>
      </c>
      <c r="D5" s="3383"/>
      <c r="E5" s="3435" t="s">
        <v>2934</v>
      </c>
      <c r="F5" s="3436"/>
      <c r="G5" s="3384" t="s">
        <v>2935</v>
      </c>
      <c r="H5" s="3383"/>
      <c r="I5" s="3384" t="s">
        <v>2936</v>
      </c>
      <c r="J5" s="3383"/>
      <c r="K5" s="514"/>
      <c r="L5" s="2135"/>
      <c r="M5" s="2136"/>
      <c r="N5" s="2136"/>
      <c r="O5" s="2136"/>
      <c r="P5" s="3370"/>
      <c r="Q5" s="3371"/>
      <c r="R5" s="3376"/>
      <c r="S5" s="3377"/>
      <c r="T5" s="3376"/>
      <c r="U5" s="3377"/>
      <c r="V5" s="3361"/>
      <c r="W5" s="3361"/>
      <c r="X5" s="1568"/>
      <c r="Y5" s="3376"/>
      <c r="Z5" s="3377"/>
      <c r="AA5" s="3364"/>
      <c r="AB5" s="3361"/>
      <c r="AC5" s="3364"/>
    </row>
    <row r="6" spans="1:29" ht="15.75" thickBot="1">
      <c r="A6" s="517"/>
      <c r="B6" s="518"/>
      <c r="C6" s="3432" t="s">
        <v>2937</v>
      </c>
      <c r="D6" s="3381"/>
      <c r="E6" s="3433" t="s">
        <v>2937</v>
      </c>
      <c r="F6" s="3434"/>
      <c r="G6" s="3432" t="s">
        <v>2937</v>
      </c>
      <c r="H6" s="3381"/>
      <c r="I6" s="3432" t="s">
        <v>2937</v>
      </c>
      <c r="J6" s="3381"/>
      <c r="K6" s="514" t="s">
        <v>528</v>
      </c>
      <c r="L6" s="2135"/>
      <c r="M6" s="2136"/>
      <c r="N6" s="2136"/>
      <c r="O6" s="2136"/>
      <c r="P6" s="3372"/>
      <c r="Q6" s="3373"/>
      <c r="R6" s="3376"/>
      <c r="S6" s="3377"/>
      <c r="T6" s="3378"/>
      <c r="U6" s="3379"/>
      <c r="V6" s="3361"/>
      <c r="W6" s="3361"/>
      <c r="X6" s="1568"/>
      <c r="Y6" s="3378"/>
      <c r="Z6" s="3379"/>
      <c r="AA6" s="3365"/>
      <c r="AB6" s="3361"/>
      <c r="AC6" s="3365"/>
    </row>
    <row r="7" spans="1:29" s="1220" customFormat="1" ht="15.75" thickBot="1">
      <c r="A7" s="2938"/>
      <c r="B7" s="2945" t="s">
        <v>529</v>
      </c>
      <c r="C7" s="519">
        <f>'数据-取费表'!B2</f>
        <v>43215</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93" t="s">
        <v>530</v>
      </c>
      <c r="Q7" s="3395"/>
      <c r="R7" s="1569" t="s">
        <v>8</v>
      </c>
      <c r="S7" s="1570">
        <f t="shared" ref="S7:S15" si="0">F7</f>
        <v>0</v>
      </c>
      <c r="T7" s="1569" t="s">
        <v>8</v>
      </c>
      <c r="U7" s="1570">
        <f t="shared" ref="U7:U15" si="1">H7</f>
        <v>0</v>
      </c>
      <c r="V7" s="1569" t="s">
        <v>8</v>
      </c>
      <c r="W7" s="1570">
        <f t="shared" ref="W7:W15" si="2">J7</f>
        <v>0</v>
      </c>
      <c r="X7" s="1571"/>
      <c r="Y7" s="3393" t="s">
        <v>530</v>
      </c>
      <c r="Z7" s="3394"/>
      <c r="AA7" s="1572" t="e">
        <f>D7/F7</f>
        <v>#DIV/0!</v>
      </c>
      <c r="AB7" s="1572" t="e">
        <f>D7/H7</f>
        <v>#DIV/0!</v>
      </c>
      <c r="AC7" s="1572" t="e">
        <f>D7/J7</f>
        <v>#DIV/0!</v>
      </c>
    </row>
    <row r="8" spans="1:29" s="1220" customFormat="1" ht="15.75" thickBot="1">
      <c r="A8" s="2939"/>
      <c r="B8" s="2946" t="s">
        <v>531</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93" t="s">
        <v>533</v>
      </c>
      <c r="Q8" s="3394"/>
      <c r="R8" s="1569" t="s">
        <v>8</v>
      </c>
      <c r="S8" s="1570">
        <f t="shared" si="0"/>
        <v>0</v>
      </c>
      <c r="T8" s="1569" t="s">
        <v>8</v>
      </c>
      <c r="U8" s="1570">
        <f t="shared" si="1"/>
        <v>0</v>
      </c>
      <c r="V8" s="1569" t="s">
        <v>8</v>
      </c>
      <c r="W8" s="1570">
        <f t="shared" si="2"/>
        <v>0</v>
      </c>
      <c r="X8" s="1571"/>
      <c r="Y8" s="3393" t="s">
        <v>533</v>
      </c>
      <c r="Z8" s="3394"/>
      <c r="AA8" s="1572" t="e">
        <f t="shared" ref="AA8:AA46" si="3">D8/F8</f>
        <v>#DIV/0!</v>
      </c>
      <c r="AB8" s="1572" t="e">
        <f t="shared" ref="AB8:AB46" si="4">D8/H8</f>
        <v>#DIV/0!</v>
      </c>
      <c r="AC8" s="1572" t="e">
        <f t="shared" ref="AC8:AC46" si="5">D8/J8</f>
        <v>#DIV/0!</v>
      </c>
    </row>
    <row r="9" spans="1:29" s="1220" customFormat="1" ht="15">
      <c r="A9" s="2940"/>
      <c r="B9" s="2947" t="s">
        <v>2759</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0" t="s">
        <v>535</v>
      </c>
      <c r="Q9" s="1151" t="str">
        <f t="shared" ref="Q9:Q15" si="6">B9</f>
        <v>用途</v>
      </c>
      <c r="R9" s="1569" t="s">
        <v>8</v>
      </c>
      <c r="S9" s="1570">
        <f t="shared" si="0"/>
        <v>100</v>
      </c>
      <c r="T9" s="1569" t="s">
        <v>8</v>
      </c>
      <c r="U9" s="1570">
        <f t="shared" si="1"/>
        <v>100</v>
      </c>
      <c r="V9" s="1569" t="s">
        <v>8</v>
      </c>
      <c r="W9" s="1570">
        <f t="shared" si="2"/>
        <v>100</v>
      </c>
      <c r="X9" s="1571"/>
      <c r="Y9" s="3306" t="s">
        <v>536</v>
      </c>
      <c r="Z9" s="1150" t="str">
        <f t="shared" ref="Z9:Z15" si="7">Q9</f>
        <v>用途</v>
      </c>
      <c r="AA9" s="1572">
        <f t="shared" si="3"/>
        <v>1</v>
      </c>
      <c r="AB9" s="1572">
        <f t="shared" si="4"/>
        <v>1</v>
      </c>
      <c r="AC9" s="1572">
        <f t="shared" si="5"/>
        <v>1</v>
      </c>
    </row>
    <row r="10" spans="1:29" s="1338" customFormat="1" ht="27">
      <c r="A10" s="2941"/>
      <c r="B10" s="2946" t="s">
        <v>2760</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0"/>
      <c r="Q10" s="1151" t="str">
        <f t="shared" si="6"/>
        <v>土地使用年限（年）</v>
      </c>
      <c r="R10" s="1569" t="s">
        <v>8</v>
      </c>
      <c r="S10" s="1570">
        <f t="shared" si="0"/>
        <v>100</v>
      </c>
      <c r="T10" s="1569" t="s">
        <v>8</v>
      </c>
      <c r="U10" s="1570">
        <f t="shared" si="1"/>
        <v>100</v>
      </c>
      <c r="V10" s="1569" t="s">
        <v>8</v>
      </c>
      <c r="W10" s="1570">
        <f t="shared" si="2"/>
        <v>100</v>
      </c>
      <c r="X10" s="1571"/>
      <c r="Y10" s="3306"/>
      <c r="Z10" s="1150" t="str">
        <f t="shared" si="7"/>
        <v>土地使用年限（年）</v>
      </c>
      <c r="AA10" s="1572">
        <f t="shared" si="3"/>
        <v>1</v>
      </c>
      <c r="AB10" s="1572">
        <f t="shared" si="4"/>
        <v>1</v>
      </c>
      <c r="AC10" s="1572">
        <f t="shared" si="5"/>
        <v>1</v>
      </c>
    </row>
    <row r="11" spans="1:29" ht="15">
      <c r="A11" s="2942"/>
      <c r="B11" s="2946"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0"/>
      <c r="Q11" s="1151" t="str">
        <f t="shared" si="6"/>
        <v>容积率</v>
      </c>
      <c r="R11" s="1569" t="s">
        <v>8</v>
      </c>
      <c r="S11" s="1570" t="e">
        <f t="shared" si="0"/>
        <v>#N/A</v>
      </c>
      <c r="T11" s="1569" t="s">
        <v>8</v>
      </c>
      <c r="U11" s="1570" t="e">
        <f t="shared" si="1"/>
        <v>#N/A</v>
      </c>
      <c r="V11" s="1569" t="s">
        <v>8</v>
      </c>
      <c r="W11" s="1570" t="e">
        <f t="shared" si="2"/>
        <v>#N/A</v>
      </c>
      <c r="X11" s="1571"/>
      <c r="Y11" s="330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0"/>
      <c r="Q12" s="1151">
        <f t="shared" si="6"/>
        <v>111</v>
      </c>
      <c r="R12" s="1569" t="s">
        <v>8</v>
      </c>
      <c r="S12" s="1570">
        <f t="shared" si="0"/>
        <v>100</v>
      </c>
      <c r="T12" s="1569" t="s">
        <v>8</v>
      </c>
      <c r="U12" s="1570">
        <f t="shared" si="1"/>
        <v>100</v>
      </c>
      <c r="V12" s="1569" t="s">
        <v>8</v>
      </c>
      <c r="W12" s="1570">
        <f t="shared" si="2"/>
        <v>100</v>
      </c>
      <c r="X12" s="1571"/>
      <c r="Y12" s="3306"/>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0"/>
      <c r="Q13" s="1151">
        <f t="shared" si="6"/>
        <v>111</v>
      </c>
      <c r="R13" s="1569" t="s">
        <v>8</v>
      </c>
      <c r="S13" s="1570">
        <f t="shared" si="0"/>
        <v>100</v>
      </c>
      <c r="T13" s="1569" t="s">
        <v>8</v>
      </c>
      <c r="U13" s="1570">
        <f t="shared" si="1"/>
        <v>100</v>
      </c>
      <c r="V13" s="1569" t="s">
        <v>8</v>
      </c>
      <c r="W13" s="1570">
        <f t="shared" si="2"/>
        <v>100</v>
      </c>
      <c r="X13" s="1571"/>
      <c r="Y13" s="3306"/>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0"/>
      <c r="Q14" s="1151">
        <f t="shared" si="6"/>
        <v>111</v>
      </c>
      <c r="R14" s="1569" t="s">
        <v>8</v>
      </c>
      <c r="S14" s="1570">
        <f t="shared" si="0"/>
        <v>100</v>
      </c>
      <c r="T14" s="1569" t="s">
        <v>8</v>
      </c>
      <c r="U14" s="1570">
        <f t="shared" si="1"/>
        <v>100</v>
      </c>
      <c r="V14" s="1569" t="s">
        <v>8</v>
      </c>
      <c r="W14" s="1570">
        <f t="shared" si="2"/>
        <v>100</v>
      </c>
      <c r="X14" s="1571"/>
      <c r="Y14" s="3306"/>
      <c r="Z14" s="1150">
        <f t="shared" si="7"/>
        <v>111</v>
      </c>
      <c r="AA14" s="1572">
        <f t="shared" si="3"/>
        <v>1</v>
      </c>
      <c r="AB14" s="1572">
        <f t="shared" si="4"/>
        <v>1</v>
      </c>
      <c r="AC14" s="1572">
        <f t="shared" si="5"/>
        <v>1</v>
      </c>
    </row>
    <row r="15" spans="1:29" ht="71.25">
      <c r="A15" s="2936"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96" t="s">
        <v>540</v>
      </c>
      <c r="Q15" s="1573" t="str">
        <f t="shared" si="6"/>
        <v>商业繁华度</v>
      </c>
      <c r="R15" s="1574" t="s">
        <v>8</v>
      </c>
      <c r="S15" s="1575">
        <f t="shared" si="0"/>
        <v>100</v>
      </c>
      <c r="T15" s="1574" t="s">
        <v>8</v>
      </c>
      <c r="U15" s="1575">
        <f t="shared" si="1"/>
        <v>100</v>
      </c>
      <c r="V15" s="1574" t="s">
        <v>8</v>
      </c>
      <c r="W15" s="1575">
        <f t="shared" si="2"/>
        <v>100</v>
      </c>
      <c r="X15" s="1568"/>
      <c r="Y15" s="339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7"/>
      <c r="Q16" s="1573"/>
      <c r="R16" s="1574"/>
      <c r="S16" s="1575"/>
      <c r="T16" s="1574"/>
      <c r="U16" s="1575"/>
      <c r="V16" s="1574"/>
      <c r="W16" s="1575"/>
      <c r="X16" s="1568"/>
      <c r="Y16" s="339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7"/>
      <c r="Q18" s="1573"/>
      <c r="R18" s="1574"/>
      <c r="S18" s="1575"/>
      <c r="T18" s="1574"/>
      <c r="U18" s="1575"/>
      <c r="V18" s="1574"/>
      <c r="W18" s="1575"/>
      <c r="X18" s="1568"/>
      <c r="Y18" s="3397"/>
      <c r="Z18" s="1576"/>
      <c r="AA18" s="1577">
        <v>1</v>
      </c>
      <c r="AB18" s="1577">
        <v>1</v>
      </c>
      <c r="AC18" s="1577">
        <v>1</v>
      </c>
    </row>
    <row r="19" spans="1:29" ht="42.75">
      <c r="A19" s="532"/>
      <c r="B19" s="2626"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97"/>
      <c r="Q20" s="1573"/>
      <c r="R20" s="1574"/>
      <c r="S20" s="1575"/>
      <c r="T20" s="1574"/>
      <c r="U20" s="1575"/>
      <c r="V20" s="1574"/>
      <c r="W20" s="1575"/>
      <c r="X20" s="1568"/>
      <c r="Y20" s="3397"/>
      <c r="Z20" s="1576"/>
      <c r="AA20" s="1577">
        <v>1</v>
      </c>
      <c r="AB20" s="1577">
        <v>1</v>
      </c>
      <c r="AC20" s="1577">
        <v>1</v>
      </c>
    </row>
    <row r="21" spans="1:29" ht="28.5">
      <c r="A21" s="532"/>
      <c r="B21" s="2619"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97"/>
      <c r="Q21" s="2605" t="str">
        <f>B21</f>
        <v>基础设施水平</v>
      </c>
      <c r="R21" s="1574" t="s">
        <v>8</v>
      </c>
      <c r="S21" s="1575">
        <f>F21</f>
        <v>100</v>
      </c>
      <c r="T21" s="1574" t="s">
        <v>8</v>
      </c>
      <c r="U21" s="1575">
        <f>H21</f>
        <v>100</v>
      </c>
      <c r="V21" s="1574" t="s">
        <v>8</v>
      </c>
      <c r="W21" s="1575">
        <f>J21</f>
        <v>100</v>
      </c>
      <c r="X21" s="2607"/>
      <c r="Y21" s="3397"/>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97"/>
      <c r="Q22" s="2605"/>
      <c r="R22" s="1574"/>
      <c r="S22" s="1575"/>
      <c r="T22" s="1574"/>
      <c r="U22" s="1575"/>
      <c r="V22" s="1574"/>
      <c r="W22" s="1575"/>
      <c r="X22" s="2607"/>
      <c r="Y22" s="3397"/>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97"/>
      <c r="Q23" s="1573" t="str">
        <f>B23</f>
        <v>自然及人文环境</v>
      </c>
      <c r="R23" s="1574" t="s">
        <v>8</v>
      </c>
      <c r="S23" s="1575">
        <f>F23</f>
        <v>100</v>
      </c>
      <c r="T23" s="1574" t="s">
        <v>8</v>
      </c>
      <c r="U23" s="1575">
        <f>H23</f>
        <v>100</v>
      </c>
      <c r="V23" s="1574" t="s">
        <v>8</v>
      </c>
      <c r="W23" s="1575">
        <f>J23</f>
        <v>100</v>
      </c>
      <c r="X23" s="1568"/>
      <c r="Y23" s="339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97"/>
      <c r="Q24" s="1573"/>
      <c r="R24" s="1574"/>
      <c r="S24" s="1575"/>
      <c r="T24" s="1574"/>
      <c r="U24" s="1575"/>
      <c r="V24" s="1574"/>
      <c r="W24" s="1575"/>
      <c r="X24" s="1568"/>
      <c r="Y24" s="3397"/>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97"/>
      <c r="Q25" s="1573" t="str">
        <f t="shared" ref="Q25:Q46" si="11">B25</f>
        <v>临街状况</v>
      </c>
      <c r="R25" s="1574" t="s">
        <v>8</v>
      </c>
      <c r="S25" s="1575">
        <f>F25</f>
        <v>100</v>
      </c>
      <c r="T25" s="1574" t="s">
        <v>8</v>
      </c>
      <c r="U25" s="1575">
        <f>H25</f>
        <v>100</v>
      </c>
      <c r="V25" s="1574" t="s">
        <v>8</v>
      </c>
      <c r="W25" s="1575">
        <f>J25</f>
        <v>100</v>
      </c>
      <c r="X25" s="1568"/>
      <c r="Y25" s="3397"/>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97"/>
      <c r="Q26" s="1573" t="str">
        <f t="shared" si="11"/>
        <v>平面位置/可视性</v>
      </c>
      <c r="R26" s="1574" t="s">
        <v>8</v>
      </c>
      <c r="S26" s="1575">
        <f>F26</f>
        <v>100</v>
      </c>
      <c r="T26" s="1574" t="s">
        <v>8</v>
      </c>
      <c r="U26" s="1575">
        <f>H26</f>
        <v>100</v>
      </c>
      <c r="V26" s="1574" t="s">
        <v>8</v>
      </c>
      <c r="W26" s="1575">
        <f>J26</f>
        <v>100</v>
      </c>
      <c r="X26" s="1568"/>
      <c r="Y26" s="3397"/>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97"/>
      <c r="Q27" s="1151" t="str">
        <f t="shared" si="11"/>
        <v>人流量</v>
      </c>
      <c r="R27" s="1569" t="s">
        <v>8</v>
      </c>
      <c r="S27" s="1570">
        <f>F27</f>
        <v>100</v>
      </c>
      <c r="T27" s="1569" t="s">
        <v>8</v>
      </c>
      <c r="U27" s="1570">
        <f>H27</f>
        <v>100</v>
      </c>
      <c r="V27" s="1569" t="s">
        <v>8</v>
      </c>
      <c r="W27" s="1570">
        <f>J27</f>
        <v>100</v>
      </c>
      <c r="X27" s="1571"/>
      <c r="Y27" s="3397"/>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9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7"/>
      <c r="Q29" s="1573">
        <f t="shared" si="11"/>
        <v>111</v>
      </c>
      <c r="R29" s="1574" t="s">
        <v>8</v>
      </c>
      <c r="S29" s="1575">
        <f t="shared" si="12"/>
        <v>100</v>
      </c>
      <c r="T29" s="1574" t="s">
        <v>8</v>
      </c>
      <c r="U29" s="1575">
        <f t="shared" si="13"/>
        <v>100</v>
      </c>
      <c r="V29" s="1574" t="s">
        <v>8</v>
      </c>
      <c r="W29" s="1575">
        <f t="shared" si="14"/>
        <v>100</v>
      </c>
      <c r="X29" s="1568"/>
      <c r="Y29" s="339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
      <c r="A32" s="2933" t="s">
        <v>2758</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8" t="s">
        <v>549</v>
      </c>
      <c r="Q32" s="1573" t="str">
        <f t="shared" si="11"/>
        <v>商业类型</v>
      </c>
      <c r="R32" s="1574" t="s">
        <v>8</v>
      </c>
      <c r="S32" s="1575">
        <f t="shared" si="12"/>
        <v>100</v>
      </c>
      <c r="T32" s="1574" t="s">
        <v>8</v>
      </c>
      <c r="U32" s="1575">
        <f t="shared" si="13"/>
        <v>100</v>
      </c>
      <c r="V32" s="1574" t="s">
        <v>8</v>
      </c>
      <c r="W32" s="1575">
        <f t="shared" si="14"/>
        <v>100</v>
      </c>
      <c r="X32" s="1568"/>
      <c r="Y32" s="3399"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9"/>
      <c r="Q33" s="1606" t="str">
        <f t="shared" si="11"/>
        <v>项目建筑规模</v>
      </c>
      <c r="R33" s="1578" t="s">
        <v>8</v>
      </c>
      <c r="S33" s="1579" t="e">
        <f t="shared" si="12"/>
        <v>#N/A</v>
      </c>
      <c r="T33" s="1578" t="s">
        <v>8</v>
      </c>
      <c r="U33" s="1579" t="e">
        <f t="shared" si="13"/>
        <v>#N/A</v>
      </c>
      <c r="V33" s="1578" t="s">
        <v>8</v>
      </c>
      <c r="W33" s="1579" t="e">
        <f t="shared" si="14"/>
        <v>#N/A</v>
      </c>
      <c r="X33" s="1580"/>
      <c r="Y33" s="3399"/>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9"/>
      <c r="Q34" s="1573" t="str">
        <f t="shared" si="11"/>
        <v>建筑结构</v>
      </c>
      <c r="R34" s="1574" t="s">
        <v>8</v>
      </c>
      <c r="S34" s="1575">
        <f t="shared" si="12"/>
        <v>100</v>
      </c>
      <c r="T34" s="1574" t="s">
        <v>8</v>
      </c>
      <c r="U34" s="1575">
        <f t="shared" si="13"/>
        <v>100</v>
      </c>
      <c r="V34" s="1574" t="s">
        <v>8</v>
      </c>
      <c r="W34" s="1575">
        <f t="shared" si="14"/>
        <v>100</v>
      </c>
      <c r="X34" s="1568"/>
      <c r="Y34" s="3399"/>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9"/>
      <c r="Q35" s="1573" t="str">
        <f t="shared" si="11"/>
        <v>公共部分装修</v>
      </c>
      <c r="R35" s="1574" t="s">
        <v>8</v>
      </c>
      <c r="S35" s="1575">
        <f t="shared" si="12"/>
        <v>100</v>
      </c>
      <c r="T35" s="1574" t="s">
        <v>8</v>
      </c>
      <c r="U35" s="1575">
        <f t="shared" si="13"/>
        <v>100</v>
      </c>
      <c r="V35" s="1574" t="s">
        <v>8</v>
      </c>
      <c r="W35" s="1575">
        <f t="shared" si="14"/>
        <v>100</v>
      </c>
      <c r="X35" s="1568"/>
      <c r="Y35" s="3399"/>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9"/>
      <c r="Q36" s="1573" t="str">
        <f t="shared" si="11"/>
        <v>成新度</v>
      </c>
      <c r="R36" s="1574" t="s">
        <v>8</v>
      </c>
      <c r="S36" s="1575" t="e">
        <f t="shared" si="12"/>
        <v>#N/A</v>
      </c>
      <c r="T36" s="1574" t="s">
        <v>8</v>
      </c>
      <c r="U36" s="1575" t="e">
        <f t="shared" si="13"/>
        <v>#N/A</v>
      </c>
      <c r="V36" s="1574" t="s">
        <v>8</v>
      </c>
      <c r="W36" s="1575" t="e">
        <f t="shared" si="14"/>
        <v>#N/A</v>
      </c>
      <c r="X36" s="1568"/>
      <c r="Y36" s="3399"/>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9"/>
      <c r="Q37" s="1151" t="str">
        <f t="shared" si="11"/>
        <v>市政基础设施</v>
      </c>
      <c r="R37" s="1569" t="s">
        <v>8</v>
      </c>
      <c r="S37" s="1570">
        <f t="shared" si="12"/>
        <v>100</v>
      </c>
      <c r="T37" s="1569" t="s">
        <v>8</v>
      </c>
      <c r="U37" s="1570">
        <f t="shared" si="13"/>
        <v>100</v>
      </c>
      <c r="V37" s="1569" t="s">
        <v>8</v>
      </c>
      <c r="W37" s="1570">
        <f t="shared" si="14"/>
        <v>100</v>
      </c>
      <c r="X37" s="1571"/>
      <c r="Y37" s="3399"/>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9" t="s">
        <v>765</v>
      </c>
      <c r="Q38" s="1573" t="str">
        <f t="shared" si="11"/>
        <v>业态</v>
      </c>
      <c r="R38" s="1574" t="s">
        <v>8</v>
      </c>
      <c r="S38" s="1575">
        <f t="shared" si="12"/>
        <v>100</v>
      </c>
      <c r="T38" s="1574" t="s">
        <v>8</v>
      </c>
      <c r="U38" s="1575">
        <f t="shared" si="13"/>
        <v>100</v>
      </c>
      <c r="V38" s="1574" t="s">
        <v>8</v>
      </c>
      <c r="W38" s="1575">
        <f t="shared" si="14"/>
        <v>100</v>
      </c>
      <c r="X38" s="1568"/>
      <c r="Y38" s="3399"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9"/>
      <c r="Q39" s="1573" t="str">
        <f t="shared" si="11"/>
        <v>层高</v>
      </c>
      <c r="R39" s="1574" t="s">
        <v>8</v>
      </c>
      <c r="S39" s="1575">
        <f t="shared" si="12"/>
        <v>100</v>
      </c>
      <c r="T39" s="1574" t="s">
        <v>8</v>
      </c>
      <c r="U39" s="1575">
        <f t="shared" si="13"/>
        <v>100</v>
      </c>
      <c r="V39" s="1574" t="s">
        <v>8</v>
      </c>
      <c r="W39" s="1575">
        <f t="shared" si="14"/>
        <v>100</v>
      </c>
      <c r="X39" s="1568"/>
      <c r="Y39" s="3399"/>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9"/>
      <c r="Q40" s="1573" t="str">
        <f t="shared" si="11"/>
        <v>单套建筑面积</v>
      </c>
      <c r="R40" s="1574" t="s">
        <v>8</v>
      </c>
      <c r="S40" s="1575">
        <f t="shared" si="12"/>
        <v>100</v>
      </c>
      <c r="T40" s="1574" t="s">
        <v>8</v>
      </c>
      <c r="U40" s="1575">
        <f t="shared" si="13"/>
        <v>100</v>
      </c>
      <c r="V40" s="1574" t="s">
        <v>8</v>
      </c>
      <c r="W40" s="1575">
        <f t="shared" si="14"/>
        <v>100</v>
      </c>
      <c r="X40" s="1568"/>
      <c r="Y40" s="3399"/>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9"/>
      <c r="Q41" s="1606" t="str">
        <f t="shared" si="11"/>
        <v>进深比</v>
      </c>
      <c r="R41" s="1578" t="s">
        <v>8</v>
      </c>
      <c r="S41" s="1579">
        <f t="shared" si="12"/>
        <v>100</v>
      </c>
      <c r="T41" s="1578" t="s">
        <v>8</v>
      </c>
      <c r="U41" s="1579">
        <f t="shared" si="13"/>
        <v>100</v>
      </c>
      <c r="V41" s="1578" t="s">
        <v>8</v>
      </c>
      <c r="W41" s="1579">
        <f t="shared" si="14"/>
        <v>100</v>
      </c>
      <c r="X41" s="1580"/>
      <c r="Y41" s="3399"/>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9"/>
      <c r="Q42" s="1573" t="str">
        <f t="shared" si="11"/>
        <v>内部装修</v>
      </c>
      <c r="R42" s="1574" t="s">
        <v>8</v>
      </c>
      <c r="S42" s="1575">
        <f t="shared" si="12"/>
        <v>100</v>
      </c>
      <c r="T42" s="1574" t="s">
        <v>8</v>
      </c>
      <c r="U42" s="1575">
        <f t="shared" si="13"/>
        <v>100</v>
      </c>
      <c r="V42" s="1574" t="s">
        <v>8</v>
      </c>
      <c r="W42" s="1575">
        <f t="shared" si="14"/>
        <v>100</v>
      </c>
      <c r="X42" s="1568"/>
      <c r="Y42" s="3399"/>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9"/>
      <c r="Q43" s="1573" t="str">
        <f t="shared" si="11"/>
        <v>内部装修维护情况</v>
      </c>
      <c r="R43" s="1574" t="s">
        <v>8</v>
      </c>
      <c r="S43" s="1575">
        <f t="shared" si="12"/>
        <v>100</v>
      </c>
      <c r="T43" s="1574" t="s">
        <v>8</v>
      </c>
      <c r="U43" s="1575">
        <f t="shared" si="13"/>
        <v>100</v>
      </c>
      <c r="V43" s="1574" t="s">
        <v>8</v>
      </c>
      <c r="W43" s="1575">
        <f t="shared" si="14"/>
        <v>100</v>
      </c>
      <c r="X43" s="1568"/>
      <c r="Y43" s="339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9"/>
      <c r="Q44" s="1151">
        <f t="shared" si="11"/>
        <v>111</v>
      </c>
      <c r="R44" s="1569" t="s">
        <v>8</v>
      </c>
      <c r="S44" s="1570">
        <f t="shared" si="12"/>
        <v>100</v>
      </c>
      <c r="T44" s="1569" t="s">
        <v>8</v>
      </c>
      <c r="U44" s="1570">
        <f t="shared" si="13"/>
        <v>100</v>
      </c>
      <c r="V44" s="1569" t="s">
        <v>8</v>
      </c>
      <c r="W44" s="1570">
        <f t="shared" si="14"/>
        <v>100</v>
      </c>
      <c r="X44" s="1571"/>
      <c r="Y44" s="339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9"/>
      <c r="Q45" s="1573">
        <f t="shared" si="11"/>
        <v>111</v>
      </c>
      <c r="R45" s="1574" t="s">
        <v>8</v>
      </c>
      <c r="S45" s="1575">
        <f t="shared" si="12"/>
        <v>100</v>
      </c>
      <c r="T45" s="1574" t="s">
        <v>8</v>
      </c>
      <c r="U45" s="1575">
        <f t="shared" si="13"/>
        <v>100</v>
      </c>
      <c r="V45" s="1574" t="s">
        <v>8</v>
      </c>
      <c r="W45" s="1575">
        <f t="shared" si="14"/>
        <v>100</v>
      </c>
      <c r="X45" s="1568"/>
      <c r="Y45" s="339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29"/>
      <c r="Q46" s="1573">
        <f t="shared" si="11"/>
        <v>111</v>
      </c>
      <c r="R46" s="1574" t="s">
        <v>8</v>
      </c>
      <c r="S46" s="1575">
        <f t="shared" si="12"/>
        <v>100</v>
      </c>
      <c r="T46" s="1574" t="s">
        <v>8</v>
      </c>
      <c r="U46" s="1575">
        <f t="shared" si="13"/>
        <v>100</v>
      </c>
      <c r="V46" s="1574" t="s">
        <v>8</v>
      </c>
      <c r="W46" s="1575">
        <f t="shared" si="14"/>
        <v>100</v>
      </c>
      <c r="X46" s="1568"/>
      <c r="Y46" s="3429"/>
      <c r="Z46" s="1576">
        <f t="shared" si="15"/>
        <v>111</v>
      </c>
      <c r="AA46" s="1577">
        <f t="shared" si="3"/>
        <v>1</v>
      </c>
      <c r="AB46" s="1577">
        <f t="shared" si="4"/>
        <v>1</v>
      </c>
      <c r="AC46" s="1577">
        <f t="shared" si="5"/>
        <v>1</v>
      </c>
    </row>
    <row r="47" spans="1:29" ht="15">
      <c r="A47" s="607" t="s">
        <v>735</v>
      </c>
      <c r="B47" s="887"/>
      <c r="C47" s="2653" t="s">
        <v>1</v>
      </c>
      <c r="D47" s="2654"/>
      <c r="E47" s="2655"/>
      <c r="F47" s="2656"/>
      <c r="G47" s="2657"/>
      <c r="H47" s="2658"/>
      <c r="I47" s="2655"/>
      <c r="J47" s="2658"/>
      <c r="K47" s="1612"/>
      <c r="L47" s="2146"/>
      <c r="M47" s="2147"/>
      <c r="N47" s="2136"/>
      <c r="O47" s="2147"/>
      <c r="P47" s="3360" t="str">
        <f>A47</f>
        <v>成交单价（元/平方米）</v>
      </c>
      <c r="Q47" s="3360"/>
      <c r="R47" s="3428">
        <f>E47</f>
        <v>0</v>
      </c>
      <c r="S47" s="3428"/>
      <c r="T47" s="3428">
        <f>G47</f>
        <v>0</v>
      </c>
      <c r="U47" s="3428"/>
      <c r="V47" s="3428">
        <f>I47</f>
        <v>0</v>
      </c>
      <c r="W47" s="3428"/>
      <c r="X47" s="1560"/>
      <c r="Y47" s="1582"/>
      <c r="Z47" s="1560"/>
      <c r="AA47" s="1560"/>
      <c r="AB47" s="1560"/>
      <c r="AC47" s="1560"/>
    </row>
    <row r="48" spans="1:29" ht="15.75" thickBot="1">
      <c r="A48" s="615" t="s">
        <v>2763</v>
      </c>
      <c r="B48" s="888"/>
      <c r="C48" s="2659" t="e">
        <f>R49</f>
        <v>#DIV/0!</v>
      </c>
      <c r="D48" s="2660"/>
      <c r="E48" s="2661" t="e">
        <f>R48</f>
        <v>#DIV/0!</v>
      </c>
      <c r="F48" s="2661"/>
      <c r="G48" s="2659" t="e">
        <f>T48</f>
        <v>#DIV/0!</v>
      </c>
      <c r="H48" s="2660"/>
      <c r="I48" s="2661" t="e">
        <f>V48</f>
        <v>#DIV/0!</v>
      </c>
      <c r="J48" s="2660"/>
      <c r="K48" s="1613"/>
      <c r="L48" s="2146"/>
      <c r="M48" s="2147"/>
      <c r="N48" s="2136"/>
      <c r="O48" s="2147"/>
      <c r="P48" s="3360" t="str">
        <f>A48</f>
        <v>比较价格（元/平方米）</v>
      </c>
      <c r="Q48" s="3360"/>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1560"/>
      <c r="Y48" s="1560"/>
      <c r="Z48" s="1560"/>
      <c r="AA48" s="1560"/>
      <c r="AB48" s="1560"/>
      <c r="AC48" s="1560"/>
    </row>
    <row r="49" spans="1:29" ht="15.75" thickBot="1">
      <c r="A49" s="621" t="s">
        <v>2939</v>
      </c>
      <c r="B49" s="622"/>
      <c r="C49" s="2662" t="e">
        <f>R49</f>
        <v>#DIV/0!</v>
      </c>
      <c r="D49" s="2662"/>
      <c r="E49" s="2662"/>
      <c r="F49" s="2662"/>
      <c r="G49" s="2662"/>
      <c r="H49" s="2662"/>
      <c r="I49" s="2662"/>
      <c r="J49" s="2662"/>
      <c r="K49" s="1614"/>
      <c r="L49" s="2146"/>
      <c r="M49" s="2147"/>
      <c r="N49" s="2136"/>
      <c r="O49" s="2147"/>
      <c r="P49" s="3357" t="str">
        <f>A49</f>
        <v>估价对象XX用房的比较价格（楼面单价，元/平方米）</v>
      </c>
      <c r="Q49" s="3358"/>
      <c r="R49" s="3427" t="e">
        <f>IF(F1="售价",ROUND(AVERAGE(R48:V48),0),ROUND(AVERAGE(R48:V48),1))</f>
        <v>#DIV/0!</v>
      </c>
      <c r="S49" s="3427"/>
      <c r="T49" s="3427"/>
      <c r="U49" s="3427"/>
      <c r="V49" s="3427"/>
      <c r="W49" s="342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2018-4</v>
      </c>
      <c r="D58" s="2830">
        <f>EDATE(C58,-1)</f>
        <v>43160</v>
      </c>
      <c r="E58" s="2830">
        <f t="shared" ref="E58:O58" si="16">EDATE(D58,-1)</f>
        <v>43132</v>
      </c>
      <c r="F58" s="2830">
        <f t="shared" si="16"/>
        <v>43101</v>
      </c>
      <c r="G58" s="2830">
        <f t="shared" si="16"/>
        <v>43070</v>
      </c>
      <c r="H58" s="2830">
        <f t="shared" si="16"/>
        <v>43040</v>
      </c>
      <c r="I58" s="2830">
        <f t="shared" si="16"/>
        <v>43009</v>
      </c>
      <c r="J58" s="2830">
        <f t="shared" si="16"/>
        <v>42979</v>
      </c>
      <c r="K58" s="2830">
        <f t="shared" si="16"/>
        <v>42948</v>
      </c>
      <c r="L58" s="2830">
        <f t="shared" si="16"/>
        <v>42917</v>
      </c>
      <c r="M58" s="2830">
        <f t="shared" si="16"/>
        <v>42887</v>
      </c>
      <c r="N58" s="2830">
        <f t="shared" si="16"/>
        <v>42856</v>
      </c>
      <c r="O58" s="2830">
        <f t="shared" si="16"/>
        <v>42826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2560</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2561</v>
      </c>
      <c r="C82" s="2624" t="s">
        <v>2562</v>
      </c>
      <c r="D82" s="2624" t="s">
        <v>2563</v>
      </c>
      <c r="E82" s="2624" t="s">
        <v>2564</v>
      </c>
      <c r="F82" s="2624" t="s">
        <v>2565</v>
      </c>
      <c r="G82" s="2624" t="s">
        <v>2566</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2559</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33"/>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66" t="s">
        <v>522</v>
      </c>
      <c r="D4" s="3367"/>
      <c r="E4" s="3430" t="s">
        <v>523</v>
      </c>
      <c r="F4" s="3431"/>
      <c r="G4" s="3366" t="s">
        <v>524</v>
      </c>
      <c r="H4" s="3367"/>
      <c r="I4" s="3366" t="s">
        <v>525</v>
      </c>
      <c r="J4" s="3367"/>
      <c r="K4" s="514" t="s">
        <v>526</v>
      </c>
      <c r="L4" s="2135"/>
      <c r="M4" s="2136"/>
      <c r="N4" s="2136"/>
      <c r="O4" s="2136"/>
      <c r="P4" s="3479" t="s">
        <v>527</v>
      </c>
      <c r="Q4" s="3369"/>
      <c r="R4" s="3374" t="s">
        <v>523</v>
      </c>
      <c r="S4" s="3375"/>
      <c r="T4" s="3374" t="s">
        <v>524</v>
      </c>
      <c r="U4" s="3375"/>
      <c r="V4" s="3361" t="s">
        <v>525</v>
      </c>
      <c r="W4" s="3361"/>
      <c r="X4" s="1568"/>
      <c r="Y4" s="3374" t="s">
        <v>527</v>
      </c>
      <c r="Z4" s="3375"/>
      <c r="AA4" s="3363" t="s">
        <v>523</v>
      </c>
      <c r="AB4" s="3363" t="s">
        <v>524</v>
      </c>
      <c r="AC4" s="3363" t="s">
        <v>525</v>
      </c>
    </row>
    <row r="5" spans="1:29" ht="15">
      <c r="A5" s="515"/>
      <c r="B5" s="516"/>
      <c r="C5" s="3384" t="s">
        <v>2933</v>
      </c>
      <c r="D5" s="3383"/>
      <c r="E5" s="3435" t="s">
        <v>2934</v>
      </c>
      <c r="F5" s="3436"/>
      <c r="G5" s="3384" t="s">
        <v>2935</v>
      </c>
      <c r="H5" s="3383"/>
      <c r="I5" s="3384" t="s">
        <v>2936</v>
      </c>
      <c r="J5" s="3383"/>
      <c r="K5" s="514"/>
      <c r="L5" s="2135"/>
      <c r="M5" s="2136"/>
      <c r="N5" s="2136"/>
      <c r="O5" s="2136"/>
      <c r="P5" s="3480"/>
      <c r="Q5" s="3371"/>
      <c r="R5" s="3376"/>
      <c r="S5" s="3377"/>
      <c r="T5" s="3376"/>
      <c r="U5" s="3377"/>
      <c r="V5" s="3361"/>
      <c r="W5" s="3361"/>
      <c r="X5" s="1568"/>
      <c r="Y5" s="3376"/>
      <c r="Z5" s="3377"/>
      <c r="AA5" s="3364"/>
      <c r="AB5" s="3364"/>
      <c r="AC5" s="3364"/>
    </row>
    <row r="6" spans="1:29" ht="15.75" thickBot="1">
      <c r="A6" s="517"/>
      <c r="B6" s="518"/>
      <c r="C6" s="3432" t="s">
        <v>2937</v>
      </c>
      <c r="D6" s="3381"/>
      <c r="E6" s="3433" t="s">
        <v>2937</v>
      </c>
      <c r="F6" s="3434"/>
      <c r="G6" s="3432" t="s">
        <v>2937</v>
      </c>
      <c r="H6" s="3381"/>
      <c r="I6" s="3432" t="s">
        <v>2937</v>
      </c>
      <c r="J6" s="3381"/>
      <c r="K6" s="514" t="s">
        <v>528</v>
      </c>
      <c r="L6" s="2135"/>
      <c r="M6" s="2136"/>
      <c r="N6" s="2136"/>
      <c r="O6" s="2136"/>
      <c r="P6" s="3481"/>
      <c r="Q6" s="3373"/>
      <c r="R6" s="3376"/>
      <c r="S6" s="3377"/>
      <c r="T6" s="3378"/>
      <c r="U6" s="3379"/>
      <c r="V6" s="3361"/>
      <c r="W6" s="3361"/>
      <c r="X6" s="1568"/>
      <c r="Y6" s="3378"/>
      <c r="Z6" s="3379"/>
      <c r="AA6" s="3365"/>
      <c r="AB6" s="3365"/>
      <c r="AC6" s="3365"/>
    </row>
    <row r="7" spans="1:29" s="1220" customFormat="1" ht="15.75" thickBot="1">
      <c r="A7" s="2938"/>
      <c r="B7" s="2945" t="s">
        <v>529</v>
      </c>
      <c r="C7" s="519">
        <f>'数据-取费表'!B2</f>
        <v>43215</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95" t="s">
        <v>530</v>
      </c>
      <c r="Q7" s="3395"/>
      <c r="R7" s="1569" t="s">
        <v>8</v>
      </c>
      <c r="S7" s="1570">
        <f t="shared" ref="S7:S15" si="0">F7</f>
        <v>0</v>
      </c>
      <c r="T7" s="1569" t="s">
        <v>8</v>
      </c>
      <c r="U7" s="1570">
        <f t="shared" ref="U7:U15" si="1">H7</f>
        <v>0</v>
      </c>
      <c r="V7" s="1569" t="s">
        <v>8</v>
      </c>
      <c r="W7" s="1570">
        <f t="shared" ref="W7:W15" si="2">J7</f>
        <v>0</v>
      </c>
      <c r="X7" s="1571"/>
      <c r="Y7" s="3393" t="s">
        <v>530</v>
      </c>
      <c r="Z7" s="3394"/>
      <c r="AA7" s="1572" t="e">
        <f>D7/F7</f>
        <v>#DIV/0!</v>
      </c>
      <c r="AB7" s="1572" t="e">
        <f>D7/H7</f>
        <v>#DIV/0!</v>
      </c>
      <c r="AC7" s="1572" t="e">
        <f>D7/J7</f>
        <v>#DIV/0!</v>
      </c>
    </row>
    <row r="8" spans="1:29" s="1220" customFormat="1" ht="15.75" thickBot="1">
      <c r="A8" s="2939"/>
      <c r="B8" s="2946" t="s">
        <v>531</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95" t="s">
        <v>533</v>
      </c>
      <c r="Q8" s="3394"/>
      <c r="R8" s="1569" t="s">
        <v>8</v>
      </c>
      <c r="S8" s="1570">
        <f t="shared" si="0"/>
        <v>0</v>
      </c>
      <c r="T8" s="1569" t="s">
        <v>8</v>
      </c>
      <c r="U8" s="1570">
        <f t="shared" si="1"/>
        <v>0</v>
      </c>
      <c r="V8" s="1569" t="s">
        <v>8</v>
      </c>
      <c r="W8" s="1570">
        <f t="shared" si="2"/>
        <v>0</v>
      </c>
      <c r="X8" s="1571"/>
      <c r="Y8" s="3393" t="s">
        <v>533</v>
      </c>
      <c r="Z8" s="3394"/>
      <c r="AA8" s="1572" t="e">
        <f t="shared" ref="AA8:AA47" si="3">D8/F8</f>
        <v>#DIV/0!</v>
      </c>
      <c r="AB8" s="1572" t="e">
        <f t="shared" ref="AB8:AB47" si="4">D8/H8</f>
        <v>#DIV/0!</v>
      </c>
      <c r="AC8" s="1572" t="e">
        <f t="shared" ref="AC8:AC47" si="5">D8/J8</f>
        <v>#DIV/0!</v>
      </c>
    </row>
    <row r="9" spans="1:29" s="1220" customFormat="1" ht="15">
      <c r="A9" s="2940"/>
      <c r="B9" s="2947" t="s">
        <v>2759</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0" t="s">
        <v>535</v>
      </c>
      <c r="Q9" s="1151" t="str">
        <f t="shared" ref="Q9:Q15" si="6">B9</f>
        <v>用途</v>
      </c>
      <c r="R9" s="1569" t="s">
        <v>8</v>
      </c>
      <c r="S9" s="1570">
        <f t="shared" si="0"/>
        <v>100</v>
      </c>
      <c r="T9" s="1569" t="s">
        <v>8</v>
      </c>
      <c r="U9" s="1570">
        <f t="shared" si="1"/>
        <v>100</v>
      </c>
      <c r="V9" s="1569" t="s">
        <v>8</v>
      </c>
      <c r="W9" s="1570">
        <f t="shared" si="2"/>
        <v>100</v>
      </c>
      <c r="X9" s="1571"/>
      <c r="Y9" s="3306" t="s">
        <v>536</v>
      </c>
      <c r="Z9" s="1150" t="str">
        <f t="shared" ref="Z9:Z15" si="7">Q9</f>
        <v>用途</v>
      </c>
      <c r="AA9" s="1572">
        <f t="shared" si="3"/>
        <v>1</v>
      </c>
      <c r="AB9" s="1572">
        <f t="shared" si="4"/>
        <v>1</v>
      </c>
      <c r="AC9" s="1572">
        <f t="shared" si="5"/>
        <v>1</v>
      </c>
    </row>
    <row r="10" spans="1:29" s="1338" customFormat="1" ht="27">
      <c r="A10" s="2941"/>
      <c r="B10" s="2946" t="s">
        <v>2760</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0"/>
      <c r="Q10" s="1151" t="str">
        <f t="shared" si="6"/>
        <v>土地使用年限（年）</v>
      </c>
      <c r="R10" s="1569" t="s">
        <v>8</v>
      </c>
      <c r="S10" s="1570">
        <f t="shared" si="0"/>
        <v>100</v>
      </c>
      <c r="T10" s="1569" t="s">
        <v>8</v>
      </c>
      <c r="U10" s="1570">
        <f t="shared" si="1"/>
        <v>100</v>
      </c>
      <c r="V10" s="1569" t="s">
        <v>8</v>
      </c>
      <c r="W10" s="1570">
        <f t="shared" si="2"/>
        <v>100</v>
      </c>
      <c r="X10" s="1571"/>
      <c r="Y10" s="3306"/>
      <c r="Z10" s="1150" t="str">
        <f t="shared" si="7"/>
        <v>土地使用年限（年）</v>
      </c>
      <c r="AA10" s="1572">
        <f t="shared" si="3"/>
        <v>1</v>
      </c>
      <c r="AB10" s="1572">
        <f t="shared" si="4"/>
        <v>1</v>
      </c>
      <c r="AC10" s="1572">
        <f t="shared" si="5"/>
        <v>1</v>
      </c>
    </row>
    <row r="11" spans="1:29" ht="15">
      <c r="A11" s="2942"/>
      <c r="B11" s="2946"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0"/>
      <c r="Q11" s="1151" t="str">
        <f t="shared" si="6"/>
        <v>容积率</v>
      </c>
      <c r="R11" s="1569" t="s">
        <v>8</v>
      </c>
      <c r="S11" s="1570" t="e">
        <f t="shared" si="0"/>
        <v>#N/A</v>
      </c>
      <c r="T11" s="1569" t="s">
        <v>8</v>
      </c>
      <c r="U11" s="1570" t="e">
        <f t="shared" si="1"/>
        <v>#N/A</v>
      </c>
      <c r="V11" s="1569" t="s">
        <v>8</v>
      </c>
      <c r="W11" s="1570" t="e">
        <f t="shared" si="2"/>
        <v>#N/A</v>
      </c>
      <c r="X11" s="1571"/>
      <c r="Y11" s="330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0"/>
      <c r="Q12" s="1151">
        <f t="shared" si="6"/>
        <v>111</v>
      </c>
      <c r="R12" s="1569" t="s">
        <v>8</v>
      </c>
      <c r="S12" s="1570">
        <f t="shared" si="0"/>
        <v>100</v>
      </c>
      <c r="T12" s="1569" t="s">
        <v>8</v>
      </c>
      <c r="U12" s="1570">
        <f t="shared" si="1"/>
        <v>100</v>
      </c>
      <c r="V12" s="1569" t="s">
        <v>8</v>
      </c>
      <c r="W12" s="1570">
        <f t="shared" si="2"/>
        <v>100</v>
      </c>
      <c r="X12" s="1571"/>
      <c r="Y12" s="3306"/>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0"/>
      <c r="Q13" s="1151">
        <f t="shared" si="6"/>
        <v>111</v>
      </c>
      <c r="R13" s="1569" t="s">
        <v>8</v>
      </c>
      <c r="S13" s="1570">
        <f t="shared" si="0"/>
        <v>100</v>
      </c>
      <c r="T13" s="1569" t="s">
        <v>8</v>
      </c>
      <c r="U13" s="1570">
        <f t="shared" si="1"/>
        <v>100</v>
      </c>
      <c r="V13" s="1569" t="s">
        <v>8</v>
      </c>
      <c r="W13" s="1570">
        <f t="shared" si="2"/>
        <v>100</v>
      </c>
      <c r="X13" s="1571"/>
      <c r="Y13" s="3306"/>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0"/>
      <c r="Q14" s="1151">
        <f t="shared" si="6"/>
        <v>111</v>
      </c>
      <c r="R14" s="1569" t="s">
        <v>8</v>
      </c>
      <c r="S14" s="1570">
        <f t="shared" si="0"/>
        <v>100</v>
      </c>
      <c r="T14" s="1569" t="s">
        <v>8</v>
      </c>
      <c r="U14" s="1570">
        <f t="shared" si="1"/>
        <v>100</v>
      </c>
      <c r="V14" s="1569" t="s">
        <v>8</v>
      </c>
      <c r="W14" s="1570">
        <f t="shared" si="2"/>
        <v>100</v>
      </c>
      <c r="X14" s="1571"/>
      <c r="Y14" s="3306"/>
      <c r="Z14" s="1150">
        <f t="shared" si="7"/>
        <v>111</v>
      </c>
      <c r="AA14" s="1572">
        <f t="shared" si="3"/>
        <v>1</v>
      </c>
      <c r="AB14" s="1572">
        <f t="shared" si="4"/>
        <v>1</v>
      </c>
      <c r="AC14" s="1572">
        <f t="shared" si="5"/>
        <v>1</v>
      </c>
    </row>
    <row r="15" spans="1:29" ht="71.25">
      <c r="A15" s="2936"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96" t="s">
        <v>540</v>
      </c>
      <c r="Q15" s="1573" t="str">
        <f t="shared" si="6"/>
        <v>办公集聚程度</v>
      </c>
      <c r="R15" s="1574" t="s">
        <v>8</v>
      </c>
      <c r="S15" s="1575">
        <f t="shared" si="0"/>
        <v>100</v>
      </c>
      <c r="T15" s="1574" t="s">
        <v>8</v>
      </c>
      <c r="U15" s="1575">
        <f t="shared" si="1"/>
        <v>100</v>
      </c>
      <c r="V15" s="1574" t="s">
        <v>8</v>
      </c>
      <c r="W15" s="1575">
        <f t="shared" si="2"/>
        <v>100</v>
      </c>
      <c r="X15" s="1568"/>
      <c r="Y15" s="339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97"/>
      <c r="Q16" s="1573"/>
      <c r="R16" s="1574"/>
      <c r="S16" s="1575"/>
      <c r="T16" s="1574"/>
      <c r="U16" s="1575"/>
      <c r="V16" s="1574"/>
      <c r="W16" s="1575"/>
      <c r="X16" s="1568"/>
      <c r="Y16" s="339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97"/>
      <c r="Q18" s="1573"/>
      <c r="R18" s="1574"/>
      <c r="S18" s="1575"/>
      <c r="T18" s="1574"/>
      <c r="U18" s="1575"/>
      <c r="V18" s="1574"/>
      <c r="W18" s="1575"/>
      <c r="X18" s="1568"/>
      <c r="Y18" s="3397"/>
      <c r="Z18" s="1576"/>
      <c r="AA18" s="1577">
        <v>1</v>
      </c>
      <c r="AB18" s="1577">
        <v>1</v>
      </c>
      <c r="AC18" s="1577">
        <v>1</v>
      </c>
    </row>
    <row r="19" spans="1:29" ht="42.75">
      <c r="A19" s="532"/>
      <c r="B19" s="2629"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97"/>
      <c r="Q20" s="1573"/>
      <c r="R20" s="1574"/>
      <c r="S20" s="1575"/>
      <c r="T20" s="1574"/>
      <c r="U20" s="1575"/>
      <c r="V20" s="1574"/>
      <c r="W20" s="1575"/>
      <c r="X20" s="1568"/>
      <c r="Y20" s="3397"/>
      <c r="Z20" s="1576"/>
      <c r="AA20" s="1577">
        <v>1</v>
      </c>
      <c r="AB20" s="1577">
        <v>1</v>
      </c>
      <c r="AC20" s="1577">
        <v>1</v>
      </c>
    </row>
    <row r="21" spans="1:29" ht="28.5">
      <c r="A21" s="532"/>
      <c r="B21" s="2617"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97"/>
      <c r="Q21" s="2605" t="str">
        <f>B21</f>
        <v>基础设施水平</v>
      </c>
      <c r="R21" s="1574" t="s">
        <v>8</v>
      </c>
      <c r="S21" s="1575">
        <f>F21</f>
        <v>100</v>
      </c>
      <c r="T21" s="1574" t="s">
        <v>8</v>
      </c>
      <c r="U21" s="1575">
        <f>H21</f>
        <v>100</v>
      </c>
      <c r="V21" s="1574" t="s">
        <v>8</v>
      </c>
      <c r="W21" s="1575">
        <f>J21</f>
        <v>100</v>
      </c>
      <c r="X21" s="2607"/>
      <c r="Y21" s="3397"/>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97"/>
      <c r="Q22" s="2605"/>
      <c r="R22" s="1574"/>
      <c r="S22" s="1575"/>
      <c r="T22" s="1574"/>
      <c r="U22" s="1575"/>
      <c r="V22" s="1574"/>
      <c r="W22" s="1575"/>
      <c r="X22" s="2607"/>
      <c r="Y22" s="3397"/>
      <c r="Z22" s="2606"/>
      <c r="AA22" s="1577">
        <v>1</v>
      </c>
      <c r="AB22" s="1577">
        <v>1</v>
      </c>
      <c r="AC22" s="1577">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97"/>
      <c r="Q24" s="1573"/>
      <c r="R24" s="1574"/>
      <c r="S24" s="1575"/>
      <c r="T24" s="1574"/>
      <c r="U24" s="1575"/>
      <c r="V24" s="1574"/>
      <c r="W24" s="1575"/>
      <c r="X24" s="1568"/>
      <c r="Y24" s="3397"/>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97"/>
      <c r="Q25" s="1573" t="str">
        <f>B25</f>
        <v>毗邻道路的类型与等级</v>
      </c>
      <c r="R25" s="1574" t="s">
        <v>8</v>
      </c>
      <c r="S25" s="1575">
        <f>F25</f>
        <v>100</v>
      </c>
      <c r="T25" s="1574" t="s">
        <v>8</v>
      </c>
      <c r="U25" s="1575">
        <f>H25</f>
        <v>100</v>
      </c>
      <c r="V25" s="1574" t="s">
        <v>8</v>
      </c>
      <c r="W25" s="1575">
        <f>J25</f>
        <v>100</v>
      </c>
      <c r="X25" s="1568"/>
      <c r="Y25" s="339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97"/>
      <c r="Q26" s="1573"/>
      <c r="R26" s="1574"/>
      <c r="S26" s="1575"/>
      <c r="T26" s="1574"/>
      <c r="U26" s="1575"/>
      <c r="V26" s="1574"/>
      <c r="W26" s="1575"/>
      <c r="X26" s="1568"/>
      <c r="Y26" s="3397"/>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7"/>
      <c r="Q27" s="1573" t="str">
        <f t="shared" ref="Q27:Q47" si="11">B27</f>
        <v>楼层</v>
      </c>
      <c r="R27" s="1574" t="s">
        <v>8</v>
      </c>
      <c r="S27" s="1575">
        <f>F27</f>
        <v>100</v>
      </c>
      <c r="T27" s="1574" t="s">
        <v>8</v>
      </c>
      <c r="U27" s="1575">
        <f>H27</f>
        <v>100</v>
      </c>
      <c r="V27" s="1574" t="s">
        <v>8</v>
      </c>
      <c r="W27" s="1575">
        <f>J27</f>
        <v>100</v>
      </c>
      <c r="X27" s="1568"/>
      <c r="Y27" s="3397"/>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7"/>
      <c r="Q28" s="1151" t="str">
        <f t="shared" si="11"/>
        <v>朝向</v>
      </c>
      <c r="R28" s="1569" t="s">
        <v>8</v>
      </c>
      <c r="S28" s="1570">
        <f>F28</f>
        <v>100</v>
      </c>
      <c r="T28" s="1569" t="s">
        <v>8</v>
      </c>
      <c r="U28" s="1570">
        <f>H28</f>
        <v>100</v>
      </c>
      <c r="V28" s="1569" t="s">
        <v>8</v>
      </c>
      <c r="W28" s="1570">
        <f>J28</f>
        <v>100</v>
      </c>
      <c r="X28" s="1571"/>
      <c r="Y28" s="339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7"/>
      <c r="Q29" s="1573">
        <f t="shared" si="11"/>
        <v>111</v>
      </c>
      <c r="R29" s="1574" t="s">
        <v>8</v>
      </c>
      <c r="S29" s="1575">
        <f t="shared" ref="S29:S47" si="12">F29</f>
        <v>100</v>
      </c>
      <c r="T29" s="1574" t="s">
        <v>8</v>
      </c>
      <c r="U29" s="1575">
        <f t="shared" ref="U29:U47" si="13">H29</f>
        <v>100</v>
      </c>
      <c r="V29" s="1574" t="s">
        <v>8</v>
      </c>
      <c r="W29" s="1575">
        <f t="shared" ref="W29:W47" si="14">J29</f>
        <v>100</v>
      </c>
      <c r="X29" s="1568"/>
      <c r="Y29" s="339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7"/>
      <c r="Q32" s="1573">
        <f t="shared" si="11"/>
        <v>111</v>
      </c>
      <c r="R32" s="1574" t="s">
        <v>8</v>
      </c>
      <c r="S32" s="1575">
        <f t="shared" si="12"/>
        <v>100</v>
      </c>
      <c r="T32" s="1574" t="s">
        <v>8</v>
      </c>
      <c r="U32" s="1575">
        <f t="shared" si="13"/>
        <v>100</v>
      </c>
      <c r="V32" s="1574" t="s">
        <v>8</v>
      </c>
      <c r="W32" s="1575">
        <f t="shared" si="14"/>
        <v>100</v>
      </c>
      <c r="X32" s="1568"/>
      <c r="Y32" s="3397"/>
      <c r="Z32" s="1576">
        <f t="shared" si="15"/>
        <v>111</v>
      </c>
      <c r="AA32" s="1577">
        <f t="shared" si="3"/>
        <v>1</v>
      </c>
      <c r="AB32" s="1577">
        <f t="shared" si="4"/>
        <v>1</v>
      </c>
      <c r="AC32" s="1577">
        <f t="shared" si="5"/>
        <v>1</v>
      </c>
    </row>
    <row r="33" spans="1:29" ht="15">
      <c r="A33" s="2933" t="s">
        <v>2758</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8" t="s">
        <v>549</v>
      </c>
      <c r="Q33" s="1573" t="str">
        <f t="shared" si="11"/>
        <v>建筑类型</v>
      </c>
      <c r="R33" s="1574" t="s">
        <v>8</v>
      </c>
      <c r="S33" s="1575">
        <f t="shared" si="12"/>
        <v>100</v>
      </c>
      <c r="T33" s="1574" t="s">
        <v>8</v>
      </c>
      <c r="U33" s="1575">
        <f t="shared" si="13"/>
        <v>100</v>
      </c>
      <c r="V33" s="1574" t="s">
        <v>8</v>
      </c>
      <c r="W33" s="1575">
        <f t="shared" si="14"/>
        <v>100</v>
      </c>
      <c r="X33" s="1568"/>
      <c r="Y33" s="3399"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9"/>
      <c r="Q34" s="1606" t="str">
        <f t="shared" si="11"/>
        <v>项目建筑规模</v>
      </c>
      <c r="R34" s="1578" t="s">
        <v>8</v>
      </c>
      <c r="S34" s="1579" t="e">
        <f t="shared" si="12"/>
        <v>#N/A</v>
      </c>
      <c r="T34" s="1578" t="s">
        <v>8</v>
      </c>
      <c r="U34" s="1579" t="e">
        <f t="shared" si="13"/>
        <v>#N/A</v>
      </c>
      <c r="V34" s="1578" t="s">
        <v>8</v>
      </c>
      <c r="W34" s="1579" t="e">
        <f t="shared" si="14"/>
        <v>#N/A</v>
      </c>
      <c r="X34" s="1580"/>
      <c r="Y34" s="3399"/>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9"/>
      <c r="Q35" s="1573" t="str">
        <f t="shared" si="11"/>
        <v>建筑结构</v>
      </c>
      <c r="R35" s="1574" t="s">
        <v>8</v>
      </c>
      <c r="S35" s="1575">
        <f t="shared" si="12"/>
        <v>100</v>
      </c>
      <c r="T35" s="1574" t="s">
        <v>8</v>
      </c>
      <c r="U35" s="1575">
        <f t="shared" si="13"/>
        <v>100</v>
      </c>
      <c r="V35" s="1574" t="s">
        <v>8</v>
      </c>
      <c r="W35" s="1575">
        <f t="shared" si="14"/>
        <v>100</v>
      </c>
      <c r="X35" s="1568"/>
      <c r="Y35" s="3399"/>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9"/>
      <c r="Q36" s="1573" t="str">
        <f t="shared" si="11"/>
        <v>公共部分装修</v>
      </c>
      <c r="R36" s="1574" t="s">
        <v>8</v>
      </c>
      <c r="S36" s="1575">
        <f t="shared" si="12"/>
        <v>100</v>
      </c>
      <c r="T36" s="1574" t="s">
        <v>8</v>
      </c>
      <c r="U36" s="1575">
        <f t="shared" si="13"/>
        <v>100</v>
      </c>
      <c r="V36" s="1574" t="s">
        <v>8</v>
      </c>
      <c r="W36" s="1575">
        <f t="shared" si="14"/>
        <v>100</v>
      </c>
      <c r="X36" s="1568"/>
      <c r="Y36" s="3399"/>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9"/>
      <c r="Q37" s="1573" t="str">
        <f t="shared" si="11"/>
        <v>成新度</v>
      </c>
      <c r="R37" s="1574" t="s">
        <v>8</v>
      </c>
      <c r="S37" s="1575" t="e">
        <f t="shared" si="12"/>
        <v>#N/A</v>
      </c>
      <c r="T37" s="1574" t="s">
        <v>8</v>
      </c>
      <c r="U37" s="1575" t="e">
        <f t="shared" si="13"/>
        <v>#N/A</v>
      </c>
      <c r="V37" s="1574" t="s">
        <v>8</v>
      </c>
      <c r="W37" s="1575" t="e">
        <f t="shared" si="14"/>
        <v>#N/A</v>
      </c>
      <c r="X37" s="1568"/>
      <c r="Y37" s="3399"/>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9"/>
      <c r="Q38" s="1151" t="str">
        <f t="shared" si="11"/>
        <v>写字楼等级</v>
      </c>
      <c r="R38" s="1569" t="s">
        <v>8</v>
      </c>
      <c r="S38" s="1570">
        <f t="shared" si="12"/>
        <v>100</v>
      </c>
      <c r="T38" s="1569" t="s">
        <v>8</v>
      </c>
      <c r="U38" s="1570">
        <f t="shared" si="13"/>
        <v>100</v>
      </c>
      <c r="V38" s="1569" t="s">
        <v>8</v>
      </c>
      <c r="W38" s="1570">
        <f t="shared" si="14"/>
        <v>100</v>
      </c>
      <c r="X38" s="1571"/>
      <c r="Y38" s="3399"/>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9" t="s">
        <v>549</v>
      </c>
      <c r="Q39" s="1573" t="str">
        <f t="shared" si="11"/>
        <v>物业管理</v>
      </c>
      <c r="R39" s="1574" t="s">
        <v>8</v>
      </c>
      <c r="S39" s="1575">
        <f t="shared" si="12"/>
        <v>100</v>
      </c>
      <c r="T39" s="1574" t="s">
        <v>8</v>
      </c>
      <c r="U39" s="1575">
        <f t="shared" si="13"/>
        <v>100</v>
      </c>
      <c r="V39" s="1574" t="s">
        <v>8</v>
      </c>
      <c r="W39" s="1575">
        <f t="shared" si="14"/>
        <v>100</v>
      </c>
      <c r="X39" s="1568"/>
      <c r="Y39" s="3399" t="s">
        <v>549</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9"/>
      <c r="Q40" s="1573" t="str">
        <f t="shared" si="11"/>
        <v>市政基础设施</v>
      </c>
      <c r="R40" s="1574" t="s">
        <v>8</v>
      </c>
      <c r="S40" s="1575">
        <f t="shared" si="12"/>
        <v>100</v>
      </c>
      <c r="T40" s="1574" t="s">
        <v>8</v>
      </c>
      <c r="U40" s="1575">
        <f t="shared" si="13"/>
        <v>100</v>
      </c>
      <c r="V40" s="1574" t="s">
        <v>8</v>
      </c>
      <c r="W40" s="1575">
        <f t="shared" si="14"/>
        <v>100</v>
      </c>
      <c r="X40" s="1568"/>
      <c r="Y40" s="3399"/>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9"/>
      <c r="Q41" s="1573" t="str">
        <f t="shared" si="11"/>
        <v>层高</v>
      </c>
      <c r="R41" s="1574" t="s">
        <v>8</v>
      </c>
      <c r="S41" s="1575">
        <f t="shared" si="12"/>
        <v>100</v>
      </c>
      <c r="T41" s="1574" t="s">
        <v>8</v>
      </c>
      <c r="U41" s="1575">
        <f t="shared" si="13"/>
        <v>100</v>
      </c>
      <c r="V41" s="1574" t="s">
        <v>8</v>
      </c>
      <c r="W41" s="1575">
        <f t="shared" si="14"/>
        <v>100</v>
      </c>
      <c r="X41" s="1568"/>
      <c r="Y41" s="3399"/>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9"/>
      <c r="Q42" s="1606" t="str">
        <f t="shared" si="11"/>
        <v>单套建筑面积</v>
      </c>
      <c r="R42" s="1578" t="s">
        <v>8</v>
      </c>
      <c r="S42" s="1579">
        <f t="shared" si="12"/>
        <v>100</v>
      </c>
      <c r="T42" s="1578" t="s">
        <v>8</v>
      </c>
      <c r="U42" s="1579">
        <f t="shared" si="13"/>
        <v>100</v>
      </c>
      <c r="V42" s="1578" t="s">
        <v>8</v>
      </c>
      <c r="W42" s="1579">
        <f t="shared" si="14"/>
        <v>100</v>
      </c>
      <c r="X42" s="1580"/>
      <c r="Y42" s="3399"/>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9"/>
      <c r="Q43" s="1573" t="str">
        <f t="shared" si="11"/>
        <v>内部装修</v>
      </c>
      <c r="R43" s="1574" t="s">
        <v>8</v>
      </c>
      <c r="S43" s="1575">
        <f t="shared" si="12"/>
        <v>100</v>
      </c>
      <c r="T43" s="1574" t="s">
        <v>8</v>
      </c>
      <c r="U43" s="1575">
        <f t="shared" si="13"/>
        <v>100</v>
      </c>
      <c r="V43" s="1574" t="s">
        <v>8</v>
      </c>
      <c r="W43" s="1575">
        <f t="shared" si="14"/>
        <v>100</v>
      </c>
      <c r="X43" s="1568"/>
      <c r="Y43" s="3399"/>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9"/>
      <c r="Q44" s="1573" t="str">
        <f t="shared" si="11"/>
        <v>内部装修维护情况</v>
      </c>
      <c r="R44" s="1574" t="s">
        <v>8</v>
      </c>
      <c r="S44" s="1575">
        <f t="shared" si="12"/>
        <v>100</v>
      </c>
      <c r="T44" s="1574" t="s">
        <v>8</v>
      </c>
      <c r="U44" s="1575">
        <f t="shared" si="13"/>
        <v>100</v>
      </c>
      <c r="V44" s="1574" t="s">
        <v>8</v>
      </c>
      <c r="W44" s="1575">
        <f t="shared" si="14"/>
        <v>100</v>
      </c>
      <c r="X44" s="1568"/>
      <c r="Y44" s="339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9"/>
      <c r="Q45" s="1151">
        <f t="shared" si="11"/>
        <v>111</v>
      </c>
      <c r="R45" s="1569" t="s">
        <v>8</v>
      </c>
      <c r="S45" s="1570">
        <f t="shared" si="12"/>
        <v>100</v>
      </c>
      <c r="T45" s="1569" t="s">
        <v>8</v>
      </c>
      <c r="U45" s="1570">
        <f t="shared" si="13"/>
        <v>100</v>
      </c>
      <c r="V45" s="1569" t="s">
        <v>8</v>
      </c>
      <c r="W45" s="1570">
        <f t="shared" si="14"/>
        <v>100</v>
      </c>
      <c r="X45" s="1571"/>
      <c r="Y45" s="339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9"/>
      <c r="Q46" s="1573">
        <f t="shared" si="11"/>
        <v>111</v>
      </c>
      <c r="R46" s="1574" t="s">
        <v>8</v>
      </c>
      <c r="S46" s="1575">
        <f t="shared" si="12"/>
        <v>100</v>
      </c>
      <c r="T46" s="1574" t="s">
        <v>8</v>
      </c>
      <c r="U46" s="1575">
        <f t="shared" si="13"/>
        <v>100</v>
      </c>
      <c r="V46" s="1574" t="s">
        <v>8</v>
      </c>
      <c r="W46" s="1575">
        <f t="shared" si="14"/>
        <v>100</v>
      </c>
      <c r="X46" s="1568"/>
      <c r="Y46" s="339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29"/>
      <c r="Q47" s="1573">
        <f t="shared" si="11"/>
        <v>111</v>
      </c>
      <c r="R47" s="1574" t="s">
        <v>8</v>
      </c>
      <c r="S47" s="1575">
        <f t="shared" si="12"/>
        <v>100</v>
      </c>
      <c r="T47" s="1574" t="s">
        <v>8</v>
      </c>
      <c r="U47" s="1575">
        <f t="shared" si="13"/>
        <v>100</v>
      </c>
      <c r="V47" s="1574" t="s">
        <v>8</v>
      </c>
      <c r="W47" s="1575">
        <f t="shared" si="14"/>
        <v>100</v>
      </c>
      <c r="X47" s="1568"/>
      <c r="Y47" s="3429"/>
      <c r="Z47" s="1576">
        <f t="shared" si="15"/>
        <v>111</v>
      </c>
      <c r="AA47" s="1577">
        <f t="shared" si="3"/>
        <v>1</v>
      </c>
      <c r="AB47" s="1577">
        <f t="shared" si="4"/>
        <v>1</v>
      </c>
      <c r="AC47" s="1577">
        <f t="shared" si="5"/>
        <v>1</v>
      </c>
    </row>
    <row r="48" spans="1:29" ht="15">
      <c r="A48" s="607" t="s">
        <v>735</v>
      </c>
      <c r="B48" s="887"/>
      <c r="C48" s="2653" t="s">
        <v>1</v>
      </c>
      <c r="D48" s="2654"/>
      <c r="E48" s="2655"/>
      <c r="F48" s="2656"/>
      <c r="G48" s="2657"/>
      <c r="H48" s="2658"/>
      <c r="I48" s="2655"/>
      <c r="J48" s="2658"/>
      <c r="K48" s="1612"/>
      <c r="L48" s="2146"/>
      <c r="M48" s="2136"/>
      <c r="N48" s="2136"/>
      <c r="O48" s="2136"/>
      <c r="P48" s="3358" t="str">
        <f>A48</f>
        <v>成交单价（元/平方米）</v>
      </c>
      <c r="Q48" s="3360"/>
      <c r="R48" s="3428">
        <f>E48</f>
        <v>0</v>
      </c>
      <c r="S48" s="3428"/>
      <c r="T48" s="3428">
        <f>G48</f>
        <v>0</v>
      </c>
      <c r="U48" s="3428"/>
      <c r="V48" s="3428">
        <f>I48</f>
        <v>0</v>
      </c>
      <c r="W48" s="3428"/>
      <c r="X48" s="1560"/>
      <c r="Y48" s="1582"/>
      <c r="Z48" s="1560"/>
      <c r="AA48" s="1560"/>
      <c r="AB48" s="1560"/>
      <c r="AC48" s="1560"/>
    </row>
    <row r="49" spans="1:29" ht="15.75" thickBot="1">
      <c r="A49" s="615" t="s">
        <v>2763</v>
      </c>
      <c r="B49" s="888"/>
      <c r="C49" s="2659" t="e">
        <f>R50</f>
        <v>#DIV/0!</v>
      </c>
      <c r="D49" s="2660"/>
      <c r="E49" s="2661" t="e">
        <f>R49</f>
        <v>#DIV/0!</v>
      </c>
      <c r="F49" s="2661"/>
      <c r="G49" s="2659" t="e">
        <f>T49</f>
        <v>#DIV/0!</v>
      </c>
      <c r="H49" s="2660"/>
      <c r="I49" s="2661" t="e">
        <f>V49</f>
        <v>#DIV/0!</v>
      </c>
      <c r="J49" s="2660"/>
      <c r="K49" s="1613"/>
      <c r="L49" s="2146"/>
      <c r="M49" s="2136"/>
      <c r="N49" s="2136"/>
      <c r="O49" s="2136"/>
      <c r="P49" s="3358" t="str">
        <f>A49</f>
        <v>比较价格（元/平方米）</v>
      </c>
      <c r="Q49" s="3360"/>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1560"/>
      <c r="Y49" s="1560"/>
      <c r="Z49" s="1560"/>
      <c r="AA49" s="1560"/>
      <c r="AB49" s="1560"/>
      <c r="AC49" s="1560"/>
    </row>
    <row r="50" spans="1:29" ht="15.75" thickBot="1">
      <c r="A50" s="621" t="s">
        <v>2939</v>
      </c>
      <c r="B50" s="622"/>
      <c r="C50" s="2662" t="e">
        <f>R50</f>
        <v>#DIV/0!</v>
      </c>
      <c r="D50" s="2662"/>
      <c r="E50" s="2662"/>
      <c r="F50" s="2662"/>
      <c r="G50" s="2662"/>
      <c r="H50" s="2662"/>
      <c r="I50" s="2662"/>
      <c r="J50" s="2662"/>
      <c r="K50" s="1614"/>
      <c r="L50" s="2146"/>
      <c r="M50" s="2136"/>
      <c r="N50" s="2136"/>
      <c r="O50" s="2136"/>
      <c r="P50" s="3478" t="str">
        <f>A50</f>
        <v>估价对象XX用房的比较价格（楼面单价，元/平方米）</v>
      </c>
      <c r="Q50" s="3358"/>
      <c r="R50" s="3427" t="e">
        <f>IF(F1="售价",ROUND(AVERAGE(R49:V49),0),ROUND(AVERAGE(R49:V49),1))</f>
        <v>#DIV/0!</v>
      </c>
      <c r="S50" s="3427"/>
      <c r="T50" s="3427"/>
      <c r="U50" s="3427"/>
      <c r="V50" s="3427"/>
      <c r="W50" s="3427"/>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2018-4</v>
      </c>
      <c r="D59" s="2830">
        <f>EDATE(C59,-1)</f>
        <v>43160</v>
      </c>
      <c r="E59" s="2830">
        <f t="shared" ref="E59:O59" si="16">EDATE(D59,-1)</f>
        <v>43132</v>
      </c>
      <c r="F59" s="2830">
        <f t="shared" si="16"/>
        <v>43101</v>
      </c>
      <c r="G59" s="2830">
        <f t="shared" si="16"/>
        <v>43070</v>
      </c>
      <c r="H59" s="2830">
        <f t="shared" si="16"/>
        <v>43040</v>
      </c>
      <c r="I59" s="2830">
        <f t="shared" si="16"/>
        <v>43009</v>
      </c>
      <c r="J59" s="2830">
        <f t="shared" si="16"/>
        <v>42979</v>
      </c>
      <c r="K59" s="2830">
        <f t="shared" si="16"/>
        <v>42948</v>
      </c>
      <c r="L59" s="2830">
        <f t="shared" si="16"/>
        <v>42917</v>
      </c>
      <c r="M59" s="2830">
        <f t="shared" si="16"/>
        <v>42887</v>
      </c>
      <c r="N59" s="2830">
        <f t="shared" si="16"/>
        <v>42856</v>
      </c>
      <c r="O59" s="2830">
        <f t="shared" si="16"/>
        <v>42826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2560</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2561</v>
      </c>
      <c r="C83" s="2624" t="s">
        <v>2562</v>
      </c>
      <c r="D83" s="2624" t="s">
        <v>2563</v>
      </c>
      <c r="E83" s="2624" t="s">
        <v>2564</v>
      </c>
      <c r="F83" s="2624" t="s">
        <v>2565</v>
      </c>
      <c r="G83" s="2624" t="s">
        <v>2566</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2559</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33"/>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66" t="s">
        <v>522</v>
      </c>
      <c r="D4" s="3367"/>
      <c r="E4" s="3430" t="s">
        <v>523</v>
      </c>
      <c r="F4" s="3431"/>
      <c r="G4" s="3366" t="s">
        <v>524</v>
      </c>
      <c r="H4" s="3367"/>
      <c r="I4" s="3366" t="s">
        <v>525</v>
      </c>
      <c r="J4" s="3367"/>
      <c r="K4" s="514" t="s">
        <v>526</v>
      </c>
      <c r="L4" s="2135"/>
      <c r="M4" s="2136"/>
      <c r="N4" s="2136"/>
      <c r="O4" s="2136"/>
      <c r="P4" s="3368" t="s">
        <v>527</v>
      </c>
      <c r="Q4" s="3369"/>
      <c r="R4" s="3374" t="s">
        <v>523</v>
      </c>
      <c r="S4" s="3375"/>
      <c r="T4" s="3374" t="s">
        <v>524</v>
      </c>
      <c r="U4" s="3375"/>
      <c r="V4" s="3361" t="s">
        <v>525</v>
      </c>
      <c r="W4" s="3361"/>
      <c r="X4" s="1568"/>
      <c r="Y4" s="3374" t="s">
        <v>527</v>
      </c>
      <c r="Z4" s="3375"/>
      <c r="AA4" s="3363" t="s">
        <v>523</v>
      </c>
      <c r="AB4" s="3364" t="s">
        <v>524</v>
      </c>
      <c r="AC4" s="3363" t="s">
        <v>525</v>
      </c>
    </row>
    <row r="5" spans="1:29" ht="15">
      <c r="A5" s="515"/>
      <c r="B5" s="516"/>
      <c r="C5" s="3384" t="s">
        <v>2933</v>
      </c>
      <c r="D5" s="3383"/>
      <c r="E5" s="3435" t="s">
        <v>2934</v>
      </c>
      <c r="F5" s="3436"/>
      <c r="G5" s="3384" t="s">
        <v>2935</v>
      </c>
      <c r="H5" s="3383"/>
      <c r="I5" s="3384" t="s">
        <v>2936</v>
      </c>
      <c r="J5" s="3383"/>
      <c r="K5" s="514"/>
      <c r="L5" s="2135"/>
      <c r="M5" s="2136"/>
      <c r="N5" s="2136"/>
      <c r="O5" s="2136"/>
      <c r="P5" s="3370"/>
      <c r="Q5" s="3371"/>
      <c r="R5" s="3376"/>
      <c r="S5" s="3377"/>
      <c r="T5" s="3376"/>
      <c r="U5" s="3377"/>
      <c r="V5" s="3361"/>
      <c r="W5" s="3361"/>
      <c r="X5" s="1568"/>
      <c r="Y5" s="3376"/>
      <c r="Z5" s="3377"/>
      <c r="AA5" s="3364"/>
      <c r="AB5" s="3364"/>
      <c r="AC5" s="3364"/>
    </row>
    <row r="6" spans="1:29" ht="15.75" thickBot="1">
      <c r="A6" s="517"/>
      <c r="B6" s="518"/>
      <c r="C6" s="3432" t="s">
        <v>2937</v>
      </c>
      <c r="D6" s="3381"/>
      <c r="E6" s="3433" t="s">
        <v>2937</v>
      </c>
      <c r="F6" s="3434"/>
      <c r="G6" s="3432" t="s">
        <v>2937</v>
      </c>
      <c r="H6" s="3381"/>
      <c r="I6" s="3432" t="s">
        <v>2937</v>
      </c>
      <c r="J6" s="3381"/>
      <c r="K6" s="514" t="s">
        <v>528</v>
      </c>
      <c r="L6" s="2135"/>
      <c r="M6" s="2136"/>
      <c r="N6" s="2136"/>
      <c r="O6" s="2136"/>
      <c r="P6" s="3372"/>
      <c r="Q6" s="3373"/>
      <c r="R6" s="3376"/>
      <c r="S6" s="3377"/>
      <c r="T6" s="3378"/>
      <c r="U6" s="3379"/>
      <c r="V6" s="3361"/>
      <c r="W6" s="3361"/>
      <c r="X6" s="1568"/>
      <c r="Y6" s="3378"/>
      <c r="Z6" s="3379"/>
      <c r="AA6" s="3365"/>
      <c r="AB6" s="3365"/>
      <c r="AC6" s="3365"/>
    </row>
    <row r="7" spans="1:29" s="1220" customFormat="1" ht="15.75" thickBot="1">
      <c r="A7" s="2938"/>
      <c r="B7" s="2945" t="s">
        <v>529</v>
      </c>
      <c r="C7" s="519">
        <f>'数据-取费表'!B2</f>
        <v>43215</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3" t="s">
        <v>530</v>
      </c>
      <c r="Q7" s="3395"/>
      <c r="R7" s="1569" t="s">
        <v>8</v>
      </c>
      <c r="S7" s="1570">
        <f t="shared" ref="S7:S15" si="0">F7</f>
        <v>0</v>
      </c>
      <c r="T7" s="1569" t="s">
        <v>8</v>
      </c>
      <c r="U7" s="1570">
        <f t="shared" ref="U7:U15" si="1">H7</f>
        <v>0</v>
      </c>
      <c r="V7" s="1569" t="s">
        <v>8</v>
      </c>
      <c r="W7" s="1570">
        <f t="shared" ref="W7:W15" si="2">J7</f>
        <v>0</v>
      </c>
      <c r="X7" s="1571"/>
      <c r="Y7" s="3393" t="s">
        <v>530</v>
      </c>
      <c r="Z7" s="3394"/>
      <c r="AA7" s="1572" t="e">
        <f>D7/F7</f>
        <v>#DIV/0!</v>
      </c>
      <c r="AB7" s="1572" t="e">
        <f>D7/H7</f>
        <v>#DIV/0!</v>
      </c>
      <c r="AC7" s="1572" t="e">
        <f>D7/J7</f>
        <v>#DIV/0!</v>
      </c>
    </row>
    <row r="8" spans="1:29" s="1220" customFormat="1" ht="15.75" thickBot="1">
      <c r="A8" s="2939"/>
      <c r="B8" s="2946" t="s">
        <v>531</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3" t="s">
        <v>533</v>
      </c>
      <c r="Q8" s="3394"/>
      <c r="R8" s="1569" t="s">
        <v>8</v>
      </c>
      <c r="S8" s="1570">
        <f t="shared" si="0"/>
        <v>0</v>
      </c>
      <c r="T8" s="1569" t="s">
        <v>8</v>
      </c>
      <c r="U8" s="1570">
        <f t="shared" si="1"/>
        <v>0</v>
      </c>
      <c r="V8" s="1569" t="s">
        <v>8</v>
      </c>
      <c r="W8" s="1570">
        <f t="shared" si="2"/>
        <v>0</v>
      </c>
      <c r="X8" s="1571"/>
      <c r="Y8" s="3393" t="s">
        <v>533</v>
      </c>
      <c r="Z8" s="3394"/>
      <c r="AA8" s="1572" t="e">
        <f t="shared" ref="AA8:AA40" si="3">D8/F8</f>
        <v>#DIV/0!</v>
      </c>
      <c r="AB8" s="1572" t="e">
        <f t="shared" ref="AB8:AB40" si="4">D8/H8</f>
        <v>#DIV/0!</v>
      </c>
      <c r="AC8" s="1572" t="e">
        <f t="shared" ref="AC8:AC40" si="5">D8/J8</f>
        <v>#DIV/0!</v>
      </c>
    </row>
    <row r="9" spans="1:29" s="1220" customFormat="1" ht="15">
      <c r="A9" s="2940"/>
      <c r="B9" s="2947" t="s">
        <v>2759</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0" t="s">
        <v>535</v>
      </c>
      <c r="Q9" s="1151" t="str">
        <f t="shared" ref="Q9:Q15" si="6">B9</f>
        <v>用途</v>
      </c>
      <c r="R9" s="1569" t="s">
        <v>8</v>
      </c>
      <c r="S9" s="1570">
        <f t="shared" si="0"/>
        <v>100</v>
      </c>
      <c r="T9" s="1569" t="s">
        <v>8</v>
      </c>
      <c r="U9" s="1570">
        <f t="shared" si="1"/>
        <v>100</v>
      </c>
      <c r="V9" s="1569" t="s">
        <v>8</v>
      </c>
      <c r="W9" s="1570">
        <f t="shared" si="2"/>
        <v>100</v>
      </c>
      <c r="X9" s="1571"/>
      <c r="Y9" s="3306" t="s">
        <v>536</v>
      </c>
      <c r="Z9" s="1150" t="str">
        <f t="shared" ref="Z9:Z15" si="7">Q9</f>
        <v>用途</v>
      </c>
      <c r="AA9" s="1572">
        <f t="shared" si="3"/>
        <v>1</v>
      </c>
      <c r="AB9" s="1572">
        <f t="shared" si="4"/>
        <v>1</v>
      </c>
      <c r="AC9" s="1572">
        <f t="shared" si="5"/>
        <v>1</v>
      </c>
    </row>
    <row r="10" spans="1:29" s="1338" customFormat="1" ht="27">
      <c r="A10" s="2941"/>
      <c r="B10" s="2946" t="s">
        <v>2760</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0"/>
      <c r="Q10" s="1151" t="str">
        <f t="shared" si="6"/>
        <v>土地使用年限（年）</v>
      </c>
      <c r="R10" s="1569" t="s">
        <v>8</v>
      </c>
      <c r="S10" s="1570">
        <f t="shared" si="0"/>
        <v>100</v>
      </c>
      <c r="T10" s="1569" t="s">
        <v>8</v>
      </c>
      <c r="U10" s="1570">
        <f t="shared" si="1"/>
        <v>100</v>
      </c>
      <c r="V10" s="1569" t="s">
        <v>8</v>
      </c>
      <c r="W10" s="1570">
        <f t="shared" si="2"/>
        <v>100</v>
      </c>
      <c r="X10" s="1571"/>
      <c r="Y10" s="3306"/>
      <c r="Z10" s="1150" t="str">
        <f t="shared" si="7"/>
        <v>土地使用年限（年）</v>
      </c>
      <c r="AA10" s="1572">
        <f t="shared" si="3"/>
        <v>1</v>
      </c>
      <c r="AB10" s="1572">
        <f t="shared" si="4"/>
        <v>1</v>
      </c>
      <c r="AC10" s="1572">
        <f t="shared" si="5"/>
        <v>1</v>
      </c>
    </row>
    <row r="11" spans="1:29" ht="15">
      <c r="A11" s="2942"/>
      <c r="B11" s="2946"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0"/>
      <c r="Q11" s="1151" t="str">
        <f t="shared" si="6"/>
        <v>容积率</v>
      </c>
      <c r="R11" s="1569" t="s">
        <v>8</v>
      </c>
      <c r="S11" s="1570" t="e">
        <f t="shared" si="0"/>
        <v>#N/A</v>
      </c>
      <c r="T11" s="1569" t="s">
        <v>8</v>
      </c>
      <c r="U11" s="1570" t="e">
        <f t="shared" si="1"/>
        <v>#N/A</v>
      </c>
      <c r="V11" s="1569" t="s">
        <v>8</v>
      </c>
      <c r="W11" s="1570" t="e">
        <f t="shared" si="2"/>
        <v>#N/A</v>
      </c>
      <c r="X11" s="1571"/>
      <c r="Y11" s="330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0"/>
      <c r="Q12" s="1151">
        <f t="shared" si="6"/>
        <v>111</v>
      </c>
      <c r="R12" s="1569" t="s">
        <v>8</v>
      </c>
      <c r="S12" s="1570">
        <f t="shared" si="0"/>
        <v>100</v>
      </c>
      <c r="T12" s="1569" t="s">
        <v>8</v>
      </c>
      <c r="U12" s="1570">
        <f t="shared" si="1"/>
        <v>100</v>
      </c>
      <c r="V12" s="1569" t="s">
        <v>8</v>
      </c>
      <c r="W12" s="1570">
        <f t="shared" si="2"/>
        <v>100</v>
      </c>
      <c r="X12" s="1571"/>
      <c r="Y12" s="3306"/>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0"/>
      <c r="Q13" s="1151">
        <f t="shared" si="6"/>
        <v>111</v>
      </c>
      <c r="R13" s="1569" t="s">
        <v>8</v>
      </c>
      <c r="S13" s="1570">
        <f t="shared" si="0"/>
        <v>100</v>
      </c>
      <c r="T13" s="1569" t="s">
        <v>8</v>
      </c>
      <c r="U13" s="1570">
        <f t="shared" si="1"/>
        <v>100</v>
      </c>
      <c r="V13" s="1569" t="s">
        <v>8</v>
      </c>
      <c r="W13" s="1570">
        <f t="shared" si="2"/>
        <v>100</v>
      </c>
      <c r="X13" s="1571"/>
      <c r="Y13" s="3306"/>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0"/>
      <c r="Q14" s="1151">
        <f t="shared" si="6"/>
        <v>111</v>
      </c>
      <c r="R14" s="1569" t="s">
        <v>8</v>
      </c>
      <c r="S14" s="1570">
        <f t="shared" si="0"/>
        <v>100</v>
      </c>
      <c r="T14" s="1569" t="s">
        <v>8</v>
      </c>
      <c r="U14" s="1570">
        <f t="shared" si="1"/>
        <v>100</v>
      </c>
      <c r="V14" s="1569" t="s">
        <v>8</v>
      </c>
      <c r="W14" s="1570">
        <f t="shared" si="2"/>
        <v>100</v>
      </c>
      <c r="X14" s="1571"/>
      <c r="Y14" s="3306"/>
      <c r="Z14" s="1150">
        <f t="shared" si="7"/>
        <v>111</v>
      </c>
      <c r="AA14" s="1572">
        <f t="shared" si="3"/>
        <v>1</v>
      </c>
      <c r="AB14" s="1572">
        <f t="shared" si="4"/>
        <v>1</v>
      </c>
      <c r="AC14" s="1572">
        <f t="shared" si="5"/>
        <v>1</v>
      </c>
    </row>
    <row r="15" spans="1:29" ht="57">
      <c r="A15" s="2936" t="s">
        <v>2757</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96" t="s">
        <v>540</v>
      </c>
      <c r="Q15" s="1573" t="str">
        <f t="shared" si="6"/>
        <v>产业集聚程度</v>
      </c>
      <c r="R15" s="1574" t="s">
        <v>8</v>
      </c>
      <c r="S15" s="1575">
        <f t="shared" si="0"/>
        <v>100</v>
      </c>
      <c r="T15" s="1574" t="s">
        <v>8</v>
      </c>
      <c r="U15" s="1575">
        <f t="shared" si="1"/>
        <v>100</v>
      </c>
      <c r="V15" s="1574" t="s">
        <v>8</v>
      </c>
      <c r="W15" s="1575">
        <f t="shared" si="2"/>
        <v>100</v>
      </c>
      <c r="X15" s="1568"/>
      <c r="Y15" s="339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7"/>
      <c r="Q16" s="1573"/>
      <c r="R16" s="1574"/>
      <c r="S16" s="1575"/>
      <c r="T16" s="1574"/>
      <c r="U16" s="1575"/>
      <c r="V16" s="1574"/>
      <c r="W16" s="1575"/>
      <c r="X16" s="1568"/>
      <c r="Y16" s="339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7"/>
      <c r="Q18" s="1573"/>
      <c r="R18" s="1574"/>
      <c r="S18" s="1575"/>
      <c r="T18" s="1574"/>
      <c r="U18" s="1575"/>
      <c r="V18" s="1574"/>
      <c r="W18" s="1575"/>
      <c r="X18" s="1568"/>
      <c r="Y18" s="3397"/>
      <c r="Z18" s="1576"/>
      <c r="AA18" s="1577">
        <v>1</v>
      </c>
      <c r="AB18" s="1577">
        <v>1</v>
      </c>
      <c r="AC18" s="1577">
        <v>1</v>
      </c>
    </row>
    <row r="19" spans="1:29" ht="42.75">
      <c r="A19" s="532"/>
      <c r="B19" s="2629"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7"/>
      <c r="Q20" s="1573"/>
      <c r="R20" s="1574"/>
      <c r="S20" s="1575"/>
      <c r="T20" s="1574"/>
      <c r="U20" s="1575"/>
      <c r="V20" s="1574"/>
      <c r="W20" s="1575"/>
      <c r="X20" s="1568"/>
      <c r="Y20" s="3397"/>
      <c r="Z20" s="1576"/>
      <c r="AA20" s="1577">
        <v>1</v>
      </c>
      <c r="AB20" s="1577">
        <v>1</v>
      </c>
      <c r="AC20" s="1577">
        <v>1</v>
      </c>
    </row>
    <row r="21" spans="1:29" ht="28.5">
      <c r="A21" s="532"/>
      <c r="B21" s="2617"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7"/>
      <c r="Q21" s="2605" t="str">
        <f>B21</f>
        <v>基础设施水平</v>
      </c>
      <c r="R21" s="1574" t="s">
        <v>8</v>
      </c>
      <c r="S21" s="1575">
        <f>F21</f>
        <v>100</v>
      </c>
      <c r="T21" s="1574" t="s">
        <v>8</v>
      </c>
      <c r="U21" s="1575">
        <f>H21</f>
        <v>100</v>
      </c>
      <c r="V21" s="1574" t="s">
        <v>8</v>
      </c>
      <c r="W21" s="1575">
        <f>J21</f>
        <v>100</v>
      </c>
      <c r="X21" s="2607"/>
      <c r="Y21" s="3397"/>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97"/>
      <c r="Q22" s="2605"/>
      <c r="R22" s="1574"/>
      <c r="S22" s="1575"/>
      <c r="T22" s="1574"/>
      <c r="U22" s="1575"/>
      <c r="V22" s="1574"/>
      <c r="W22" s="1575"/>
      <c r="X22" s="2607"/>
      <c r="Y22" s="3397"/>
      <c r="Z22" s="2606"/>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7"/>
      <c r="Q24" s="1573"/>
      <c r="R24" s="1574"/>
      <c r="S24" s="1575"/>
      <c r="T24" s="1574"/>
      <c r="U24" s="1575"/>
      <c r="V24" s="1574"/>
      <c r="W24" s="1575"/>
      <c r="X24" s="1568"/>
      <c r="Y24" s="339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7"/>
      <c r="Q25" s="1573">
        <f>B25</f>
        <v>111</v>
      </c>
      <c r="R25" s="1574" t="s">
        <v>8</v>
      </c>
      <c r="S25" s="1575">
        <f>F25</f>
        <v>100</v>
      </c>
      <c r="T25" s="1574" t="s">
        <v>8</v>
      </c>
      <c r="U25" s="1575">
        <f>H25</f>
        <v>100</v>
      </c>
      <c r="V25" s="1574" t="s">
        <v>8</v>
      </c>
      <c r="W25" s="1575">
        <f>J25</f>
        <v>100</v>
      </c>
      <c r="X25" s="1568"/>
      <c r="Y25" s="339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7"/>
      <c r="Q26" s="1573">
        <f t="shared" ref="Q26:Q40" si="11">B26</f>
        <v>111</v>
      </c>
      <c r="R26" s="1574" t="s">
        <v>8</v>
      </c>
      <c r="S26" s="1575">
        <f>F26</f>
        <v>100</v>
      </c>
      <c r="T26" s="1574" t="s">
        <v>8</v>
      </c>
      <c r="U26" s="1575">
        <f>H26</f>
        <v>100</v>
      </c>
      <c r="V26" s="1574" t="s">
        <v>8</v>
      </c>
      <c r="W26" s="1575">
        <f>J26</f>
        <v>100</v>
      </c>
      <c r="X26" s="1568"/>
      <c r="Y26" s="339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7"/>
      <c r="Q27" s="1151">
        <f t="shared" si="11"/>
        <v>111</v>
      </c>
      <c r="R27" s="1569" t="s">
        <v>8</v>
      </c>
      <c r="S27" s="1570">
        <f>F27</f>
        <v>100</v>
      </c>
      <c r="T27" s="1569" t="s">
        <v>8</v>
      </c>
      <c r="U27" s="1570">
        <f>H27</f>
        <v>100</v>
      </c>
      <c r="V27" s="1569" t="s">
        <v>8</v>
      </c>
      <c r="W27" s="1570">
        <f>J27</f>
        <v>100</v>
      </c>
      <c r="X27" s="1571"/>
      <c r="Y27" s="339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7"/>
      <c r="Q28" s="1573">
        <f t="shared" si="11"/>
        <v>111</v>
      </c>
      <c r="R28" s="1574" t="s">
        <v>8</v>
      </c>
      <c r="S28" s="1575">
        <f t="shared" ref="S28:S40" si="12">F28</f>
        <v>100</v>
      </c>
      <c r="T28" s="1574" t="s">
        <v>8</v>
      </c>
      <c r="U28" s="1575">
        <f t="shared" ref="U28:U40" si="13">H28</f>
        <v>100</v>
      </c>
      <c r="V28" s="1574" t="s">
        <v>8</v>
      </c>
      <c r="W28" s="1575">
        <f t="shared" ref="W28:W40" si="14">J28</f>
        <v>100</v>
      </c>
      <c r="X28" s="1568"/>
      <c r="Y28" s="3397"/>
      <c r="Z28" s="1576">
        <f t="shared" ref="Z28:Z40" si="15">Q28</f>
        <v>111</v>
      </c>
      <c r="AA28" s="1577">
        <f t="shared" si="3"/>
        <v>1</v>
      </c>
      <c r="AB28" s="1577">
        <f t="shared" si="4"/>
        <v>1</v>
      </c>
      <c r="AC28" s="1577">
        <f t="shared" si="5"/>
        <v>1</v>
      </c>
    </row>
    <row r="29" spans="1:29" ht="15">
      <c r="A29" s="2933" t="s">
        <v>2758</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8" t="s">
        <v>549</v>
      </c>
      <c r="Q29" s="1573" t="str">
        <f t="shared" si="11"/>
        <v>建筑类型</v>
      </c>
      <c r="R29" s="1574" t="s">
        <v>8</v>
      </c>
      <c r="S29" s="1575">
        <f t="shared" si="12"/>
        <v>100</v>
      </c>
      <c r="T29" s="1574" t="s">
        <v>8</v>
      </c>
      <c r="U29" s="1575">
        <f t="shared" si="13"/>
        <v>100</v>
      </c>
      <c r="V29" s="1574" t="s">
        <v>8</v>
      </c>
      <c r="W29" s="1575">
        <f t="shared" si="14"/>
        <v>100</v>
      </c>
      <c r="X29" s="1568"/>
      <c r="Y29" s="3399"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9"/>
      <c r="Q30" s="1606" t="str">
        <f t="shared" si="11"/>
        <v>项目建筑规模</v>
      </c>
      <c r="R30" s="1578" t="s">
        <v>8</v>
      </c>
      <c r="S30" s="1579" t="e">
        <f t="shared" si="12"/>
        <v>#N/A</v>
      </c>
      <c r="T30" s="1578" t="s">
        <v>8</v>
      </c>
      <c r="U30" s="1579" t="e">
        <f t="shared" si="13"/>
        <v>#N/A</v>
      </c>
      <c r="V30" s="1578" t="s">
        <v>8</v>
      </c>
      <c r="W30" s="1579" t="e">
        <f t="shared" si="14"/>
        <v>#N/A</v>
      </c>
      <c r="X30" s="1580"/>
      <c r="Y30" s="3399"/>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9"/>
      <c r="Q31" s="1573" t="str">
        <f t="shared" si="11"/>
        <v>建筑结构</v>
      </c>
      <c r="R31" s="1574" t="s">
        <v>8</v>
      </c>
      <c r="S31" s="1575">
        <f t="shared" si="12"/>
        <v>100</v>
      </c>
      <c r="T31" s="1574" t="s">
        <v>8</v>
      </c>
      <c r="U31" s="1575">
        <f t="shared" si="13"/>
        <v>100</v>
      </c>
      <c r="V31" s="1574" t="s">
        <v>8</v>
      </c>
      <c r="W31" s="1575">
        <f t="shared" si="14"/>
        <v>100</v>
      </c>
      <c r="X31" s="1568"/>
      <c r="Y31" s="3399"/>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9"/>
      <c r="Q32" s="1573" t="str">
        <f t="shared" si="11"/>
        <v>公共部分装修</v>
      </c>
      <c r="R32" s="1574" t="s">
        <v>8</v>
      </c>
      <c r="S32" s="1575">
        <f t="shared" si="12"/>
        <v>100</v>
      </c>
      <c r="T32" s="1574" t="s">
        <v>8</v>
      </c>
      <c r="U32" s="1575">
        <f t="shared" si="13"/>
        <v>100</v>
      </c>
      <c r="V32" s="1574" t="s">
        <v>8</v>
      </c>
      <c r="W32" s="1575">
        <f t="shared" si="14"/>
        <v>100</v>
      </c>
      <c r="X32" s="1568"/>
      <c r="Y32" s="3399"/>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9"/>
      <c r="Q33" s="1573" t="str">
        <f t="shared" si="11"/>
        <v>成新度</v>
      </c>
      <c r="R33" s="1574" t="s">
        <v>8</v>
      </c>
      <c r="S33" s="1575" t="e">
        <f t="shared" si="12"/>
        <v>#N/A</v>
      </c>
      <c r="T33" s="1574" t="s">
        <v>8</v>
      </c>
      <c r="U33" s="1575" t="e">
        <f t="shared" si="13"/>
        <v>#N/A</v>
      </c>
      <c r="V33" s="1574" t="s">
        <v>8</v>
      </c>
      <c r="W33" s="1575" t="e">
        <f t="shared" si="14"/>
        <v>#N/A</v>
      </c>
      <c r="X33" s="1568"/>
      <c r="Y33" s="3399"/>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9"/>
      <c r="Q34" s="1151" t="str">
        <f t="shared" si="11"/>
        <v>物业管理</v>
      </c>
      <c r="R34" s="1569" t="s">
        <v>8</v>
      </c>
      <c r="S34" s="1570">
        <f t="shared" si="12"/>
        <v>100</v>
      </c>
      <c r="T34" s="1569" t="s">
        <v>8</v>
      </c>
      <c r="U34" s="1570">
        <f t="shared" si="13"/>
        <v>100</v>
      </c>
      <c r="V34" s="1569" t="s">
        <v>8</v>
      </c>
      <c r="W34" s="1570">
        <f t="shared" si="14"/>
        <v>100</v>
      </c>
      <c r="X34" s="1571"/>
      <c r="Y34" s="3399"/>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9" t="s">
        <v>549</v>
      </c>
      <c r="Q35" s="1573" t="str">
        <f t="shared" si="11"/>
        <v>市政基础设施</v>
      </c>
      <c r="R35" s="1574" t="s">
        <v>8</v>
      </c>
      <c r="S35" s="1575">
        <f t="shared" si="12"/>
        <v>100</v>
      </c>
      <c r="T35" s="1574" t="s">
        <v>8</v>
      </c>
      <c r="U35" s="1575">
        <f t="shared" si="13"/>
        <v>100</v>
      </c>
      <c r="V35" s="1574" t="s">
        <v>8</v>
      </c>
      <c r="W35" s="1575">
        <f t="shared" si="14"/>
        <v>100</v>
      </c>
      <c r="X35" s="1568"/>
      <c r="Y35" s="3399"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9"/>
      <c r="Q36" s="1573" t="str">
        <f t="shared" si="11"/>
        <v>内部装修</v>
      </c>
      <c r="R36" s="1574" t="s">
        <v>8</v>
      </c>
      <c r="S36" s="1575">
        <f t="shared" si="12"/>
        <v>100</v>
      </c>
      <c r="T36" s="1574" t="s">
        <v>8</v>
      </c>
      <c r="U36" s="1575">
        <f t="shared" si="13"/>
        <v>100</v>
      </c>
      <c r="V36" s="1574" t="s">
        <v>8</v>
      </c>
      <c r="W36" s="1575">
        <f t="shared" si="14"/>
        <v>100</v>
      </c>
      <c r="X36" s="1568"/>
      <c r="Y36" s="3399"/>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9"/>
      <c r="Q37" s="1573" t="str">
        <f t="shared" si="11"/>
        <v>内部装修状况</v>
      </c>
      <c r="R37" s="1574" t="s">
        <v>8</v>
      </c>
      <c r="S37" s="1575">
        <f t="shared" si="12"/>
        <v>100</v>
      </c>
      <c r="T37" s="1574" t="s">
        <v>8</v>
      </c>
      <c r="U37" s="1575">
        <f t="shared" si="13"/>
        <v>100</v>
      </c>
      <c r="V37" s="1574" t="s">
        <v>8</v>
      </c>
      <c r="W37" s="1575">
        <f t="shared" si="14"/>
        <v>100</v>
      </c>
      <c r="X37" s="1568"/>
      <c r="Y37" s="339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9"/>
      <c r="Q38" s="1606">
        <f t="shared" si="11"/>
        <v>111</v>
      </c>
      <c r="R38" s="1578" t="s">
        <v>8</v>
      </c>
      <c r="S38" s="1579">
        <f t="shared" si="12"/>
        <v>100</v>
      </c>
      <c r="T38" s="1578" t="s">
        <v>8</v>
      </c>
      <c r="U38" s="1579">
        <f t="shared" si="13"/>
        <v>100</v>
      </c>
      <c r="V38" s="1578" t="s">
        <v>8</v>
      </c>
      <c r="W38" s="1579">
        <f t="shared" si="14"/>
        <v>100</v>
      </c>
      <c r="X38" s="1580"/>
      <c r="Y38" s="339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9"/>
      <c r="Q39" s="1573">
        <f t="shared" si="11"/>
        <v>111</v>
      </c>
      <c r="R39" s="1574" t="s">
        <v>8</v>
      </c>
      <c r="S39" s="1575">
        <f t="shared" si="12"/>
        <v>100</v>
      </c>
      <c r="T39" s="1574" t="s">
        <v>8</v>
      </c>
      <c r="U39" s="1575">
        <f t="shared" si="13"/>
        <v>100</v>
      </c>
      <c r="V39" s="1574" t="s">
        <v>8</v>
      </c>
      <c r="W39" s="1575">
        <f t="shared" si="14"/>
        <v>100</v>
      </c>
      <c r="X39" s="1568"/>
      <c r="Y39" s="339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29"/>
      <c r="Q40" s="1573">
        <f t="shared" si="11"/>
        <v>111</v>
      </c>
      <c r="R40" s="1574" t="s">
        <v>8</v>
      </c>
      <c r="S40" s="1575">
        <f t="shared" si="12"/>
        <v>100</v>
      </c>
      <c r="T40" s="1574" t="s">
        <v>8</v>
      </c>
      <c r="U40" s="1575">
        <f t="shared" si="13"/>
        <v>100</v>
      </c>
      <c r="V40" s="1574" t="s">
        <v>8</v>
      </c>
      <c r="W40" s="1575">
        <f t="shared" si="14"/>
        <v>100</v>
      </c>
      <c r="X40" s="1568"/>
      <c r="Y40" s="3429"/>
      <c r="Z40" s="1576">
        <f t="shared" si="15"/>
        <v>111</v>
      </c>
      <c r="AA40" s="1577">
        <f t="shared" si="3"/>
        <v>1</v>
      </c>
      <c r="AB40" s="1577">
        <f t="shared" si="4"/>
        <v>1</v>
      </c>
      <c r="AC40" s="1577">
        <f t="shared" si="5"/>
        <v>1</v>
      </c>
    </row>
    <row r="41" spans="1:29" ht="15">
      <c r="A41" s="607" t="s">
        <v>735</v>
      </c>
      <c r="B41" s="887"/>
      <c r="C41" s="2653" t="s">
        <v>1</v>
      </c>
      <c r="D41" s="2654"/>
      <c r="E41" s="2655"/>
      <c r="F41" s="2656"/>
      <c r="G41" s="2657"/>
      <c r="H41" s="2658"/>
      <c r="I41" s="2655"/>
      <c r="J41" s="2658"/>
      <c r="K41" s="1612"/>
      <c r="L41" s="2146"/>
      <c r="M41" s="2147"/>
      <c r="N41" s="2136"/>
      <c r="O41" s="2147"/>
      <c r="P41" s="3360" t="str">
        <f>A41</f>
        <v>成交单价（元/平方米）</v>
      </c>
      <c r="Q41" s="3360"/>
      <c r="R41" s="3428">
        <f>E41</f>
        <v>0</v>
      </c>
      <c r="S41" s="3428"/>
      <c r="T41" s="3428">
        <f>G41</f>
        <v>0</v>
      </c>
      <c r="U41" s="3428"/>
      <c r="V41" s="3428">
        <f>I41</f>
        <v>0</v>
      </c>
      <c r="W41" s="3428"/>
      <c r="X41" s="1560"/>
      <c r="Y41" s="1582"/>
      <c r="Z41" s="1560"/>
      <c r="AA41" s="1560"/>
      <c r="AB41" s="1560"/>
      <c r="AC41" s="1560"/>
    </row>
    <row r="42" spans="1:29" ht="15.75" thickBot="1">
      <c r="A42" s="615" t="s">
        <v>2763</v>
      </c>
      <c r="B42" s="888"/>
      <c r="C42" s="2659" t="e">
        <f>R43</f>
        <v>#DIV/0!</v>
      </c>
      <c r="D42" s="2660"/>
      <c r="E42" s="2661" t="e">
        <f>R42</f>
        <v>#DIV/0!</v>
      </c>
      <c r="F42" s="2661"/>
      <c r="G42" s="2659" t="e">
        <f>T42</f>
        <v>#DIV/0!</v>
      </c>
      <c r="H42" s="2660"/>
      <c r="I42" s="2661" t="e">
        <f>V42</f>
        <v>#DIV/0!</v>
      </c>
      <c r="J42" s="2660"/>
      <c r="K42" s="1613"/>
      <c r="L42" s="2146"/>
      <c r="M42" s="2147"/>
      <c r="N42" s="2136"/>
      <c r="O42" s="2147"/>
      <c r="P42" s="3360" t="str">
        <f>A42</f>
        <v>比较价格（元/平方米）</v>
      </c>
      <c r="Q42" s="3360"/>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1560"/>
      <c r="Y42" s="1560"/>
      <c r="Z42" s="1560"/>
      <c r="AA42" s="1560"/>
      <c r="AB42" s="1560"/>
      <c r="AC42" s="1560"/>
    </row>
    <row r="43" spans="1:29" ht="15.75" thickBot="1">
      <c r="A43" s="621" t="s">
        <v>2939</v>
      </c>
      <c r="B43" s="622"/>
      <c r="C43" s="2662" t="e">
        <f>R43</f>
        <v>#DIV/0!</v>
      </c>
      <c r="D43" s="2662"/>
      <c r="E43" s="2662"/>
      <c r="F43" s="2662"/>
      <c r="G43" s="2662"/>
      <c r="H43" s="2662"/>
      <c r="I43" s="2662"/>
      <c r="J43" s="2662"/>
      <c r="K43" s="1614"/>
      <c r="L43" s="2146"/>
      <c r="M43" s="2147"/>
      <c r="N43" s="2147"/>
      <c r="O43" s="2147"/>
      <c r="P43" s="3357" t="str">
        <f>A43</f>
        <v>估价对象XX用房的比较价格（楼面单价，元/平方米）</v>
      </c>
      <c r="Q43" s="3358"/>
      <c r="R43" s="3427" t="e">
        <f>IF(F1="售价",ROUND(AVERAGE(R42:V42),0),ROUND(AVERAGE(R42:V42),1))</f>
        <v>#DIV/0!</v>
      </c>
      <c r="S43" s="3427"/>
      <c r="T43" s="3427"/>
      <c r="U43" s="3427"/>
      <c r="V43" s="3427"/>
      <c r="W43" s="3427"/>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2018-4</v>
      </c>
      <c r="D52" s="2830">
        <f>EDATE(C52,-1)</f>
        <v>43160</v>
      </c>
      <c r="E52" s="2830">
        <f t="shared" ref="E52:O52" si="16">EDATE(D52,-1)</f>
        <v>43132</v>
      </c>
      <c r="F52" s="2830">
        <f t="shared" si="16"/>
        <v>43101</v>
      </c>
      <c r="G52" s="2830">
        <f t="shared" si="16"/>
        <v>43070</v>
      </c>
      <c r="H52" s="2830">
        <f t="shared" si="16"/>
        <v>43040</v>
      </c>
      <c r="I52" s="2830">
        <f t="shared" si="16"/>
        <v>43009</v>
      </c>
      <c r="J52" s="2830">
        <f t="shared" si="16"/>
        <v>42979</v>
      </c>
      <c r="K52" s="2830">
        <f t="shared" si="16"/>
        <v>42948</v>
      </c>
      <c r="L52" s="2830">
        <f t="shared" si="16"/>
        <v>42917</v>
      </c>
      <c r="M52" s="2830">
        <f t="shared" si="16"/>
        <v>42887</v>
      </c>
      <c r="N52" s="2830">
        <f t="shared" si="16"/>
        <v>42856</v>
      </c>
      <c r="O52" s="2830">
        <f t="shared" si="16"/>
        <v>42826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2560</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2561</v>
      </c>
      <c r="C76" s="2624" t="s">
        <v>2562</v>
      </c>
      <c r="D76" s="2624" t="s">
        <v>2563</v>
      </c>
      <c r="E76" s="2624" t="s">
        <v>2564</v>
      </c>
      <c r="F76" s="2624" t="s">
        <v>2565</v>
      </c>
      <c r="G76" s="2624" t="s">
        <v>2566</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2559</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3"/>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66" t="s">
        <v>797</v>
      </c>
      <c r="D4" s="3367"/>
      <c r="E4" s="3366" t="s">
        <v>798</v>
      </c>
      <c r="F4" s="3367"/>
      <c r="G4" s="3366" t="s">
        <v>799</v>
      </c>
      <c r="H4" s="3367"/>
      <c r="I4" s="3366" t="s">
        <v>800</v>
      </c>
      <c r="J4" s="3367"/>
      <c r="K4" s="514" t="s">
        <v>801</v>
      </c>
      <c r="L4" s="2135"/>
      <c r="M4" s="2136"/>
      <c r="N4" s="2136"/>
      <c r="O4" s="2136"/>
      <c r="P4" s="3368" t="s">
        <v>802</v>
      </c>
      <c r="Q4" s="3369"/>
      <c r="R4" s="3374" t="s">
        <v>798</v>
      </c>
      <c r="S4" s="3375"/>
      <c r="T4" s="3374" t="s">
        <v>799</v>
      </c>
      <c r="U4" s="3375"/>
      <c r="V4" s="3361" t="s">
        <v>800</v>
      </c>
      <c r="W4" s="3361"/>
      <c r="X4" s="1568"/>
      <c r="Y4" s="3374" t="s">
        <v>802</v>
      </c>
      <c r="Z4" s="3375"/>
      <c r="AA4" s="3363" t="s">
        <v>798</v>
      </c>
      <c r="AB4" s="3364" t="s">
        <v>799</v>
      </c>
      <c r="AC4" s="3363" t="s">
        <v>800</v>
      </c>
    </row>
    <row r="5" spans="1:29" ht="15">
      <c r="A5" s="515"/>
      <c r="B5" s="516"/>
      <c r="C5" s="3384" t="s">
        <v>2933</v>
      </c>
      <c r="D5" s="3383"/>
      <c r="E5" s="3384" t="s">
        <v>2934</v>
      </c>
      <c r="F5" s="3383"/>
      <c r="G5" s="3384" t="s">
        <v>2935</v>
      </c>
      <c r="H5" s="3383"/>
      <c r="I5" s="3384" t="s">
        <v>2936</v>
      </c>
      <c r="J5" s="3383"/>
      <c r="K5" s="514"/>
      <c r="L5" s="2135"/>
      <c r="M5" s="2136"/>
      <c r="N5" s="2136"/>
      <c r="O5" s="2136"/>
      <c r="P5" s="3370"/>
      <c r="Q5" s="3371"/>
      <c r="R5" s="3376"/>
      <c r="S5" s="3377"/>
      <c r="T5" s="3376"/>
      <c r="U5" s="3377"/>
      <c r="V5" s="3361"/>
      <c r="W5" s="3361"/>
      <c r="X5" s="1568"/>
      <c r="Y5" s="3376"/>
      <c r="Z5" s="3377"/>
      <c r="AA5" s="3364"/>
      <c r="AB5" s="3364"/>
      <c r="AC5" s="3364"/>
    </row>
    <row r="6" spans="1:29" ht="15.75" thickBot="1">
      <c r="A6" s="517"/>
      <c r="B6" s="518"/>
      <c r="C6" s="3432" t="s">
        <v>2937</v>
      </c>
      <c r="D6" s="3381"/>
      <c r="E6" s="3385" t="s">
        <v>2937</v>
      </c>
      <c r="F6" s="3386"/>
      <c r="G6" s="3432" t="s">
        <v>2937</v>
      </c>
      <c r="H6" s="3381"/>
      <c r="I6" s="3432" t="s">
        <v>2937</v>
      </c>
      <c r="J6" s="3381"/>
      <c r="K6" s="514" t="s">
        <v>528</v>
      </c>
      <c r="L6" s="2135"/>
      <c r="M6" s="2136"/>
      <c r="N6" s="2136"/>
      <c r="O6" s="2136"/>
      <c r="P6" s="3372"/>
      <c r="Q6" s="3373"/>
      <c r="R6" s="3376"/>
      <c r="S6" s="3377"/>
      <c r="T6" s="3378"/>
      <c r="U6" s="3379"/>
      <c r="V6" s="3361"/>
      <c r="W6" s="3361"/>
      <c r="X6" s="1568"/>
      <c r="Y6" s="3378"/>
      <c r="Z6" s="3379"/>
      <c r="AA6" s="3365"/>
      <c r="AB6" s="3365"/>
      <c r="AC6" s="3365"/>
    </row>
    <row r="7" spans="1:29" s="1220" customFormat="1" ht="15.75" thickBot="1">
      <c r="A7" s="2938"/>
      <c r="B7" s="2945" t="s">
        <v>529</v>
      </c>
      <c r="C7" s="519">
        <f>'数据-取费表'!B2</f>
        <v>43215</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93" t="s">
        <v>530</v>
      </c>
      <c r="Q7" s="3395"/>
      <c r="R7" s="1569" t="s">
        <v>8</v>
      </c>
      <c r="S7" s="1570">
        <f t="shared" ref="S7:S14" si="0">F7</f>
        <v>0</v>
      </c>
      <c r="T7" s="1569" t="s">
        <v>8</v>
      </c>
      <c r="U7" s="1570">
        <f t="shared" ref="U7:U14" si="1">H7</f>
        <v>0</v>
      </c>
      <c r="V7" s="1569" t="s">
        <v>8</v>
      </c>
      <c r="W7" s="1570">
        <f t="shared" ref="W7:W14" si="2">J7</f>
        <v>0</v>
      </c>
      <c r="X7" s="1571"/>
      <c r="Y7" s="3393" t="s">
        <v>530</v>
      </c>
      <c r="Z7" s="3394"/>
      <c r="AA7" s="1572" t="e">
        <f>D7/F7</f>
        <v>#DIV/0!</v>
      </c>
      <c r="AB7" s="1572" t="e">
        <f>D7/H7</f>
        <v>#DIV/0!</v>
      </c>
      <c r="AC7" s="1572" t="e">
        <f>D7/J7</f>
        <v>#DIV/0!</v>
      </c>
    </row>
    <row r="8" spans="1:29" s="1220" customFormat="1" ht="15.75" thickBot="1">
      <c r="A8" s="2939"/>
      <c r="B8" s="2946" t="s">
        <v>531</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93" t="s">
        <v>533</v>
      </c>
      <c r="Q8" s="3394"/>
      <c r="R8" s="1569" t="s">
        <v>8</v>
      </c>
      <c r="S8" s="1570">
        <f t="shared" si="0"/>
        <v>0</v>
      </c>
      <c r="T8" s="1569" t="s">
        <v>8</v>
      </c>
      <c r="U8" s="1570">
        <f t="shared" si="1"/>
        <v>0</v>
      </c>
      <c r="V8" s="1569" t="s">
        <v>8</v>
      </c>
      <c r="W8" s="1570">
        <f t="shared" si="2"/>
        <v>0</v>
      </c>
      <c r="X8" s="1571"/>
      <c r="Y8" s="3393" t="s">
        <v>533</v>
      </c>
      <c r="Z8" s="3394"/>
      <c r="AA8" s="1572" t="e">
        <f t="shared" ref="AA8:AA36" si="3">D8/F8</f>
        <v>#DIV/0!</v>
      </c>
      <c r="AB8" s="1572" t="e">
        <f t="shared" ref="AB8:AB36" si="4">D8/H8</f>
        <v>#DIV/0!</v>
      </c>
      <c r="AC8" s="1572" t="e">
        <f t="shared" ref="AC8:AC36" si="5">D8/J8</f>
        <v>#DIV/0!</v>
      </c>
    </row>
    <row r="9" spans="1:29" s="1220" customFormat="1" ht="15">
      <c r="A9" s="2940"/>
      <c r="B9" s="2947" t="s">
        <v>2759</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0" t="s">
        <v>535</v>
      </c>
      <c r="Q9" s="1151" t="str">
        <f t="shared" ref="Q9:Q14" si="6">B9</f>
        <v>用途</v>
      </c>
      <c r="R9" s="1569" t="s">
        <v>8</v>
      </c>
      <c r="S9" s="1570">
        <f t="shared" si="0"/>
        <v>100</v>
      </c>
      <c r="T9" s="1569" t="s">
        <v>8</v>
      </c>
      <c r="U9" s="1570">
        <f t="shared" si="1"/>
        <v>100</v>
      </c>
      <c r="V9" s="1569" t="s">
        <v>8</v>
      </c>
      <c r="W9" s="1570">
        <f t="shared" si="2"/>
        <v>100</v>
      </c>
      <c r="X9" s="1571"/>
      <c r="Y9" s="3306" t="s">
        <v>536</v>
      </c>
      <c r="Z9" s="1150" t="str">
        <f t="shared" ref="Z9:Z14" si="7">Q9</f>
        <v>用途</v>
      </c>
      <c r="AA9" s="1572">
        <f t="shared" si="3"/>
        <v>1</v>
      </c>
      <c r="AB9" s="1572">
        <f t="shared" si="4"/>
        <v>1</v>
      </c>
      <c r="AC9" s="1572">
        <f t="shared" si="5"/>
        <v>1</v>
      </c>
    </row>
    <row r="10" spans="1:29" s="1338" customFormat="1" ht="27">
      <c r="A10" s="2941"/>
      <c r="B10" s="2946" t="s">
        <v>2760</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0"/>
      <c r="Q10" s="1151" t="str">
        <f t="shared" si="6"/>
        <v>土地使用年限（年）</v>
      </c>
      <c r="R10" s="1569" t="s">
        <v>8</v>
      </c>
      <c r="S10" s="1570">
        <f t="shared" si="0"/>
        <v>100</v>
      </c>
      <c r="T10" s="1569" t="s">
        <v>8</v>
      </c>
      <c r="U10" s="1570">
        <f t="shared" si="1"/>
        <v>100</v>
      </c>
      <c r="V10" s="1569" t="s">
        <v>8</v>
      </c>
      <c r="W10" s="1570">
        <f t="shared" si="2"/>
        <v>100</v>
      </c>
      <c r="X10" s="1571"/>
      <c r="Y10" s="3306"/>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0"/>
      <c r="Q11" s="1151">
        <f t="shared" si="6"/>
        <v>111</v>
      </c>
      <c r="R11" s="1569" t="s">
        <v>8</v>
      </c>
      <c r="S11" s="1570">
        <f t="shared" si="0"/>
        <v>100</v>
      </c>
      <c r="T11" s="1569" t="s">
        <v>8</v>
      </c>
      <c r="U11" s="1570">
        <f t="shared" si="1"/>
        <v>100</v>
      </c>
      <c r="V11" s="1569" t="s">
        <v>8</v>
      </c>
      <c r="W11" s="1570">
        <f t="shared" si="2"/>
        <v>100</v>
      </c>
      <c r="X11" s="1571"/>
      <c r="Y11" s="3306"/>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0"/>
      <c r="Q12" s="1151">
        <f t="shared" si="6"/>
        <v>111</v>
      </c>
      <c r="R12" s="1569" t="s">
        <v>8</v>
      </c>
      <c r="S12" s="1570">
        <f t="shared" si="0"/>
        <v>100</v>
      </c>
      <c r="T12" s="1569" t="s">
        <v>8</v>
      </c>
      <c r="U12" s="1570">
        <f t="shared" si="1"/>
        <v>100</v>
      </c>
      <c r="V12" s="1569" t="s">
        <v>8</v>
      </c>
      <c r="W12" s="1570">
        <f t="shared" si="2"/>
        <v>100</v>
      </c>
      <c r="X12" s="1571"/>
      <c r="Y12" s="3306"/>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0"/>
      <c r="Q13" s="1151">
        <f t="shared" si="6"/>
        <v>111</v>
      </c>
      <c r="R13" s="1569" t="s">
        <v>8</v>
      </c>
      <c r="S13" s="1570">
        <f t="shared" si="0"/>
        <v>100</v>
      </c>
      <c r="T13" s="1569" t="s">
        <v>8</v>
      </c>
      <c r="U13" s="1570">
        <f t="shared" si="1"/>
        <v>100</v>
      </c>
      <c r="V13" s="1569" t="s">
        <v>8</v>
      </c>
      <c r="W13" s="1570">
        <f t="shared" si="2"/>
        <v>100</v>
      </c>
      <c r="X13" s="1571"/>
      <c r="Y13" s="3306"/>
      <c r="Z13" s="1150">
        <f t="shared" si="7"/>
        <v>111</v>
      </c>
      <c r="AA13" s="1572">
        <f t="shared" si="3"/>
        <v>1</v>
      </c>
      <c r="AB13" s="1572">
        <f t="shared" si="4"/>
        <v>1</v>
      </c>
      <c r="AC13" s="1572">
        <f t="shared" si="5"/>
        <v>1</v>
      </c>
    </row>
    <row r="14" spans="1:29" ht="85.5">
      <c r="A14" s="2936"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96" t="s">
        <v>540</v>
      </c>
      <c r="Q14" s="1573" t="str">
        <f t="shared" si="6"/>
        <v>交通便捷度</v>
      </c>
      <c r="R14" s="1574" t="s">
        <v>8</v>
      </c>
      <c r="S14" s="1575">
        <f t="shared" si="0"/>
        <v>100</v>
      </c>
      <c r="T14" s="1574" t="s">
        <v>8</v>
      </c>
      <c r="U14" s="1575">
        <f t="shared" si="1"/>
        <v>100</v>
      </c>
      <c r="V14" s="1574" t="s">
        <v>8</v>
      </c>
      <c r="W14" s="1575">
        <f t="shared" si="2"/>
        <v>100</v>
      </c>
      <c r="X14" s="1568"/>
      <c r="Y14" s="3396"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97"/>
      <c r="Q15" s="1573"/>
      <c r="R15" s="1574"/>
      <c r="S15" s="1575"/>
      <c r="T15" s="1574"/>
      <c r="U15" s="1575"/>
      <c r="V15" s="1574"/>
      <c r="W15" s="1575"/>
      <c r="X15" s="1568"/>
      <c r="Y15" s="3397"/>
      <c r="Z15" s="1576"/>
      <c r="AA15" s="1577">
        <v>1</v>
      </c>
      <c r="AB15" s="1577">
        <v>1</v>
      </c>
      <c r="AC15" s="1577">
        <v>1</v>
      </c>
    </row>
    <row r="16" spans="1:29" ht="42.75">
      <c r="A16" s="515"/>
      <c r="B16" s="2629"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97"/>
      <c r="Q17" s="1573"/>
      <c r="R17" s="1574"/>
      <c r="S17" s="1575"/>
      <c r="T17" s="1574"/>
      <c r="U17" s="1575"/>
      <c r="V17" s="1574"/>
      <c r="W17" s="1575"/>
      <c r="X17" s="1568"/>
      <c r="Y17" s="3397"/>
      <c r="Z17" s="1576"/>
      <c r="AA17" s="1577">
        <v>1</v>
      </c>
      <c r="AB17" s="1577">
        <v>1</v>
      </c>
      <c r="AC17" s="1577">
        <v>1</v>
      </c>
    </row>
    <row r="18" spans="1:29" ht="28.5">
      <c r="A18" s="515"/>
      <c r="B18" s="2617"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97"/>
      <c r="Q18" s="2605" t="str">
        <f>B18</f>
        <v>基础设施水平</v>
      </c>
      <c r="R18" s="1574" t="s">
        <v>8</v>
      </c>
      <c r="S18" s="1575">
        <f>F18</f>
        <v>100</v>
      </c>
      <c r="T18" s="1574" t="s">
        <v>8</v>
      </c>
      <c r="U18" s="1575">
        <f>H18</f>
        <v>100</v>
      </c>
      <c r="V18" s="1574" t="s">
        <v>8</v>
      </c>
      <c r="W18" s="1575">
        <f>J18</f>
        <v>100</v>
      </c>
      <c r="X18" s="2607"/>
      <c r="Y18" s="3397"/>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97"/>
      <c r="Q19" s="2605"/>
      <c r="R19" s="1574"/>
      <c r="S19" s="1575"/>
      <c r="T19" s="1574"/>
      <c r="U19" s="1575"/>
      <c r="V19" s="1574"/>
      <c r="W19" s="1575"/>
      <c r="X19" s="2607"/>
      <c r="Y19" s="3397"/>
      <c r="Z19" s="2606"/>
      <c r="AA19" s="1577">
        <v>1</v>
      </c>
      <c r="AB19" s="1577">
        <v>1</v>
      </c>
      <c r="AC19" s="1577">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97"/>
      <c r="Q21" s="1573"/>
      <c r="R21" s="1574"/>
      <c r="S21" s="1575"/>
      <c r="T21" s="1574"/>
      <c r="U21" s="1575"/>
      <c r="V21" s="1574"/>
      <c r="W21" s="1575"/>
      <c r="X21" s="1568"/>
      <c r="Y21" s="3397"/>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7"/>
      <c r="Q24" s="1573">
        <f t="shared" ref="Q24:Q36"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7"/>
      <c r="Q25" s="1151">
        <f t="shared" si="11"/>
        <v>111</v>
      </c>
      <c r="R25" s="1569" t="s">
        <v>8</v>
      </c>
      <c r="S25" s="1570">
        <f>F25</f>
        <v>100</v>
      </c>
      <c r="T25" s="1569" t="s">
        <v>8</v>
      </c>
      <c r="U25" s="1570">
        <f>H25</f>
        <v>100</v>
      </c>
      <c r="V25" s="1569" t="s">
        <v>8</v>
      </c>
      <c r="W25" s="1570">
        <f>J25</f>
        <v>100</v>
      </c>
      <c r="X25" s="1571"/>
      <c r="Y25" s="3397"/>
      <c r="Z25" s="1150">
        <f>Q25</f>
        <v>111</v>
      </c>
      <c r="AA25" s="1577">
        <f>D25/F25</f>
        <v>1</v>
      </c>
      <c r="AB25" s="1577">
        <f>D25/H25</f>
        <v>1</v>
      </c>
      <c r="AC25" s="1577">
        <f>D25/J25</f>
        <v>1</v>
      </c>
    </row>
    <row r="26" spans="1:29" ht="15">
      <c r="A26" s="2933" t="s">
        <v>2758</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8"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9"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9"/>
      <c r="Q27" s="1606" t="str">
        <f t="shared" si="11"/>
        <v>项目停车位配比</v>
      </c>
      <c r="R27" s="1578" t="s">
        <v>8</v>
      </c>
      <c r="S27" s="1579">
        <f t="shared" si="12"/>
        <v>100</v>
      </c>
      <c r="T27" s="1578" t="s">
        <v>8</v>
      </c>
      <c r="U27" s="1579">
        <f t="shared" si="13"/>
        <v>100</v>
      </c>
      <c r="V27" s="1578" t="s">
        <v>8</v>
      </c>
      <c r="W27" s="1579">
        <f t="shared" si="14"/>
        <v>100</v>
      </c>
      <c r="X27" s="1580"/>
      <c r="Y27" s="3399"/>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9"/>
      <c r="Q28" s="1573" t="str">
        <f t="shared" si="11"/>
        <v>公共部分装修</v>
      </c>
      <c r="R28" s="1574" t="s">
        <v>8</v>
      </c>
      <c r="S28" s="1575">
        <f t="shared" si="12"/>
        <v>100</v>
      </c>
      <c r="T28" s="1574" t="s">
        <v>8</v>
      </c>
      <c r="U28" s="1575">
        <f t="shared" si="13"/>
        <v>100</v>
      </c>
      <c r="V28" s="1574" t="s">
        <v>8</v>
      </c>
      <c r="W28" s="1575">
        <f t="shared" si="14"/>
        <v>100</v>
      </c>
      <c r="X28" s="1568"/>
      <c r="Y28" s="3399"/>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9"/>
      <c r="Q29" s="1573" t="str">
        <f t="shared" si="11"/>
        <v>成新率</v>
      </c>
      <c r="R29" s="1574" t="s">
        <v>8</v>
      </c>
      <c r="S29" s="1575" t="e">
        <f t="shared" si="12"/>
        <v>#N/A</v>
      </c>
      <c r="T29" s="1574" t="s">
        <v>8</v>
      </c>
      <c r="U29" s="1575" t="e">
        <f t="shared" si="13"/>
        <v>#N/A</v>
      </c>
      <c r="V29" s="1574" t="s">
        <v>8</v>
      </c>
      <c r="W29" s="1575" t="e">
        <f t="shared" si="14"/>
        <v>#N/A</v>
      </c>
      <c r="X29" s="1568"/>
      <c r="Y29" s="3399"/>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9"/>
      <c r="Q30" s="1573" t="str">
        <f t="shared" si="11"/>
        <v>物业等级</v>
      </c>
      <c r="R30" s="1574" t="s">
        <v>8</v>
      </c>
      <c r="S30" s="1575">
        <f t="shared" si="12"/>
        <v>100</v>
      </c>
      <c r="T30" s="1574" t="s">
        <v>8</v>
      </c>
      <c r="U30" s="1575">
        <f t="shared" si="13"/>
        <v>100</v>
      </c>
      <c r="V30" s="1574" t="s">
        <v>8</v>
      </c>
      <c r="W30" s="1575">
        <f t="shared" si="14"/>
        <v>100</v>
      </c>
      <c r="X30" s="1568"/>
      <c r="Y30" s="3399"/>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9"/>
      <c r="Q31" s="1151" t="str">
        <f t="shared" si="11"/>
        <v>停车位面积</v>
      </c>
      <c r="R31" s="1569" t="s">
        <v>8</v>
      </c>
      <c r="S31" s="1570" t="e">
        <f t="shared" si="12"/>
        <v>#N/A</v>
      </c>
      <c r="T31" s="1569" t="s">
        <v>8</v>
      </c>
      <c r="U31" s="1570" t="e">
        <f t="shared" si="13"/>
        <v>#N/A</v>
      </c>
      <c r="V31" s="1569" t="s">
        <v>8</v>
      </c>
      <c r="W31" s="1570" t="e">
        <f t="shared" si="14"/>
        <v>#N/A</v>
      </c>
      <c r="X31" s="1571"/>
      <c r="Y31" s="3399"/>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9" t="s">
        <v>549</v>
      </c>
      <c r="Q32" s="1573" t="str">
        <f t="shared" si="11"/>
        <v>车位类型</v>
      </c>
      <c r="R32" s="1574" t="s">
        <v>8</v>
      </c>
      <c r="S32" s="1575">
        <f t="shared" si="12"/>
        <v>100</v>
      </c>
      <c r="T32" s="1574" t="s">
        <v>8</v>
      </c>
      <c r="U32" s="1575">
        <f t="shared" si="13"/>
        <v>100</v>
      </c>
      <c r="V32" s="1574" t="s">
        <v>8</v>
      </c>
      <c r="W32" s="1575">
        <f t="shared" si="14"/>
        <v>100</v>
      </c>
      <c r="X32" s="1568"/>
      <c r="Y32" s="3399"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9"/>
      <c r="Q33" s="1573" t="str">
        <f t="shared" si="11"/>
        <v>是否直接入户</v>
      </c>
      <c r="R33" s="1574" t="s">
        <v>8</v>
      </c>
      <c r="S33" s="1575">
        <f t="shared" si="12"/>
        <v>100</v>
      </c>
      <c r="T33" s="1574" t="s">
        <v>8</v>
      </c>
      <c r="U33" s="1575">
        <f t="shared" si="13"/>
        <v>100</v>
      </c>
      <c r="V33" s="1574" t="s">
        <v>8</v>
      </c>
      <c r="W33" s="1575">
        <f t="shared" si="14"/>
        <v>100</v>
      </c>
      <c r="X33" s="1568"/>
      <c r="Y33" s="339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9"/>
      <c r="Q35" s="1606">
        <f t="shared" si="11"/>
        <v>111</v>
      </c>
      <c r="R35" s="1578" t="s">
        <v>8</v>
      </c>
      <c r="S35" s="1579">
        <f t="shared" si="12"/>
        <v>100</v>
      </c>
      <c r="T35" s="1578" t="s">
        <v>8</v>
      </c>
      <c r="U35" s="1579">
        <f t="shared" si="13"/>
        <v>100</v>
      </c>
      <c r="V35" s="1578" t="s">
        <v>8</v>
      </c>
      <c r="W35" s="1579">
        <f t="shared" si="14"/>
        <v>100</v>
      </c>
      <c r="X35" s="1580"/>
      <c r="Y35" s="339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9"/>
      <c r="Q36" s="1573">
        <f t="shared" si="11"/>
        <v>111</v>
      </c>
      <c r="R36" s="1574" t="s">
        <v>8</v>
      </c>
      <c r="S36" s="1575">
        <f t="shared" si="12"/>
        <v>100</v>
      </c>
      <c r="T36" s="1574" t="s">
        <v>8</v>
      </c>
      <c r="U36" s="1575">
        <f t="shared" si="13"/>
        <v>100</v>
      </c>
      <c r="V36" s="1574" t="s">
        <v>8</v>
      </c>
      <c r="W36" s="1575">
        <f t="shared" si="14"/>
        <v>100</v>
      </c>
      <c r="X36" s="1568"/>
      <c r="Y36" s="3399"/>
      <c r="Z36" s="1576">
        <f t="shared" si="15"/>
        <v>111</v>
      </c>
      <c r="AA36" s="1577">
        <f t="shared" si="3"/>
        <v>1</v>
      </c>
      <c r="AB36" s="1577">
        <f t="shared" si="4"/>
        <v>1</v>
      </c>
      <c r="AC36" s="1577">
        <f t="shared" si="5"/>
        <v>1</v>
      </c>
    </row>
    <row r="37" spans="1:29" ht="15">
      <c r="A37" s="1848" t="s">
        <v>2079</v>
      </c>
      <c r="B37" s="1849" t="s">
        <v>2080</v>
      </c>
      <c r="C37" s="2653" t="s">
        <v>1</v>
      </c>
      <c r="D37" s="2654"/>
      <c r="E37" s="2655"/>
      <c r="F37" s="2656"/>
      <c r="G37" s="2657"/>
      <c r="H37" s="2658"/>
      <c r="I37" s="2655"/>
      <c r="J37" s="2658"/>
      <c r="K37" s="1612"/>
      <c r="L37" s="2146"/>
      <c r="M37" s="2147"/>
      <c r="N37" s="2136"/>
      <c r="O37" s="2147"/>
      <c r="P37" s="3360" t="str">
        <f>A37</f>
        <v>成交单价</v>
      </c>
      <c r="Q37" s="3360"/>
      <c r="R37" s="3428">
        <f>E37</f>
        <v>0</v>
      </c>
      <c r="S37" s="3428"/>
      <c r="T37" s="3428">
        <f>G37</f>
        <v>0</v>
      </c>
      <c r="U37" s="3428"/>
      <c r="V37" s="3428">
        <f>I37</f>
        <v>0</v>
      </c>
      <c r="W37" s="3428"/>
      <c r="X37" s="1560"/>
      <c r="Y37" s="1582"/>
      <c r="Z37" s="1560"/>
      <c r="AA37" s="1560"/>
      <c r="AB37" s="1560"/>
      <c r="AC37" s="1560"/>
    </row>
    <row r="38" spans="1:29" ht="15.75" thickBot="1">
      <c r="A38" s="615" t="s">
        <v>2763</v>
      </c>
      <c r="B38" s="888"/>
      <c r="C38" s="2659" t="e">
        <f>R39</f>
        <v>#DIV/0!</v>
      </c>
      <c r="D38" s="2660"/>
      <c r="E38" s="2661" t="e">
        <f>R38</f>
        <v>#DIV/0!</v>
      </c>
      <c r="F38" s="2661"/>
      <c r="G38" s="2659" t="e">
        <f>T38</f>
        <v>#DIV/0!</v>
      </c>
      <c r="H38" s="2660"/>
      <c r="I38" s="2661" t="e">
        <f>V38</f>
        <v>#DIV/0!</v>
      </c>
      <c r="J38" s="2660"/>
      <c r="K38" s="1613"/>
      <c r="L38" s="2146"/>
      <c r="M38" s="2147"/>
      <c r="N38" s="2147"/>
      <c r="O38" s="2147"/>
      <c r="P38" s="3360" t="str">
        <f>A38</f>
        <v>比较价格（元/平方米）</v>
      </c>
      <c r="Q38" s="3360"/>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1560"/>
      <c r="Y38" s="1560"/>
      <c r="Z38" s="1560"/>
      <c r="AA38" s="1560"/>
      <c r="AB38" s="1560"/>
      <c r="AC38" s="1560"/>
    </row>
    <row r="39" spans="1:29" ht="15.75" thickBot="1">
      <c r="A39" s="621" t="s">
        <v>2939</v>
      </c>
      <c r="B39" s="622"/>
      <c r="C39" s="2662" t="e">
        <f>R39</f>
        <v>#DIV/0!</v>
      </c>
      <c r="D39" s="2662"/>
      <c r="E39" s="2662"/>
      <c r="F39" s="2662"/>
      <c r="G39" s="2662"/>
      <c r="H39" s="2662"/>
      <c r="I39" s="2662"/>
      <c r="J39" s="2662"/>
      <c r="K39" s="1614"/>
      <c r="L39" s="2146"/>
      <c r="M39" s="2147"/>
      <c r="N39" s="2147"/>
      <c r="O39" s="2147"/>
      <c r="P39" s="3357" t="str">
        <f>A39</f>
        <v>估价对象XX用房的比较价格（楼面单价，元/平方米）</v>
      </c>
      <c r="Q39" s="3358"/>
      <c r="R39" s="3427" t="e">
        <f>IF(F1="售价",ROUND(AVERAGE(R38:V38),0),ROUND(AVERAGE(R38:V38),1))</f>
        <v>#DIV/0!</v>
      </c>
      <c r="S39" s="3427"/>
      <c r="T39" s="3427"/>
      <c r="U39" s="3427"/>
      <c r="V39" s="3427"/>
      <c r="W39" s="3427"/>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2018-4</v>
      </c>
      <c r="D48" s="2830">
        <f>EDATE(C48,-1)</f>
        <v>43160</v>
      </c>
      <c r="E48" s="2830">
        <f t="shared" ref="E48:O48" si="16">EDATE(D48,-1)</f>
        <v>43132</v>
      </c>
      <c r="F48" s="2830">
        <f t="shared" si="16"/>
        <v>43101</v>
      </c>
      <c r="G48" s="2830">
        <f t="shared" si="16"/>
        <v>43070</v>
      </c>
      <c r="H48" s="2830">
        <f t="shared" si="16"/>
        <v>43040</v>
      </c>
      <c r="I48" s="2830">
        <f t="shared" si="16"/>
        <v>43009</v>
      </c>
      <c r="J48" s="2830">
        <f t="shared" si="16"/>
        <v>42979</v>
      </c>
      <c r="K48" s="2830">
        <f t="shared" si="16"/>
        <v>42948</v>
      </c>
      <c r="L48" s="2830">
        <f t="shared" si="16"/>
        <v>42917</v>
      </c>
      <c r="M48" s="2830">
        <f t="shared" si="16"/>
        <v>42887</v>
      </c>
      <c r="N48" s="2830">
        <f t="shared" si="16"/>
        <v>42856</v>
      </c>
      <c r="O48" s="2830">
        <f t="shared" si="16"/>
        <v>42826</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2560</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2561</v>
      </c>
      <c r="C67" s="2624" t="s">
        <v>2562</v>
      </c>
      <c r="D67" s="2624" t="s">
        <v>2563</v>
      </c>
      <c r="E67" s="2624" t="s">
        <v>2564</v>
      </c>
      <c r="F67" s="2624" t="s">
        <v>2565</v>
      </c>
      <c r="G67" s="2624" t="s">
        <v>2566</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33"/>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66" t="s">
        <v>797</v>
      </c>
      <c r="D4" s="3367"/>
      <c r="E4" s="3430" t="s">
        <v>798</v>
      </c>
      <c r="F4" s="3431"/>
      <c r="G4" s="3366" t="s">
        <v>799</v>
      </c>
      <c r="H4" s="3367"/>
      <c r="I4" s="3366" t="s">
        <v>800</v>
      </c>
      <c r="J4" s="3367"/>
      <c r="K4" s="514" t="s">
        <v>801</v>
      </c>
      <c r="L4" s="2135"/>
      <c r="M4" s="2136"/>
      <c r="N4" s="2136"/>
      <c r="O4" s="2136"/>
      <c r="P4" s="3368" t="s">
        <v>802</v>
      </c>
      <c r="Q4" s="3369"/>
      <c r="R4" s="3374" t="s">
        <v>798</v>
      </c>
      <c r="S4" s="3375"/>
      <c r="T4" s="3374" t="s">
        <v>799</v>
      </c>
      <c r="U4" s="3375"/>
      <c r="V4" s="3361" t="s">
        <v>800</v>
      </c>
      <c r="W4" s="3361"/>
      <c r="X4" s="1568"/>
      <c r="Y4" s="3374" t="s">
        <v>802</v>
      </c>
      <c r="Z4" s="3375"/>
      <c r="AA4" s="3363" t="s">
        <v>798</v>
      </c>
      <c r="AB4" s="3364" t="s">
        <v>799</v>
      </c>
      <c r="AC4" s="3363" t="s">
        <v>800</v>
      </c>
    </row>
    <row r="5" spans="1:29" ht="15">
      <c r="A5" s="515"/>
      <c r="B5" s="516"/>
      <c r="C5" s="3384" t="s">
        <v>2933</v>
      </c>
      <c r="D5" s="3383"/>
      <c r="E5" s="3435" t="s">
        <v>2934</v>
      </c>
      <c r="F5" s="3436"/>
      <c r="G5" s="3384" t="s">
        <v>2935</v>
      </c>
      <c r="H5" s="3383"/>
      <c r="I5" s="3384" t="s">
        <v>2936</v>
      </c>
      <c r="J5" s="3383"/>
      <c r="K5" s="514"/>
      <c r="L5" s="2135"/>
      <c r="M5" s="2136"/>
      <c r="N5" s="2136"/>
      <c r="O5" s="2136"/>
      <c r="P5" s="3370"/>
      <c r="Q5" s="3371"/>
      <c r="R5" s="3376"/>
      <c r="S5" s="3377"/>
      <c r="T5" s="3376"/>
      <c r="U5" s="3377"/>
      <c r="V5" s="3361"/>
      <c r="W5" s="3361"/>
      <c r="X5" s="1568"/>
      <c r="Y5" s="3376"/>
      <c r="Z5" s="3377"/>
      <c r="AA5" s="3364"/>
      <c r="AB5" s="3364"/>
      <c r="AC5" s="3364"/>
    </row>
    <row r="6" spans="1:29" ht="15.75" thickBot="1">
      <c r="A6" s="517"/>
      <c r="B6" s="518"/>
      <c r="C6" s="3432" t="s">
        <v>2937</v>
      </c>
      <c r="D6" s="3381"/>
      <c r="E6" s="3433" t="s">
        <v>2937</v>
      </c>
      <c r="F6" s="3434"/>
      <c r="G6" s="3432" t="s">
        <v>2937</v>
      </c>
      <c r="H6" s="3381"/>
      <c r="I6" s="3432" t="s">
        <v>2937</v>
      </c>
      <c r="J6" s="3381"/>
      <c r="K6" s="514" t="s">
        <v>528</v>
      </c>
      <c r="L6" s="2135"/>
      <c r="M6" s="2136"/>
      <c r="N6" s="2136"/>
      <c r="O6" s="2136"/>
      <c r="P6" s="3372"/>
      <c r="Q6" s="3373"/>
      <c r="R6" s="3376"/>
      <c r="S6" s="3377"/>
      <c r="T6" s="3378"/>
      <c r="U6" s="3379"/>
      <c r="V6" s="3361"/>
      <c r="W6" s="3361"/>
      <c r="X6" s="1568"/>
      <c r="Y6" s="3378"/>
      <c r="Z6" s="3379"/>
      <c r="AA6" s="3365"/>
      <c r="AB6" s="3365"/>
      <c r="AC6" s="3365"/>
    </row>
    <row r="7" spans="1:29" s="1220" customFormat="1" ht="15.75" thickBot="1">
      <c r="A7" s="2938"/>
      <c r="B7" s="2945" t="s">
        <v>529</v>
      </c>
      <c r="C7" s="519">
        <f>'数据-取费表'!B2</f>
        <v>43215</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3" t="s">
        <v>530</v>
      </c>
      <c r="Q7" s="3395"/>
      <c r="R7" s="1569" t="s">
        <v>8</v>
      </c>
      <c r="S7" s="1570">
        <f t="shared" ref="S7:S14" si="0">F7</f>
        <v>0</v>
      </c>
      <c r="T7" s="1569" t="s">
        <v>8</v>
      </c>
      <c r="U7" s="1570">
        <f t="shared" ref="U7:U14" si="1">H7</f>
        <v>0</v>
      </c>
      <c r="V7" s="1569" t="s">
        <v>8</v>
      </c>
      <c r="W7" s="1570">
        <f t="shared" ref="W7:W14" si="2">J7</f>
        <v>0</v>
      </c>
      <c r="X7" s="1571"/>
      <c r="Y7" s="3393" t="s">
        <v>530</v>
      </c>
      <c r="Z7" s="3394"/>
      <c r="AA7" s="1572" t="e">
        <f>D7/F7</f>
        <v>#DIV/0!</v>
      </c>
      <c r="AB7" s="1572" t="e">
        <f>D7/H7</f>
        <v>#DIV/0!</v>
      </c>
      <c r="AC7" s="1572" t="e">
        <f>D7/J7</f>
        <v>#DIV/0!</v>
      </c>
    </row>
    <row r="8" spans="1:29" s="1220" customFormat="1" ht="15.75" thickBot="1">
      <c r="A8" s="2939"/>
      <c r="B8" s="2946" t="s">
        <v>531</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3" t="s">
        <v>533</v>
      </c>
      <c r="Q8" s="3394"/>
      <c r="R8" s="1569" t="s">
        <v>8</v>
      </c>
      <c r="S8" s="1570">
        <f t="shared" si="0"/>
        <v>0</v>
      </c>
      <c r="T8" s="1569" t="s">
        <v>8</v>
      </c>
      <c r="U8" s="1570">
        <f t="shared" si="1"/>
        <v>0</v>
      </c>
      <c r="V8" s="1569" t="s">
        <v>8</v>
      </c>
      <c r="W8" s="1570">
        <f t="shared" si="2"/>
        <v>0</v>
      </c>
      <c r="X8" s="1571"/>
      <c r="Y8" s="3393" t="s">
        <v>533</v>
      </c>
      <c r="Z8" s="3394"/>
      <c r="AA8" s="1572" t="e">
        <f t="shared" ref="AA8:AA34" si="3">D8/F8</f>
        <v>#DIV/0!</v>
      </c>
      <c r="AB8" s="1572" t="e">
        <f t="shared" ref="AB8:AB34" si="4">D8/H8</f>
        <v>#DIV/0!</v>
      </c>
      <c r="AC8" s="1572" t="e">
        <f t="shared" ref="AC8:AC34" si="5">D8/J8</f>
        <v>#DIV/0!</v>
      </c>
    </row>
    <row r="9" spans="1:29" s="1220" customFormat="1" ht="15">
      <c r="A9" s="2940"/>
      <c r="B9" s="2947" t="s">
        <v>2759</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0" t="s">
        <v>535</v>
      </c>
      <c r="Q9" s="1151" t="str">
        <f t="shared" ref="Q9:Q14" si="6">B9</f>
        <v>用途</v>
      </c>
      <c r="R9" s="1569" t="s">
        <v>8</v>
      </c>
      <c r="S9" s="1570">
        <f t="shared" si="0"/>
        <v>100</v>
      </c>
      <c r="T9" s="1569" t="s">
        <v>8</v>
      </c>
      <c r="U9" s="1570">
        <f t="shared" si="1"/>
        <v>100</v>
      </c>
      <c r="V9" s="1569" t="s">
        <v>8</v>
      </c>
      <c r="W9" s="1570">
        <f t="shared" si="2"/>
        <v>100</v>
      </c>
      <c r="X9" s="1571"/>
      <c r="Y9" s="3306" t="s">
        <v>536</v>
      </c>
      <c r="Z9" s="1150" t="str">
        <f t="shared" ref="Z9:Z14" si="7">Q9</f>
        <v>用途</v>
      </c>
      <c r="AA9" s="1572">
        <f t="shared" si="3"/>
        <v>1</v>
      </c>
      <c r="AB9" s="1572">
        <f t="shared" si="4"/>
        <v>1</v>
      </c>
      <c r="AC9" s="1572">
        <f t="shared" si="5"/>
        <v>1</v>
      </c>
    </row>
    <row r="10" spans="1:29" s="1338" customFormat="1" ht="27">
      <c r="A10" s="2941"/>
      <c r="B10" s="2946" t="s">
        <v>2760</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0"/>
      <c r="Q10" s="1151" t="str">
        <f t="shared" si="6"/>
        <v>土地使用年限（年）</v>
      </c>
      <c r="R10" s="1569" t="s">
        <v>8</v>
      </c>
      <c r="S10" s="1570">
        <f t="shared" si="0"/>
        <v>100</v>
      </c>
      <c r="T10" s="1569" t="s">
        <v>8</v>
      </c>
      <c r="U10" s="1570">
        <f t="shared" si="1"/>
        <v>100</v>
      </c>
      <c r="V10" s="1569" t="s">
        <v>8</v>
      </c>
      <c r="W10" s="1570">
        <f t="shared" si="2"/>
        <v>100</v>
      </c>
      <c r="X10" s="1571"/>
      <c r="Y10" s="3306"/>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0"/>
      <c r="Q11" s="1151">
        <f t="shared" si="6"/>
        <v>111</v>
      </c>
      <c r="R11" s="1569" t="s">
        <v>8</v>
      </c>
      <c r="S11" s="1570">
        <f t="shared" si="0"/>
        <v>100</v>
      </c>
      <c r="T11" s="1569" t="s">
        <v>8</v>
      </c>
      <c r="U11" s="1570">
        <f t="shared" si="1"/>
        <v>100</v>
      </c>
      <c r="V11" s="1569" t="s">
        <v>8</v>
      </c>
      <c r="W11" s="1570">
        <f t="shared" si="2"/>
        <v>100</v>
      </c>
      <c r="X11" s="1571"/>
      <c r="Y11" s="3306"/>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0"/>
      <c r="Q12" s="1151">
        <f t="shared" si="6"/>
        <v>111</v>
      </c>
      <c r="R12" s="1569" t="s">
        <v>8</v>
      </c>
      <c r="S12" s="1570">
        <f t="shared" si="0"/>
        <v>100</v>
      </c>
      <c r="T12" s="1569" t="s">
        <v>8</v>
      </c>
      <c r="U12" s="1570">
        <f t="shared" si="1"/>
        <v>100</v>
      </c>
      <c r="V12" s="1569" t="s">
        <v>8</v>
      </c>
      <c r="W12" s="1570">
        <f t="shared" si="2"/>
        <v>100</v>
      </c>
      <c r="X12" s="1571"/>
      <c r="Y12" s="3306"/>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0"/>
      <c r="Q13" s="1151">
        <f t="shared" si="6"/>
        <v>111</v>
      </c>
      <c r="R13" s="1569" t="s">
        <v>8</v>
      </c>
      <c r="S13" s="1570">
        <f t="shared" si="0"/>
        <v>100</v>
      </c>
      <c r="T13" s="1569" t="s">
        <v>8</v>
      </c>
      <c r="U13" s="1570">
        <f t="shared" si="1"/>
        <v>100</v>
      </c>
      <c r="V13" s="1569" t="s">
        <v>8</v>
      </c>
      <c r="W13" s="1570">
        <f t="shared" si="2"/>
        <v>100</v>
      </c>
      <c r="X13" s="1571"/>
      <c r="Y13" s="3306"/>
      <c r="Z13" s="1150">
        <f t="shared" si="7"/>
        <v>111</v>
      </c>
      <c r="AA13" s="1572">
        <f t="shared" si="3"/>
        <v>1</v>
      </c>
      <c r="AB13" s="1572">
        <f t="shared" si="4"/>
        <v>1</v>
      </c>
      <c r="AC13" s="1572">
        <f t="shared" si="5"/>
        <v>1</v>
      </c>
    </row>
    <row r="14" spans="1:29" ht="85.5">
      <c r="A14" s="2936"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96" t="s">
        <v>540</v>
      </c>
      <c r="Q14" s="1573" t="str">
        <f t="shared" si="6"/>
        <v>交通便捷度</v>
      </c>
      <c r="R14" s="1574" t="s">
        <v>8</v>
      </c>
      <c r="S14" s="1575">
        <f t="shared" si="0"/>
        <v>100</v>
      </c>
      <c r="T14" s="1574" t="s">
        <v>8</v>
      </c>
      <c r="U14" s="1575">
        <f t="shared" si="1"/>
        <v>100</v>
      </c>
      <c r="V14" s="1574" t="s">
        <v>8</v>
      </c>
      <c r="W14" s="1575">
        <f t="shared" si="2"/>
        <v>100</v>
      </c>
      <c r="X14" s="1568"/>
      <c r="Y14" s="339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7"/>
      <c r="Q15" s="1573"/>
      <c r="R15" s="1574"/>
      <c r="S15" s="1575"/>
      <c r="T15" s="1574"/>
      <c r="U15" s="1575"/>
      <c r="V15" s="1574"/>
      <c r="W15" s="1575"/>
      <c r="X15" s="1568"/>
      <c r="Y15" s="3397"/>
      <c r="Z15" s="1576"/>
      <c r="AA15" s="1577">
        <v>1</v>
      </c>
      <c r="AB15" s="1577">
        <v>1</v>
      </c>
      <c r="AC15" s="1577">
        <v>1</v>
      </c>
    </row>
    <row r="16" spans="1:29" ht="42.75">
      <c r="A16" s="532"/>
      <c r="B16" s="2629"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7"/>
      <c r="Q17" s="1573"/>
      <c r="R17" s="1574"/>
      <c r="S17" s="1575"/>
      <c r="T17" s="1574"/>
      <c r="U17" s="1575"/>
      <c r="V17" s="1574"/>
      <c r="W17" s="1575"/>
      <c r="X17" s="1568"/>
      <c r="Y17" s="3397"/>
      <c r="Z17" s="1576"/>
      <c r="AA17" s="1577">
        <v>1</v>
      </c>
      <c r="AB17" s="1577">
        <v>1</v>
      </c>
      <c r="AC17" s="1577">
        <v>1</v>
      </c>
    </row>
    <row r="18" spans="1:29" ht="28.5">
      <c r="A18" s="532"/>
      <c r="B18" s="2617"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7"/>
      <c r="Q18" s="2605" t="str">
        <f>B18</f>
        <v>基础设施水平</v>
      </c>
      <c r="R18" s="1574" t="s">
        <v>8</v>
      </c>
      <c r="S18" s="1575">
        <f>F18</f>
        <v>100</v>
      </c>
      <c r="T18" s="1574" t="s">
        <v>8</v>
      </c>
      <c r="U18" s="1575">
        <f>H18</f>
        <v>100</v>
      </c>
      <c r="V18" s="1574" t="s">
        <v>8</v>
      </c>
      <c r="W18" s="1575">
        <f>J18</f>
        <v>100</v>
      </c>
      <c r="X18" s="2607"/>
      <c r="Y18" s="3397"/>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97"/>
      <c r="Q19" s="2605"/>
      <c r="R19" s="1574"/>
      <c r="S19" s="1575"/>
      <c r="T19" s="1574"/>
      <c r="U19" s="1575"/>
      <c r="V19" s="1574"/>
      <c r="W19" s="1575"/>
      <c r="X19" s="2607"/>
      <c r="Y19" s="3397"/>
      <c r="Z19" s="2606"/>
      <c r="AA19" s="1577">
        <v>1</v>
      </c>
      <c r="AB19" s="1577">
        <v>1</v>
      </c>
      <c r="AC19" s="1577">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7"/>
      <c r="Q21" s="1573"/>
      <c r="R21" s="1574"/>
      <c r="S21" s="1575"/>
      <c r="T21" s="1574"/>
      <c r="U21" s="1575"/>
      <c r="V21" s="1574"/>
      <c r="W21" s="1575"/>
      <c r="X21" s="1568"/>
      <c r="Y21" s="3397"/>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7"/>
      <c r="Q24" s="1573">
        <f t="shared" ref="Q24:Q34"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7"/>
      <c r="Q25" s="1151">
        <f t="shared" si="11"/>
        <v>111</v>
      </c>
      <c r="R25" s="1569" t="s">
        <v>8</v>
      </c>
      <c r="S25" s="1570">
        <f>F25</f>
        <v>100</v>
      </c>
      <c r="T25" s="1569" t="s">
        <v>8</v>
      </c>
      <c r="U25" s="1570">
        <f>H25</f>
        <v>100</v>
      </c>
      <c r="V25" s="1569" t="s">
        <v>8</v>
      </c>
      <c r="W25" s="1570">
        <f>J25</f>
        <v>100</v>
      </c>
      <c r="X25" s="1571"/>
      <c r="Y25" s="3397"/>
      <c r="Z25" s="1150">
        <f>Q25</f>
        <v>111</v>
      </c>
      <c r="AA25" s="1577">
        <f>D25/F25</f>
        <v>1</v>
      </c>
      <c r="AB25" s="1577">
        <f>D25/H25</f>
        <v>1</v>
      </c>
      <c r="AC25" s="1577">
        <f>D25/J25</f>
        <v>1</v>
      </c>
    </row>
    <row r="26" spans="1:29" ht="15">
      <c r="A26" s="2933" t="s">
        <v>2758</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8"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9"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9"/>
      <c r="Q27" s="1606" t="str">
        <f t="shared" si="11"/>
        <v>成新率</v>
      </c>
      <c r="R27" s="1578" t="s">
        <v>8</v>
      </c>
      <c r="S27" s="1579" t="e">
        <f t="shared" si="12"/>
        <v>#N/A</v>
      </c>
      <c r="T27" s="1578" t="s">
        <v>8</v>
      </c>
      <c r="U27" s="1579" t="e">
        <f t="shared" si="13"/>
        <v>#N/A</v>
      </c>
      <c r="V27" s="1578" t="s">
        <v>8</v>
      </c>
      <c r="W27" s="1579" t="e">
        <f t="shared" si="14"/>
        <v>#N/A</v>
      </c>
      <c r="X27" s="1580"/>
      <c r="Y27" s="3399"/>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9"/>
      <c r="Q28" s="1573" t="str">
        <f t="shared" si="11"/>
        <v>物业等级</v>
      </c>
      <c r="R28" s="1574" t="s">
        <v>8</v>
      </c>
      <c r="S28" s="1575">
        <f t="shared" si="12"/>
        <v>100</v>
      </c>
      <c r="T28" s="1574" t="s">
        <v>8</v>
      </c>
      <c r="U28" s="1575">
        <f t="shared" si="13"/>
        <v>100</v>
      </c>
      <c r="V28" s="1574" t="s">
        <v>8</v>
      </c>
      <c r="W28" s="1575">
        <f t="shared" si="14"/>
        <v>100</v>
      </c>
      <c r="X28" s="1568"/>
      <c r="Y28" s="3399"/>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9"/>
      <c r="Q29" s="1573" t="str">
        <f t="shared" si="11"/>
        <v>有无电梯</v>
      </c>
      <c r="R29" s="1574" t="s">
        <v>8</v>
      </c>
      <c r="S29" s="1575">
        <f t="shared" si="12"/>
        <v>100</v>
      </c>
      <c r="T29" s="1574" t="s">
        <v>8</v>
      </c>
      <c r="U29" s="1575">
        <f t="shared" si="13"/>
        <v>100</v>
      </c>
      <c r="V29" s="1574" t="s">
        <v>8</v>
      </c>
      <c r="W29" s="1575">
        <f t="shared" si="14"/>
        <v>100</v>
      </c>
      <c r="X29" s="1568"/>
      <c r="Y29" s="3399"/>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9"/>
      <c r="Q30" s="1573" t="str">
        <f t="shared" si="11"/>
        <v>建筑面积</v>
      </c>
      <c r="R30" s="1574" t="s">
        <v>8</v>
      </c>
      <c r="S30" s="1575" t="e">
        <f t="shared" si="12"/>
        <v>#N/A</v>
      </c>
      <c r="T30" s="1574" t="s">
        <v>8</v>
      </c>
      <c r="U30" s="1575" t="e">
        <f t="shared" si="13"/>
        <v>#N/A</v>
      </c>
      <c r="V30" s="1574" t="s">
        <v>8</v>
      </c>
      <c r="W30" s="1575" t="e">
        <f t="shared" si="14"/>
        <v>#N/A</v>
      </c>
      <c r="X30" s="1568"/>
      <c r="Y30" s="3399"/>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9"/>
      <c r="Q31" s="1151" t="str">
        <f t="shared" si="11"/>
        <v>是否封闭</v>
      </c>
      <c r="R31" s="1569" t="s">
        <v>8</v>
      </c>
      <c r="S31" s="1570">
        <f t="shared" si="12"/>
        <v>100</v>
      </c>
      <c r="T31" s="1569" t="s">
        <v>8</v>
      </c>
      <c r="U31" s="1570">
        <f t="shared" si="13"/>
        <v>100</v>
      </c>
      <c r="V31" s="1569" t="s">
        <v>8</v>
      </c>
      <c r="W31" s="1570">
        <f t="shared" si="14"/>
        <v>100</v>
      </c>
      <c r="X31" s="1571"/>
      <c r="Y31" s="339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9" t="s">
        <v>549</v>
      </c>
      <c r="Q32" s="1573">
        <f t="shared" si="11"/>
        <v>111</v>
      </c>
      <c r="R32" s="1574" t="s">
        <v>8</v>
      </c>
      <c r="S32" s="1575">
        <f t="shared" si="12"/>
        <v>100</v>
      </c>
      <c r="T32" s="1574" t="s">
        <v>8</v>
      </c>
      <c r="U32" s="1575">
        <f t="shared" si="13"/>
        <v>100</v>
      </c>
      <c r="V32" s="1574" t="s">
        <v>8</v>
      </c>
      <c r="W32" s="1575">
        <f t="shared" si="14"/>
        <v>100</v>
      </c>
      <c r="X32" s="1568"/>
      <c r="Y32" s="3399"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9"/>
      <c r="Q33" s="1573">
        <f t="shared" si="11"/>
        <v>111</v>
      </c>
      <c r="R33" s="1574" t="s">
        <v>8</v>
      </c>
      <c r="S33" s="1575">
        <f t="shared" si="12"/>
        <v>100</v>
      </c>
      <c r="T33" s="1574" t="s">
        <v>8</v>
      </c>
      <c r="U33" s="1575">
        <f t="shared" si="13"/>
        <v>100</v>
      </c>
      <c r="V33" s="1574" t="s">
        <v>8</v>
      </c>
      <c r="W33" s="1575">
        <f t="shared" si="14"/>
        <v>100</v>
      </c>
      <c r="X33" s="1568"/>
      <c r="Y33" s="339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ht="15">
      <c r="A35" s="607" t="s">
        <v>735</v>
      </c>
      <c r="B35" s="887"/>
      <c r="C35" s="2653" t="s">
        <v>1</v>
      </c>
      <c r="D35" s="2654"/>
      <c r="E35" s="2655"/>
      <c r="F35" s="2656"/>
      <c r="G35" s="2657"/>
      <c r="H35" s="2658"/>
      <c r="I35" s="2655"/>
      <c r="J35" s="2658"/>
      <c r="K35" s="1612"/>
      <c r="L35" s="2146"/>
      <c r="M35" s="2147"/>
      <c r="N35" s="2136"/>
      <c r="O35" s="2147"/>
      <c r="P35" s="3360" t="str">
        <f>A35</f>
        <v>成交单价（元/平方米）</v>
      </c>
      <c r="Q35" s="3360"/>
      <c r="R35" s="3428">
        <f>E35</f>
        <v>0</v>
      </c>
      <c r="S35" s="3428"/>
      <c r="T35" s="3428">
        <f>G35</f>
        <v>0</v>
      </c>
      <c r="U35" s="3428"/>
      <c r="V35" s="3428">
        <f>I35</f>
        <v>0</v>
      </c>
      <c r="W35" s="3428"/>
      <c r="X35" s="1560"/>
      <c r="Y35" s="1582"/>
      <c r="Z35" s="1560"/>
      <c r="AA35" s="1560"/>
      <c r="AB35" s="1560"/>
      <c r="AC35" s="1560"/>
    </row>
    <row r="36" spans="1:29" ht="15.75" thickBot="1">
      <c r="A36" s="615" t="s">
        <v>2763</v>
      </c>
      <c r="B36" s="888"/>
      <c r="C36" s="2659" t="e">
        <f>R37</f>
        <v>#DIV/0!</v>
      </c>
      <c r="D36" s="2660"/>
      <c r="E36" s="2661" t="e">
        <f>R36</f>
        <v>#DIV/0!</v>
      </c>
      <c r="F36" s="2661"/>
      <c r="G36" s="2659" t="e">
        <f>T36</f>
        <v>#DIV/0!</v>
      </c>
      <c r="H36" s="2660"/>
      <c r="I36" s="2661" t="e">
        <f>V36</f>
        <v>#DIV/0!</v>
      </c>
      <c r="J36" s="2660"/>
      <c r="K36" s="1613"/>
      <c r="L36" s="2146"/>
      <c r="M36" s="2147"/>
      <c r="N36" s="2136"/>
      <c r="O36" s="2147"/>
      <c r="P36" s="3360" t="str">
        <f>A36</f>
        <v>比较价格（元/平方米）</v>
      </c>
      <c r="Q36" s="3360"/>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1560"/>
      <c r="Y36" s="1560"/>
      <c r="Z36" s="1560"/>
      <c r="AA36" s="1560"/>
      <c r="AB36" s="1560"/>
      <c r="AC36" s="1560"/>
    </row>
    <row r="37" spans="1:29" ht="15.75" thickBot="1">
      <c r="A37" s="621" t="s">
        <v>2939</v>
      </c>
      <c r="B37" s="622"/>
      <c r="C37" s="2662" t="e">
        <f>R37</f>
        <v>#DIV/0!</v>
      </c>
      <c r="D37" s="2662"/>
      <c r="E37" s="2662"/>
      <c r="F37" s="2662"/>
      <c r="G37" s="2662"/>
      <c r="H37" s="2662"/>
      <c r="I37" s="2662"/>
      <c r="J37" s="2662"/>
      <c r="K37" s="1614"/>
      <c r="L37" s="2146"/>
      <c r="M37" s="2147"/>
      <c r="N37" s="2147"/>
      <c r="O37" s="2147"/>
      <c r="P37" s="3357" t="str">
        <f>A37</f>
        <v>估价对象XX用房的比较价格（楼面单价，元/平方米）</v>
      </c>
      <c r="Q37" s="3358"/>
      <c r="R37" s="3427" t="e">
        <f>IF(F1="售价",ROUND(AVERAGE(R36:V36),0),ROUND(AVERAGE(R36:V36),1))</f>
        <v>#DIV/0!</v>
      </c>
      <c r="S37" s="3427"/>
      <c r="T37" s="3427"/>
      <c r="U37" s="3427"/>
      <c r="V37" s="3427"/>
      <c r="W37" s="3427"/>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2018-4</v>
      </c>
      <c r="D46" s="2830">
        <f>EDATE(C46,-1)</f>
        <v>43160</v>
      </c>
      <c r="E46" s="2830">
        <f t="shared" ref="E46:O46" si="16">EDATE(D46,-1)</f>
        <v>43132</v>
      </c>
      <c r="F46" s="2830">
        <f t="shared" si="16"/>
        <v>43101</v>
      </c>
      <c r="G46" s="2830">
        <f t="shared" si="16"/>
        <v>43070</v>
      </c>
      <c r="H46" s="2830">
        <f t="shared" si="16"/>
        <v>43040</v>
      </c>
      <c r="I46" s="2830">
        <f t="shared" si="16"/>
        <v>43009</v>
      </c>
      <c r="J46" s="2830">
        <f t="shared" si="16"/>
        <v>42979</v>
      </c>
      <c r="K46" s="2830">
        <f t="shared" si="16"/>
        <v>42948</v>
      </c>
      <c r="L46" s="2830">
        <f t="shared" si="16"/>
        <v>42917</v>
      </c>
      <c r="M46" s="2830">
        <f t="shared" si="16"/>
        <v>42887</v>
      </c>
      <c r="N46" s="2830">
        <f t="shared" si="16"/>
        <v>42856</v>
      </c>
      <c r="O46" s="2830">
        <f t="shared" si="16"/>
        <v>42826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2560</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2561</v>
      </c>
      <c r="C65" s="2624" t="s">
        <v>2562</v>
      </c>
      <c r="D65" s="2624" t="s">
        <v>2563</v>
      </c>
      <c r="E65" s="2624" t="s">
        <v>2564</v>
      </c>
      <c r="F65" s="2624" t="s">
        <v>2565</v>
      </c>
      <c r="G65" s="2624" t="s">
        <v>2566</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485" t="s">
        <v>2306</v>
      </c>
      <c r="D1" s="3486"/>
      <c r="E1" s="3486"/>
      <c r="F1" s="3486"/>
      <c r="G1" s="3486"/>
      <c r="H1" s="3486"/>
      <c r="I1" s="3486"/>
      <c r="J1" s="3486"/>
      <c r="K1" s="3486"/>
      <c r="L1" s="3486"/>
      <c r="M1" s="3486"/>
      <c r="N1" s="3486"/>
      <c r="O1" s="3486"/>
      <c r="P1" s="3486"/>
      <c r="Q1" s="3486"/>
      <c r="R1" s="3486"/>
      <c r="S1" s="3487"/>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482" t="s">
        <v>20</v>
      </c>
      <c r="D22" s="3483"/>
      <c r="E22" s="3483"/>
      <c r="F22" s="3483"/>
      <c r="G22" s="3483"/>
      <c r="H22" s="3483"/>
      <c r="I22" s="3483"/>
      <c r="J22" s="3483"/>
      <c r="K22" s="3483"/>
      <c r="L22" s="3483"/>
      <c r="M22" s="3483"/>
      <c r="N22" s="3483"/>
      <c r="O22" s="3483"/>
      <c r="P22" s="3483"/>
      <c r="Q22" s="3484"/>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中信信托有限责任公司：</v>
      </c>
    </row>
    <row r="4" spans="1:4" ht="37.5">
      <c r="A4" s="1793" t="str">
        <f>"受贵公司委托，我公司对"&amp;项目基本情况!K2&amp;项目基本情况!B9&amp;"进行了预评估。"</f>
        <v>受贵公司委托，我公司对河北省衡水市桃城区人民路南侧、问津街西侧出让国有建设用地使用权抵押价格进行了预评估。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衡水市桃城区人民路南侧、问津街西侧出让国有建设用地使用权。根据《国有土地使用证》[]，估价对象（分摊）出让国有建设用地使用权面积为6666.4平方米。根据《建设工程规划许可证》[]、《出让合同》[]，估价对象规划建筑面积为26666平方米。</v>
      </c>
    </row>
    <row r="7" spans="1:4" ht="93.75">
      <c r="A7" s="2899" t="s">
        <v>2751</v>
      </c>
    </row>
    <row r="8" spans="1:4" ht="18.75">
      <c r="A8" s="1796" t="s">
        <v>1906</v>
      </c>
    </row>
    <row r="9" spans="1:4" ht="93.75">
      <c r="A9" s="1798" t="str">
        <f>IF(项目基本情况!B8="抵押",IF(项目基本情况!B5=项目基本情况!B6,定义!C51,定义!B51),定义!D51)</f>
        <v>衡水斯凯学园房地产开发有限公司拟使用河北省衡水市桃城区人民路南侧、问津街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2018年4月25日（评估专业人员勘察现场之日）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根据《国有土地使用证》[]，估价对象（分摊）出让国有建设用地使用权面积为6666.4平方米。根据《建设工程规划许可证》[]、《出让合同》[]，估价对象规划建筑面积为26666平方米。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901" t="s">
        <v>2752</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2791</v>
      </c>
      <c r="C1" s="3030">
        <f>项目基本情况!D3</f>
        <v>43215</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2822</v>
      </c>
      <c r="C2" s="3031">
        <f>'数据-取费表'!B22</f>
        <v>1.5</v>
      </c>
      <c r="D2" s="3026" t="s">
        <v>2792</v>
      </c>
      <c r="E2" s="3029">
        <f ca="1">INDIRECT("I"&amp;$I$1)/100</f>
        <v>4.7500000000000001E-2</v>
      </c>
      <c r="G2" s="2966"/>
      <c r="H2" s="2966"/>
      <c r="I2" s="2966" t="s">
        <v>2793</v>
      </c>
      <c r="K2" s="2966"/>
      <c r="L2" s="2966"/>
      <c r="M2" s="2966"/>
      <c r="N2" s="2966" t="s">
        <v>2794</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2824</v>
      </c>
      <c r="C3" s="3028">
        <f>'数据-取费表'!B19</f>
        <v>0</v>
      </c>
      <c r="D3" s="3026" t="s">
        <v>2792</v>
      </c>
      <c r="E3" s="3029">
        <f ca="1">INDIRECT("J"&amp;$J$1)/100</f>
        <v>0</v>
      </c>
      <c r="G3" s="2968" t="s">
        <v>2795</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2823</v>
      </c>
      <c r="C4" s="3029">
        <f ca="1">N4/100</f>
        <v>1.4999999999999999E-2</v>
      </c>
      <c r="G4" s="2974" t="s">
        <v>2796</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2797</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2798</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2799</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2800</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2801</v>
      </c>
      <c r="C10" s="2993"/>
      <c r="D10" s="2993"/>
      <c r="E10" s="2993"/>
      <c r="F10" s="2993"/>
      <c r="G10" s="2993"/>
      <c r="H10" s="2993"/>
      <c r="I10" s="2967"/>
      <c r="J10" s="2967"/>
      <c r="K10" s="2993"/>
      <c r="L10" s="2994" t="s">
        <v>2802</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2803</v>
      </c>
      <c r="C11" s="2998" t="s">
        <v>2804</v>
      </c>
      <c r="D11" s="2999" t="s">
        <v>2805</v>
      </c>
      <c r="E11" s="3000"/>
      <c r="F11" s="2999" t="s">
        <v>2806</v>
      </c>
      <c r="G11" s="3001"/>
      <c r="H11" s="3000"/>
      <c r="I11" s="2999" t="s">
        <v>2807</v>
      </c>
      <c r="J11" s="3000"/>
      <c r="K11" s="2996"/>
      <c r="L11" s="2997" t="s">
        <v>2803</v>
      </c>
      <c r="M11" s="2998" t="s">
        <v>2804</v>
      </c>
      <c r="N11" s="2997" t="s">
        <v>2808</v>
      </c>
      <c r="O11" s="2999" t="s">
        <v>2809</v>
      </c>
      <c r="P11" s="3001"/>
      <c r="Q11" s="3001"/>
      <c r="R11" s="3001"/>
      <c r="S11" s="3001"/>
      <c r="T11" s="3000"/>
      <c r="U11" s="2999" t="s">
        <v>2810</v>
      </c>
      <c r="V11" s="3001"/>
      <c r="W11" s="3000"/>
      <c r="X11" s="2997" t="s">
        <v>2811</v>
      </c>
      <c r="Y11" s="2997" t="s">
        <v>2812</v>
      </c>
      <c r="Z11" s="2997" t="s">
        <v>2813</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2814</v>
      </c>
      <c r="E12" s="3006" t="s">
        <v>2815</v>
      </c>
      <c r="F12" s="3006" t="s">
        <v>2816</v>
      </c>
      <c r="G12" s="3006" t="s">
        <v>2817</v>
      </c>
      <c r="H12" s="3006" t="s">
        <v>2799</v>
      </c>
      <c r="I12" s="3007" t="s">
        <v>2818</v>
      </c>
      <c r="J12" s="3007" t="s">
        <v>2818</v>
      </c>
      <c r="K12" s="3003"/>
      <c r="L12" s="3004"/>
      <c r="M12" s="3005"/>
      <c r="N12" s="3004"/>
      <c r="O12" s="3007" t="s">
        <v>2819</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2820</v>
      </c>
      <c r="C13" s="3011">
        <v>42301</v>
      </c>
      <c r="D13" s="3012">
        <v>4.3499999999999996</v>
      </c>
      <c r="E13" s="3012">
        <v>4.3499999999999996</v>
      </c>
      <c r="F13" s="3012">
        <v>4.75</v>
      </c>
      <c r="G13" s="3012">
        <v>4.75</v>
      </c>
      <c r="H13" s="3012">
        <v>4.9000000000000004</v>
      </c>
      <c r="I13" s="3012">
        <v>2.75</v>
      </c>
      <c r="J13" s="3012">
        <v>3.25</v>
      </c>
      <c r="K13" s="3009"/>
      <c r="L13" s="3010" t="s">
        <v>2820</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2821</v>
      </c>
      <c r="Y42" s="3016" t="s">
        <v>2821</v>
      </c>
      <c r="Z42" s="3016" t="s">
        <v>2821</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2821</v>
      </c>
      <c r="Y43" s="3016" t="s">
        <v>2821</v>
      </c>
      <c r="Z43" s="3016" t="s">
        <v>2821</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2821</v>
      </c>
      <c r="Y44" s="3016" t="s">
        <v>2821</v>
      </c>
      <c r="Z44" s="3016" t="s">
        <v>2821</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2821</v>
      </c>
      <c r="Y45" s="3016" t="s">
        <v>2821</v>
      </c>
      <c r="Z45" s="3016" t="s">
        <v>2821</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2821</v>
      </c>
      <c r="Y46" s="3016" t="s">
        <v>2821</v>
      </c>
      <c r="Z46" s="3016" t="s">
        <v>2821</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2821</v>
      </c>
      <c r="Y47" s="3016" t="s">
        <v>2821</v>
      </c>
      <c r="Z47" s="3016" t="s">
        <v>2821</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2821</v>
      </c>
      <c r="Y48" s="3016" t="s">
        <v>2821</v>
      </c>
      <c r="Z48" s="3016" t="s">
        <v>2821</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2821</v>
      </c>
      <c r="Y49" s="3016" t="s">
        <v>2821</v>
      </c>
      <c r="Z49" s="3016" t="s">
        <v>2821</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2821</v>
      </c>
      <c r="Y50" s="3016" t="s">
        <v>2821</v>
      </c>
      <c r="Z50" s="3016" t="s">
        <v>2821</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2821</v>
      </c>
      <c r="V51" s="3016" t="s">
        <v>2821</v>
      </c>
      <c r="W51" s="3016" t="s">
        <v>2821</v>
      </c>
      <c r="X51" s="3016" t="s">
        <v>2821</v>
      </c>
      <c r="Y51" s="3016" t="s">
        <v>2821</v>
      </c>
      <c r="Z51" s="3016" t="s">
        <v>2821</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2821</v>
      </c>
      <c r="J55" s="3016" t="s">
        <v>2821</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2040</v>
      </c>
      <c r="B1" s="3196"/>
      <c r="C1" s="3196"/>
      <c r="D1" s="3196"/>
      <c r="E1" s="3196"/>
      <c r="F1" s="3196"/>
      <c r="G1" s="3196"/>
      <c r="H1" s="3196"/>
      <c r="I1" s="3196"/>
      <c r="J1" s="3196"/>
      <c r="K1" s="3196"/>
      <c r="L1" s="3196"/>
      <c r="M1" s="3196"/>
      <c r="N1" s="3196"/>
      <c r="O1" s="3196"/>
      <c r="P1" s="3196"/>
      <c r="Q1" s="3196"/>
      <c r="R1" s="3196"/>
    </row>
    <row r="2" spans="1:18">
      <c r="A2" s="1809" t="s">
        <v>2042</v>
      </c>
      <c r="B2" s="1809"/>
      <c r="C2" s="1809"/>
      <c r="D2" s="1809"/>
      <c r="E2" s="1809"/>
      <c r="F2" s="1809"/>
      <c r="G2" s="1809"/>
      <c r="H2" s="1809"/>
      <c r="I2" s="1810"/>
      <c r="J2" s="1810"/>
      <c r="K2" s="1811" t="str">
        <f>"估价期日："&amp;TEXT(项目基本情况!D3,"yyyy年m月d日;;")</f>
        <v>估价期日：2018年4月25日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7" t="s">
        <v>2031</v>
      </c>
      <c r="B3" s="3197" t="s">
        <v>2734</v>
      </c>
      <c r="C3" s="3198" t="s">
        <v>2032</v>
      </c>
      <c r="D3" s="3197" t="s">
        <v>2738</v>
      </c>
      <c r="E3" s="3200" t="s">
        <v>2033</v>
      </c>
      <c r="F3" s="3200"/>
      <c r="G3" s="3200"/>
      <c r="H3" s="3200" t="s">
        <v>2034</v>
      </c>
      <c r="I3" s="3200"/>
      <c r="J3" s="3200"/>
      <c r="K3" s="3198" t="s">
        <v>2035</v>
      </c>
      <c r="L3" s="3198" t="s">
        <v>2036</v>
      </c>
      <c r="M3" s="3197" t="s">
        <v>2735</v>
      </c>
      <c r="N3" s="3199" t="str">
        <f>"（分摊）"&amp;项目基本情况!B16&amp;"国有建设用地使用权面积/㎡"</f>
        <v>（分摊）出让国有建设用地使用权面积/㎡</v>
      </c>
      <c r="O3" s="3197" t="s">
        <v>2065</v>
      </c>
      <c r="P3" s="3198" t="s">
        <v>2045</v>
      </c>
      <c r="Q3" s="3198" t="s">
        <v>2066</v>
      </c>
      <c r="R3" s="3198" t="s">
        <v>2037</v>
      </c>
    </row>
    <row r="4" spans="1:18" ht="36.75" customHeight="1">
      <c r="A4" s="3197"/>
      <c r="B4" s="3197"/>
      <c r="C4" s="3198"/>
      <c r="D4" s="3197"/>
      <c r="E4" s="2675" t="s">
        <v>2044</v>
      </c>
      <c r="F4" s="2675" t="s">
        <v>2747</v>
      </c>
      <c r="G4" s="2675" t="s">
        <v>2038</v>
      </c>
      <c r="H4" s="2675" t="s">
        <v>2039</v>
      </c>
      <c r="I4" s="2675" t="s">
        <v>2748</v>
      </c>
      <c r="J4" s="2675" t="s">
        <v>2038</v>
      </c>
      <c r="K4" s="3198"/>
      <c r="L4" s="3198"/>
      <c r="M4" s="3197"/>
      <c r="N4" s="3199"/>
      <c r="O4" s="3197"/>
      <c r="P4" s="3198"/>
      <c r="Q4" s="3198"/>
      <c r="R4" s="3198"/>
    </row>
    <row r="5" spans="1:18" ht="135" customHeight="1">
      <c r="A5" s="1945" t="s">
        <v>2658</v>
      </c>
      <c r="B5" s="2893" t="s">
        <v>2656</v>
      </c>
      <c r="C5" s="2674">
        <v>22</v>
      </c>
      <c r="D5" s="2673" t="s">
        <v>2657</v>
      </c>
      <c r="E5" s="1812">
        <f>项目基本情况!B12</f>
        <v>0</v>
      </c>
      <c r="F5" s="2673">
        <v>258</v>
      </c>
      <c r="G5" s="1812">
        <f>项目基本情况!B13</f>
        <v>0</v>
      </c>
      <c r="H5" s="2673">
        <v>1.5</v>
      </c>
      <c r="I5" s="2673">
        <v>1.5</v>
      </c>
      <c r="J5" s="2673">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6666.4</v>
      </c>
      <c r="O5" s="1812">
        <f>项目基本情况!C21</f>
        <v>26666</v>
      </c>
      <c r="P5" s="1812">
        <f ca="1">结果表!E42</f>
        <v>4626</v>
      </c>
      <c r="Q5" s="1812">
        <f ca="1">结果表!D42</f>
        <v>1157</v>
      </c>
      <c r="R5" s="1813">
        <f ca="1">结果表!C42</f>
        <v>3084</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814">
        <f ca="1">结果表!O39</f>
        <v>3084</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814" t="str">
        <f>结果表!O40</f>
        <v>——</v>
      </c>
    </row>
    <row r="8" spans="1:18">
      <c r="A8" s="3193">
        <f>IF(项目基本情况!B9="市场价格","——",项目基本情况!E9)</f>
        <v>0</v>
      </c>
      <c r="B8" s="3194"/>
      <c r="C8" s="3194"/>
      <c r="D8" s="3194"/>
      <c r="E8" s="3194"/>
      <c r="F8" s="3194"/>
      <c r="G8" s="3194"/>
      <c r="H8" s="3194"/>
      <c r="I8" s="3194"/>
      <c r="J8" s="3194"/>
      <c r="K8" s="3194"/>
      <c r="L8" s="3194"/>
      <c r="M8" s="3194"/>
      <c r="N8" s="3194"/>
      <c r="O8" s="3194"/>
      <c r="P8" s="3194"/>
      <c r="Q8" s="3195"/>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2" t="s">
        <v>2067</v>
      </c>
      <c r="B1" s="3202"/>
      <c r="C1" s="3202"/>
      <c r="D1" s="3202"/>
    </row>
    <row r="2" spans="1:4" ht="47.25" customHeight="1">
      <c r="A2" s="3203" t="str">
        <f>"1.权利限制："&amp;项目基本情况!L24&amp;"未设定租赁等其他他项权利。"</f>
        <v>1.权利限制：根据估价对象《不动产权证书》原件、《国有土地使用权》复印件，截至估价期日，估价对象抵押权未见登记。未设定租赁等其他他项权利。</v>
      </c>
      <c r="B2" s="3203"/>
      <c r="C2" s="3203"/>
      <c r="D2" s="3203"/>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1" t="s">
        <v>2068</v>
      </c>
      <c r="B5" s="3201"/>
      <c r="C5" s="3201"/>
      <c r="D5" s="3201"/>
    </row>
    <row r="6" spans="1:4">
      <c r="A6" s="3202" t="s">
        <v>2046</v>
      </c>
      <c r="B6" s="3202"/>
      <c r="C6" s="3202"/>
      <c r="D6" s="3202"/>
    </row>
    <row r="7" spans="1:4" ht="33" customHeight="1">
      <c r="A7" s="3202" t="s">
        <v>2578</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4"/>
      <c r="C11" s="3204"/>
      <c r="D11" s="3204"/>
    </row>
    <row r="12" spans="1:4" ht="168" customHeight="1">
      <c r="A12" s="3201" t="s">
        <v>2070</v>
      </c>
      <c r="B12" s="3201"/>
      <c r="C12" s="3201"/>
      <c r="D12" s="3201"/>
    </row>
    <row r="13" spans="1:4">
      <c r="A13" s="3205" t="s">
        <v>2749</v>
      </c>
      <c r="B13" s="3205"/>
      <c r="C13" s="3205"/>
      <c r="D13" s="3205"/>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2705</v>
      </c>
      <c r="B17" s="3202"/>
      <c r="C17" s="3202"/>
      <c r="D17" s="3202"/>
    </row>
    <row r="18" spans="1:4">
      <c r="A18" s="3202" t="s">
        <v>2697</v>
      </c>
      <c r="B18" s="3202"/>
      <c r="C18" s="3202"/>
      <c r="D18" s="3202"/>
    </row>
    <row r="19" spans="1:4">
      <c r="A19" s="2894" t="s">
        <v>2698</v>
      </c>
      <c r="B19" s="2894" t="s">
        <v>2699</v>
      </c>
      <c r="C19" s="2894" t="s">
        <v>2700</v>
      </c>
      <c r="D19" s="2894" t="s">
        <v>2701</v>
      </c>
    </row>
    <row r="20" spans="1:4">
      <c r="A20" s="2894" t="str">
        <f>项目基本情况!B4</f>
        <v>土地估价师</v>
      </c>
      <c r="B20" s="2894">
        <f>项目基本情况!C4</f>
        <v>0</v>
      </c>
      <c r="C20" s="2896"/>
      <c r="D20" s="1802" t="s">
        <v>2706</v>
      </c>
    </row>
    <row r="21" spans="1:4">
      <c r="A21" s="2894" t="str">
        <f>项目基本情况!D4</f>
        <v>土地估价师</v>
      </c>
      <c r="B21" s="2894">
        <f>项目基本情况!E4</f>
        <v>0</v>
      </c>
      <c r="C21" s="2896"/>
      <c r="D21" s="1802" t="s">
        <v>2707</v>
      </c>
    </row>
    <row r="23" spans="1:4">
      <c r="A23" s="3202" t="s">
        <v>2702</v>
      </c>
      <c r="B23" s="3202"/>
      <c r="C23" s="3202"/>
      <c r="D23" s="3202"/>
    </row>
    <row r="24" spans="1:4">
      <c r="A24" s="2894" t="s">
        <v>2698</v>
      </c>
      <c r="B24" s="2894" t="s">
        <v>2703</v>
      </c>
      <c r="C24" s="2894" t="s">
        <v>2700</v>
      </c>
      <c r="D24" s="2894" t="s">
        <v>2701</v>
      </c>
    </row>
    <row r="25" spans="1:4">
      <c r="A25" s="2897" t="s">
        <v>2704</v>
      </c>
      <c r="B25" s="2894" t="s">
        <v>951</v>
      </c>
      <c r="C25" s="2896"/>
      <c r="D25" s="1802" t="s">
        <v>2707</v>
      </c>
    </row>
    <row r="29" spans="1:4">
      <c r="D29" s="2895" t="s">
        <v>2041</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13" t="s">
        <v>53</v>
      </c>
      <c r="B15" s="3214" t="s">
        <v>845</v>
      </c>
      <c r="C15" s="3210"/>
    </row>
    <row r="16" spans="1:7" ht="14.25">
      <c r="A16" s="3213"/>
      <c r="B16" s="3211" t="s">
        <v>54</v>
      </c>
      <c r="C16" s="1172" t="s">
        <v>53</v>
      </c>
    </row>
    <row r="17" spans="1:3" ht="14.25">
      <c r="A17" s="3213"/>
      <c r="B17" s="3211"/>
      <c r="C17" s="1172" t="s">
        <v>55</v>
      </c>
    </row>
    <row r="18" spans="1:3" ht="14.25">
      <c r="A18" s="3213"/>
      <c r="B18" s="3211"/>
      <c r="C18" s="1172" t="s">
        <v>56</v>
      </c>
    </row>
    <row r="19" spans="1:3" ht="14.25">
      <c r="A19" s="3213"/>
      <c r="B19" s="3209" t="s">
        <v>57</v>
      </c>
      <c r="C19" s="3210"/>
    </row>
    <row r="20" spans="1:3" ht="14.25">
      <c r="A20" s="1173" t="s">
        <v>58</v>
      </c>
      <c r="B20" s="1174"/>
      <c r="C20" s="1175"/>
    </row>
    <row r="21" spans="1:3" ht="14.25">
      <c r="A21" s="3212" t="s">
        <v>59</v>
      </c>
      <c r="B21" s="3209" t="s">
        <v>60</v>
      </c>
      <c r="C21" s="3210"/>
    </row>
    <row r="22" spans="1:3" ht="14.25">
      <c r="A22" s="3212"/>
      <c r="B22" s="3209" t="s">
        <v>61</v>
      </c>
      <c r="C22" s="3210"/>
    </row>
    <row r="23" spans="1:3" ht="14.25">
      <c r="A23" s="3212"/>
      <c r="B23" s="3209" t="s">
        <v>62</v>
      </c>
      <c r="C23" s="3210"/>
    </row>
    <row r="24" spans="1:3" ht="14.25">
      <c r="A24" s="3212"/>
      <c r="B24" s="3215" t="s">
        <v>63</v>
      </c>
      <c r="C24" s="1176" t="s">
        <v>836</v>
      </c>
    </row>
    <row r="25" spans="1:3" ht="14.25">
      <c r="A25" s="3212"/>
      <c r="B25" s="3216"/>
      <c r="C25" s="1176" t="s">
        <v>837</v>
      </c>
    </row>
    <row r="26" spans="1:3" ht="14.25">
      <c r="A26" s="3212"/>
      <c r="B26" s="3216"/>
      <c r="C26" s="1176" t="s">
        <v>838</v>
      </c>
    </row>
    <row r="27" spans="1:3" ht="14.25">
      <c r="A27" s="3212"/>
      <c r="B27" s="3216"/>
      <c r="C27" s="1176" t="s">
        <v>839</v>
      </c>
    </row>
    <row r="28" spans="1:3" ht="14.25">
      <c r="A28" s="3212"/>
      <c r="B28" s="3216"/>
      <c r="C28" s="1176" t="s">
        <v>840</v>
      </c>
    </row>
    <row r="29" spans="1:3" ht="14.25">
      <c r="A29" s="3212"/>
      <c r="B29" s="3216"/>
      <c r="C29" s="1176" t="s">
        <v>841</v>
      </c>
    </row>
    <row r="30" spans="1:3" ht="14.25">
      <c r="A30" s="3212"/>
      <c r="B30" s="3216"/>
      <c r="C30" s="1176" t="s">
        <v>842</v>
      </c>
    </row>
    <row r="31" spans="1:3" ht="14.25">
      <c r="A31" s="3212"/>
      <c r="B31" s="3216"/>
      <c r="C31" s="1176" t="s">
        <v>843</v>
      </c>
    </row>
    <row r="32" spans="1:3" ht="14.25">
      <c r="A32" s="3212"/>
      <c r="B32" s="3216"/>
      <c r="C32" s="1176" t="s">
        <v>1646</v>
      </c>
    </row>
    <row r="33" spans="1:3" ht="14.25">
      <c r="A33" s="3212"/>
      <c r="B33" s="3206" t="s">
        <v>1652</v>
      </c>
      <c r="C33" s="1176" t="s">
        <v>1647</v>
      </c>
    </row>
    <row r="34" spans="1:3" ht="14.25">
      <c r="A34" s="3212"/>
      <c r="B34" s="3207"/>
      <c r="C34" s="1181" t="s">
        <v>1648</v>
      </c>
    </row>
    <row r="35" spans="1:3" ht="14.25">
      <c r="A35" s="3212"/>
      <c r="B35" s="3207"/>
      <c r="C35" s="1182" t="s">
        <v>1649</v>
      </c>
    </row>
    <row r="36" spans="1:3" ht="14.25">
      <c r="A36" s="3212"/>
      <c r="B36" s="3207"/>
      <c r="C36" s="1182" t="s">
        <v>1650</v>
      </c>
    </row>
    <row r="37" spans="1:3" ht="14.25">
      <c r="A37" s="3212"/>
      <c r="B37" s="3208"/>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43223</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32">
        <v>43849</v>
      </c>
      <c r="D4" s="2345" t="s">
        <v>1914</v>
      </c>
      <c r="E4" s="2345">
        <f ca="1">IF(F4&lt;B2,"已过期",96010014)</f>
        <v>96010014</v>
      </c>
      <c r="F4" s="3033">
        <v>47118</v>
      </c>
    </row>
    <row r="5" spans="1:6" ht="20.25" customHeight="1">
      <c r="A5" s="2345" t="s">
        <v>1915</v>
      </c>
      <c r="B5" s="2345">
        <f ca="1">IF(C5&lt;B2,"已过期",1119970074)</f>
        <v>1119970074</v>
      </c>
      <c r="C5" s="3032">
        <v>43849</v>
      </c>
      <c r="D5" s="2345" t="s">
        <v>1915</v>
      </c>
      <c r="E5" s="2345">
        <f ca="1">IF(F5&lt;B2,"已过期",2002110027)</f>
        <v>2002110027</v>
      </c>
      <c r="F5" s="3033">
        <v>46752</v>
      </c>
    </row>
    <row r="6" spans="1:6" ht="20.25" customHeight="1">
      <c r="A6" s="2345" t="s">
        <v>1916</v>
      </c>
      <c r="B6" s="2345">
        <f ca="1">IF(C6&lt;B2,"已过期",1119970111)</f>
        <v>1119970111</v>
      </c>
      <c r="C6" s="3032">
        <v>43849</v>
      </c>
      <c r="D6" s="2345" t="s">
        <v>1916</v>
      </c>
      <c r="E6" s="2345">
        <f ca="1">IF(F6&lt;B2,"已过期",94010078)</f>
        <v>94010078</v>
      </c>
      <c r="F6" s="3033">
        <v>46387</v>
      </c>
    </row>
    <row r="7" spans="1:6" ht="20.25" customHeight="1">
      <c r="A7" s="2345" t="s">
        <v>1917</v>
      </c>
      <c r="B7" s="2345">
        <f ca="1">IF(C7&lt;B2,"已过期",1120050019)</f>
        <v>1120050019</v>
      </c>
      <c r="C7" s="3032">
        <v>43359</v>
      </c>
      <c r="D7" s="2345" t="s">
        <v>1917</v>
      </c>
      <c r="E7" s="2345">
        <f ca="1">IF(F7&lt;B2,"已过期",2002110030)</f>
        <v>2002110030</v>
      </c>
      <c r="F7" s="3033">
        <v>46387</v>
      </c>
    </row>
    <row r="8" spans="1:6" ht="20.25" customHeight="1">
      <c r="A8" s="2345" t="s">
        <v>1918</v>
      </c>
      <c r="B8" s="2345">
        <f ca="1">IF(C8&lt;B2,"已过期",1120000080)</f>
        <v>1120000080</v>
      </c>
      <c r="C8" s="3032">
        <v>43849</v>
      </c>
      <c r="D8" s="2345" t="s">
        <v>1918</v>
      </c>
      <c r="E8" s="2345">
        <f ca="1">IF(F8&lt;B2,"已过期",2000110082)</f>
        <v>2000110082</v>
      </c>
      <c r="F8" s="3033">
        <v>46387</v>
      </c>
    </row>
    <row r="9" spans="1:6" ht="20.25" customHeight="1">
      <c r="A9" s="2345" t="s">
        <v>1919</v>
      </c>
      <c r="B9" s="2345">
        <f ca="1">IF(C9&lt;B2,"已过期",1419970001)</f>
        <v>1419970001</v>
      </c>
      <c r="C9" s="3032">
        <v>43867</v>
      </c>
      <c r="D9" s="2345" t="s">
        <v>1919</v>
      </c>
      <c r="E9" s="2345">
        <f ca="1">IF(F9&lt;B2,"已过期",2002110125)</f>
        <v>2002110125</v>
      </c>
      <c r="F9" s="3033">
        <v>47118</v>
      </c>
    </row>
    <row r="10" spans="1:6" ht="20.25" customHeight="1">
      <c r="A10" s="2345" t="s">
        <v>1920</v>
      </c>
      <c r="B10" s="2345">
        <f ca="1">IF(C10&lt;B2,"已过期",1120060040)</f>
        <v>1120060040</v>
      </c>
      <c r="C10" s="3032">
        <v>43483</v>
      </c>
      <c r="D10" s="2345" t="s">
        <v>1920</v>
      </c>
      <c r="E10" s="2345">
        <f ca="1">IF(F10&lt;B2,"已过期",2004110096)</f>
        <v>2004110096</v>
      </c>
      <c r="F10" s="3033">
        <v>47118</v>
      </c>
    </row>
    <row r="11" spans="1:6" ht="20.25" customHeight="1">
      <c r="A11" s="2345" t="s">
        <v>1921</v>
      </c>
      <c r="B11" s="2345">
        <f ca="1">IF(C11&lt;B2,"已过期",1120100036)</f>
        <v>1120100036</v>
      </c>
      <c r="C11" s="3032">
        <v>43622</v>
      </c>
      <c r="D11" s="2345" t="s">
        <v>1921</v>
      </c>
      <c r="E11" s="2345">
        <f ca="1">IF(F11&lt;B2,"已过期",2010110070)</f>
        <v>2010110070</v>
      </c>
      <c r="F11" s="3033">
        <v>47907</v>
      </c>
    </row>
    <row r="12" spans="1:6" ht="20.25" customHeight="1">
      <c r="A12" s="2345"/>
      <c r="B12" s="2345"/>
      <c r="C12" s="3032"/>
      <c r="D12" s="2345"/>
      <c r="E12" s="2345"/>
      <c r="F12" s="2345"/>
    </row>
    <row r="13" spans="1:6" ht="20.25" customHeight="1">
      <c r="A13" s="2345" t="s">
        <v>1922</v>
      </c>
      <c r="B13" s="2345">
        <f ca="1">IF(C13&lt;B2,"已过期",1120070131)</f>
        <v>1120070131</v>
      </c>
      <c r="C13" s="3032">
        <v>43814</v>
      </c>
      <c r="D13" s="2345" t="s">
        <v>1922</v>
      </c>
      <c r="E13" s="2345">
        <v>2014110011</v>
      </c>
      <c r="F13" s="3033">
        <v>49302</v>
      </c>
    </row>
    <row r="14" spans="1:6" ht="20.25" customHeight="1">
      <c r="A14" s="2345" t="s">
        <v>1923</v>
      </c>
      <c r="B14" s="2345">
        <f ca="1">IF(C14&lt;B2,"已过期",1120130020)</f>
        <v>1120130020</v>
      </c>
      <c r="C14" s="3032">
        <v>43622</v>
      </c>
      <c r="D14" s="2345"/>
      <c r="E14" s="2345"/>
      <c r="F14" s="2345"/>
    </row>
    <row r="15" spans="1:6" ht="20.25" customHeight="1">
      <c r="A15" s="2345" t="s">
        <v>2577</v>
      </c>
      <c r="B15" s="2345">
        <v>1120070085</v>
      </c>
      <c r="C15" s="3032">
        <v>43814</v>
      </c>
      <c r="D15" s="2345" t="s">
        <v>2577</v>
      </c>
      <c r="E15" s="2345">
        <v>2004110128</v>
      </c>
      <c r="F15" s="3033">
        <v>47118</v>
      </c>
    </row>
    <row r="16" spans="1:6" ht="20.25" customHeight="1">
      <c r="A16" s="2345" t="s">
        <v>1924</v>
      </c>
      <c r="B16" s="2345">
        <f ca="1">IF(C16&lt;B2,"已过期",1120140022)</f>
        <v>1120140022</v>
      </c>
      <c r="C16" s="3032">
        <v>44029</v>
      </c>
      <c r="D16" s="2345" t="s">
        <v>1924</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1925</v>
      </c>
      <c r="E21" s="2345">
        <f ca="1">IF(F21&lt;B2,"已过期",2011110090)</f>
        <v>2011110090</v>
      </c>
      <c r="F21" s="3033">
        <v>48302</v>
      </c>
    </row>
    <row r="22" spans="1:7" ht="20.25" customHeight="1">
      <c r="A22" s="2345" t="s">
        <v>1926</v>
      </c>
      <c r="B22" s="2345">
        <f ca="1">IF(C22&lt;B2,"已过期",1120020033)</f>
        <v>1120020033</v>
      </c>
      <c r="C22" s="3032">
        <v>43304</v>
      </c>
      <c r="D22" s="2345" t="s">
        <v>1926</v>
      </c>
      <c r="E22" s="2345">
        <f ca="1">IF(F22&lt;B2,"已过期",2000110137)</f>
        <v>2000110137</v>
      </c>
      <c r="F22" s="3033">
        <v>46387</v>
      </c>
    </row>
    <row r="23" spans="1:7" ht="20.25" customHeight="1">
      <c r="A23" s="2345" t="s">
        <v>1927</v>
      </c>
      <c r="B23" s="2345">
        <f ca="1">IF(C23&lt;B2,"已过期",1120130048)</f>
        <v>1120130048</v>
      </c>
      <c r="C23" s="3032">
        <v>43686</v>
      </c>
      <c r="D23" s="2345"/>
      <c r="E23" s="2345"/>
      <c r="F23" s="2345"/>
    </row>
    <row r="24" spans="1:7" s="2349" customFormat="1" ht="20.25" customHeight="1">
      <c r="A24" s="2347" t="s">
        <v>2055</v>
      </c>
      <c r="B24" s="2347" t="s">
        <v>2055</v>
      </c>
      <c r="C24" s="3032"/>
      <c r="D24" s="3034" t="s">
        <v>2055</v>
      </c>
      <c r="E24" s="2347" t="s">
        <v>2055</v>
      </c>
      <c r="F24" s="2348"/>
    </row>
    <row r="25" spans="1:7" ht="20.25" customHeight="1">
      <c r="A25" s="3217" t="s">
        <v>1928</v>
      </c>
      <c r="B25" s="3217"/>
      <c r="C25" s="3217"/>
      <c r="D25" s="3217"/>
      <c r="E25" s="3217"/>
      <c r="F25" s="3217"/>
      <c r="G25" s="3217"/>
    </row>
    <row r="26" spans="1:7" ht="20.25" customHeight="1">
      <c r="A26" s="3218" t="s">
        <v>1929</v>
      </c>
      <c r="B26" s="3218"/>
      <c r="C26" s="3218"/>
      <c r="D26" s="3218" t="s">
        <v>1930</v>
      </c>
      <c r="E26" s="3218"/>
      <c r="F26" s="3218"/>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2548</v>
      </c>
      <c r="R1" s="2608" t="s">
        <v>2542</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2543</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2544</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2545</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545</v>
      </c>
      <c r="Q5" s="9" t="s">
        <v>97</v>
      </c>
      <c r="R5" s="1006" t="s">
        <v>2546</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2547</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43" t="s">
        <v>2962</v>
      </c>
      <c r="C18" s="1555"/>
    </row>
    <row r="19" spans="1:3">
      <c r="A19" s="8" t="s">
        <v>120</v>
      </c>
      <c r="B19" s="3143" t="s">
        <v>2970</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衡水斯凯学园房地产开发有限公司拟使用河北省衡水市桃城区人民路南侧、问津街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19"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25日，在规划利用条件下、设定土地开发程度为红线外“七通”、宗地内场地，设定用途为，剩余土地使用年限为的出让国有建设用地使用权价格。</v>
      </c>
      <c r="D53" s="1769"/>
      <c r="E53" s="1769"/>
    </row>
    <row r="54" spans="1:5">
      <c r="A54" s="3219"/>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9"/>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9"/>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9"/>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不动产收益法</vt:lpstr>
      <vt:lpstr>酒店收入计算</vt:lpstr>
      <vt:lpstr>不动产比较法-住宅</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2018-05-03T08:08:14Z</dcterms:modified>
</cp:coreProperties>
</file>