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20" windowWidth="11085" windowHeight="139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C88" i="9" l="1"/>
  <c r="I91" i="9"/>
  <c r="D42" i="43" l="1"/>
  <c r="U21" i="1"/>
  <c r="Y22" i="1"/>
  <c r="Y21" i="1"/>
  <c r="Y20" i="1"/>
  <c r="U22" i="1"/>
  <c r="T22" i="1"/>
  <c r="T21" i="1"/>
  <c r="T20" i="1"/>
  <c r="I13" i="3"/>
  <c r="G19" i="6"/>
  <c r="D33" i="43" l="1"/>
  <c r="J52" i="15" l="1"/>
  <c r="E11" i="80" l="1"/>
  <c r="B26" i="31"/>
  <c r="B27" i="31"/>
  <c r="B28" i="31"/>
  <c r="B29" i="31"/>
  <c r="B30" i="31"/>
  <c r="B31" i="31"/>
  <c r="B32" i="31"/>
  <c r="B25" i="31"/>
  <c r="B24" i="31"/>
  <c r="J49" i="67"/>
  <c r="N19" i="1"/>
  <c r="N21" i="1" s="1"/>
  <c r="N6" i="1" s="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E8" i="76"/>
  <c r="E2" i="69"/>
  <c r="E11" i="76"/>
  <c r="D4" i="73"/>
  <c r="B10" i="76"/>
  <c r="J15" i="67"/>
  <c r="F8" i="15"/>
  <c r="L47" i="15"/>
  <c r="M23" i="15"/>
  <c r="E7" i="76"/>
  <c r="M26" i="67"/>
  <c r="M24" i="67"/>
  <c r="F16" i="67"/>
  <c r="F40" i="15"/>
  <c r="E9" i="76"/>
  <c r="E2" i="68"/>
  <c r="F40" i="67"/>
  <c r="C76" i="15"/>
  <c r="M22" i="15"/>
  <c r="F16" i="15"/>
  <c r="F36" i="67"/>
  <c r="F26" i="15"/>
  <c r="B8" i="76"/>
  <c r="M8" i="67"/>
  <c r="F6" i="67"/>
  <c r="B11" i="76"/>
  <c r="F20" i="31"/>
  <c r="B9" i="76"/>
  <c r="F13" i="15"/>
  <c r="M9" i="67"/>
  <c r="F4" i="73"/>
  <c r="M28" i="15"/>
  <c r="F5" i="73"/>
  <c r="M24" i="15"/>
  <c r="F42" i="15"/>
  <c r="F6" i="73"/>
  <c r="M26" i="15"/>
  <c r="F9" i="15"/>
  <c r="M9" i="15"/>
  <c r="M6" i="15"/>
  <c r="F38" i="67"/>
  <c r="F36" i="15"/>
  <c r="M8" i="15"/>
  <c r="E12" i="76"/>
  <c r="E10" i="76"/>
  <c r="M28" i="67"/>
  <c r="AO13" i="1"/>
  <c r="F9" i="67"/>
  <c r="D7" i="73"/>
  <c r="M22" i="67"/>
  <c r="B12" i="76"/>
  <c r="E13" i="76"/>
  <c r="F37" i="15"/>
  <c r="F7" i="73"/>
  <c r="F42" i="67"/>
  <c r="F13" i="67"/>
  <c r="B7" i="76"/>
  <c r="B13" i="76"/>
  <c r="D3" i="73"/>
  <c r="M6" i="67"/>
  <c r="F8" i="67"/>
  <c r="F38" i="15"/>
  <c r="F37" i="67"/>
  <c r="M23" i="67"/>
  <c r="L47" i="67"/>
  <c r="C76" i="67"/>
  <c r="F6" i="15"/>
  <c r="J15" i="15"/>
  <c r="D6" i="73"/>
  <c r="D5" i="73"/>
  <c r="F3" i="73"/>
  <c r="F9" i="1" l="1"/>
  <c r="G9" i="1" s="1"/>
  <c r="G44" i="43"/>
  <c r="G13" i="3"/>
  <c r="G5" i="3" s="1"/>
  <c r="B3" i="3" s="1"/>
  <c r="E264" i="3" s="1"/>
  <c r="D51" i="43"/>
  <c r="D55" i="43"/>
  <c r="D58" i="43"/>
  <c r="C34" i="34"/>
  <c r="E84" i="3"/>
  <c r="H50" i="43"/>
  <c r="H69" i="43"/>
  <c r="C18" i="9"/>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67" i="3"/>
  <c r="E425" i="3"/>
  <c r="E416" i="3"/>
  <c r="E564" i="3"/>
  <c r="E119" i="3"/>
  <c r="E473" i="3"/>
  <c r="E219" i="3"/>
  <c r="E52" i="3"/>
  <c r="E62" i="3"/>
  <c r="E101" i="3"/>
  <c r="E499" i="3"/>
  <c r="E502" i="3"/>
  <c r="E197" i="3"/>
  <c r="E469" i="3"/>
  <c r="E408" i="3"/>
  <c r="E309" i="3"/>
  <c r="E51" i="3"/>
  <c r="AF6" i="3"/>
  <c r="E206" i="3"/>
  <c r="E492" i="3"/>
  <c r="E386" i="3"/>
  <c r="E248" i="3"/>
  <c r="E96" i="3"/>
  <c r="E467" i="3"/>
  <c r="E59" i="3"/>
  <c r="AL6" i="3"/>
  <c r="E348" i="3"/>
  <c r="E243" i="3"/>
  <c r="E198" i="3"/>
  <c r="E95" i="3"/>
  <c r="E90" i="3"/>
  <c r="E417" i="3"/>
  <c r="E460" i="3"/>
  <c r="E494" i="3"/>
  <c r="E566" i="3"/>
  <c r="E255" i="3"/>
  <c r="E430" i="3"/>
  <c r="AD6" i="3"/>
  <c r="E149" i="3"/>
  <c r="E22" i="3"/>
  <c r="E513" i="3"/>
  <c r="E323" i="3"/>
  <c r="E287" i="3"/>
  <c r="E19" i="3"/>
  <c r="E102" i="3"/>
  <c r="E381" i="3"/>
  <c r="E232" i="3"/>
  <c r="E144" i="3"/>
  <c r="E48" i="3"/>
  <c r="E23" i="3"/>
  <c r="E354" i="3"/>
  <c r="E383" i="3"/>
  <c r="E209" i="3"/>
  <c r="E220" i="3"/>
  <c r="E142" i="3"/>
  <c r="E78" i="3"/>
  <c r="E64" i="3"/>
  <c r="E446" i="3"/>
  <c r="E409" i="3"/>
  <c r="E110" i="3"/>
  <c r="E42" i="3"/>
  <c r="E378" i="3"/>
  <c r="E332" i="3"/>
  <c r="E241" i="3"/>
  <c r="E139" i="3"/>
  <c r="E152" i="3"/>
  <c r="E57" i="3"/>
  <c r="E479" i="3"/>
  <c r="E520" i="3"/>
  <c r="E452" i="3"/>
  <c r="E500" i="3"/>
  <c r="E556" i="3"/>
  <c r="E459" i="3"/>
  <c r="E421" i="3"/>
  <c r="E312" i="3"/>
  <c r="E244" i="3"/>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D9" i="69"/>
  <c r="F43" i="15"/>
  <c r="D9" i="68"/>
  <c r="F7" i="67"/>
  <c r="L48" i="15"/>
  <c r="M29" i="15"/>
  <c r="F43" i="67"/>
  <c r="C36" i="68"/>
  <c r="L48" i="67"/>
  <c r="M29" i="67"/>
  <c r="G1" i="73"/>
  <c r="F7" i="15"/>
  <c r="E50" i="3" l="1"/>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C49" i="15" s="1"/>
  <c r="F71" i="15"/>
  <c r="Q16" i="1"/>
  <c r="F27" i="69" s="1"/>
  <c r="F45" i="69" s="1"/>
  <c r="N94" i="46"/>
  <c r="S37" i="34"/>
  <c r="M6" i="1"/>
  <c r="K1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AE6" i="1"/>
  <c r="C16" i="15"/>
  <c r="C16" i="67"/>
  <c r="F27" i="68"/>
  <c r="D26" i="43" l="1"/>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C47" i="11" l="1"/>
  <c r="D45" i="11" s="1"/>
  <c r="O16" i="1"/>
  <c r="C6" i="69"/>
  <c r="C7" i="69" s="1"/>
  <c r="AB10" i="39"/>
  <c r="B4" i="52"/>
  <c r="B43" i="72" s="1"/>
  <c r="B14" i="74"/>
  <c r="B1" i="74"/>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H22" i="6" l="1"/>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34" i="68"/>
  <c r="C14" i="15"/>
  <c r="D31" i="6" l="1"/>
  <c r="I6" i="6" s="1"/>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8" i="1"/>
  <c r="D19" i="9"/>
  <c r="AO10" i="1"/>
  <c r="AO7" i="1"/>
  <c r="AO6" i="1"/>
  <c r="AO11" i="1"/>
  <c r="AO9" i="1"/>
  <c r="D102" i="9" l="1"/>
  <c r="D21" i="9"/>
  <c r="C102" i="9"/>
  <c r="C21" i="9"/>
  <c r="D22" i="9"/>
  <c r="G19" i="9"/>
  <c r="G21" i="9" s="1"/>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34" i="9"/>
  <c r="D35" i="9"/>
  <c r="D103"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H118" i="9" l="1"/>
  <c r="C104" i="9" l="1"/>
  <c r="I118" i="9"/>
  <c r="H119" i="9"/>
  <c r="H5" i="52" s="1"/>
  <c r="H4" i="52"/>
  <c r="H101" i="9"/>
  <c r="D118" i="9"/>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<sst xmlns="http://schemas.openxmlformats.org/spreadsheetml/2006/main" count="7966" uniqueCount="3484">
  <si>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</si>
  <si>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</si>
  <si>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</si>
  <si>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</si>
  <si>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</si>
  <si>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</si>
  <si>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</si>
  <si>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</si>
  <si>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</si>
  <si>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</si>
  <si>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</si>
  <si>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</si>
  <si>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</si>
  <si>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</si>
  <si>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</si>
  <si>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</si>
  <si>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</si>
  <si>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</si>
  <si>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</si>
  <si>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</si>
  <si>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</si>
  <si>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</si>
  <si>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</si>
  <si>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</si>
  <si>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</si>
  <si>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</si>
  <si>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</si>
  <si>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</si>
  <si>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</si>
  <si>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</si>
  <si>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</si>
  <si>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</si>
  <si>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</si>
  <si>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</si>
  <si>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</si>
  <si>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</si>
  <si>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</si>
  <si>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</si>
  <si>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</si>
  <si>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</si>
  <si>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</si>
  <si>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</si>
  <si>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</si>
  <si>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</si>
  <si>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</si>
  <si>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</si>
  <si>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</si>
  <si>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</si>
  <si>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</si>
  <si>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</si>
  <si>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</si>
  <si>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</si>
  <si>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</si>
  <si>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</si>
  <si>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</si>
  <si>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</si>
  <si>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</si>
  <si>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</si>
  <si>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</si>
  <si>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</si>
  <si>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</si>
  <si>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</si>
  <si>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</si>
  <si>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</si>
  <si>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</si>
  <si>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</si>
  <si>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</si>
  <si>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</si>
  <si>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</si>
  <si>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</si>
  <si>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</si>
  <si>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</si>
  <si>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</si>
  <si>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</si>
  <si>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</si>
  <si>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</si>
  <si>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</si>
  <si>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</si>
  <si>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</si>
  <si>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</si>
  <si>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</si>
  <si>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</si>
  <si>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</si>
  <si>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</si>
  <si>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</si>
  <si>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</si>
  <si>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</si>
  <si>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</si>
  <si>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</si>
  <si>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</si>
  <si>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</si>
  <si>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</si>
  <si>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</si>
  <si>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</si>
  <si>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</si>
  <si>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</si>
  <si>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</si>
  <si>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</si>
  <si>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</si>
  <si>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</si>
  <si>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</si>
  <si>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</si>
  <si>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</si>
  <si>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</si>
  <si>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</si>
  <si>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</si>
  <si>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</si>
  <si>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</si>
  <si>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</si>
  <si>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</si>
  <si>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</si>
  <si>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</si>
  <si>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</si>
  <si>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</si>
  <si>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</si>
  <si>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</si>
  <si>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</si>
  <si>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</si>
  <si>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</si>
  <si>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</si>
  <si>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</si>
  <si>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</si>
  <si>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</si>
  <si>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</si>
  <si>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</si>
  <si>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</si>
  <si>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</si>
  <si>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</si>
  <si>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</si>
  <si>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</si>
  <si>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</si>
  <si>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</si>
  <si>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</si>
  <si>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</si>
  <si>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</si>
  <si>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</si>
  <si>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</si>
  <si>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</si>
  <si>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</si>
  <si>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</si>
  <si>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</si>
  <si>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</si>
  <si>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</si>
  <si>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</si>
  <si>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</si>
  <si>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</si>
  <si>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</si>
  <si>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</si>
  <si>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</si>
  <si>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</si>
  <si>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</si>
  <si>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</si>
  <si>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</si>
  <si>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</si>
  <si>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</si>
  <si>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</si>
  <si>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</si>
  <si>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</si>
  <si>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</si>
  <si>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</si>
  <si>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</si>
  <si>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</si>
  <si>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</si>
  <si>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</si>
  <si>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</si>
  <si>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</si>
  <si>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</si>
  <si>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</si>
  <si>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</si>
  <si>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</si>
  <si>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</si>
  <si>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</si>
  <si>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</si>
  <si>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</si>
  <si>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</si>
  <si>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</si>
  <si>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</si>
  <si>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</si>
  <si>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</si>
  <si>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</si>
  <si>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</si>
  <si>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</si>
  <si>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</si>
  <si>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</si>
  <si>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</si>
  <si>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</si>
  <si>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</si>
  <si>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</si>
  <si>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</si>
  <si>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</si>
  <si>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</si>
  <si>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</si>
  <si>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</si>
  <si>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</si>
  <si>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</si>
  <si>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</si>
  <si>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</si>
  <si>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</si>
  <si>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</si>
  <si>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</si>
  <si>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</si>
  <si>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</si>
  <si>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</si>
  <si>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</si>
  <si>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</si>
  <si>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</si>
  <si>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</si>
  <si>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</si>
  <si>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</si>
  <si>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</si>
  <si>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</si>
  <si>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</si>
  <si>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</si>
  <si>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</si>
  <si>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</si>
  <si>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</si>
  <si>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</si>
  <si>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</si>
  <si>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</si>
  <si>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</si>
  <si>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</si>
  <si>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</si>
  <si>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</si>
  <si>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</si>
  <si>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</si>
  <si>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</si>
  <si>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</si>
  <si>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</si>
  <si>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</si>
  <si>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</si>
  <si>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</si>
  <si>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</si>
  <si>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</si>
  <si>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</si>
  <si>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</si>
  <si>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</si>
  <si>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</si>
  <si>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</si>
  <si>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</si>
  <si>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</si>
  <si>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</si>
  <si>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</si>
  <si>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</si>
  <si>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</si>
  <si>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</si>
  <si>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</si>
  <si>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</si>
  <si>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</si>
  <si>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</si>
  <si>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</si>
  <si>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</si>
  <si>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</si>
  <si>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</si>
  <si>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</si>
  <si>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</si>
  <si>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</si>
  <si>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</si>
  <si>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</si>
  <si>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</si>
  <si>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</si>
  <si>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</si>
  <si>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</si>
  <si>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</si>
  <si>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</si>
  <si>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</si>
  <si>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</si>
  <si>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</si>
  <si>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</si>
  <si>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</si>
  <si>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</si>
  <si>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</si>
  <si>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</si>
  <si>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</si>
  <si>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</si>
  <si>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</si>
  <si>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</si>
  <si>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</si>
  <si>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</si>
  <si>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</si>
  <si>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</si>
  <si>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</si>
  <si>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</si>
  <si>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</si>
  <si>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</si>
  <si>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</si>
  <si>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</si>
  <si>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</si>
  <si>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</si>
  <si>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</si>
  <si>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</si>
  <si>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</si>
  <si>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</si>
  <si>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</si>
  <si>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</si>
  <si>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</si>
  <si>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</si>
  <si>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</si>
  <si>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</si>
  <si>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</si>
  <si>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</si>
  <si>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</si>
  <si>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</si>
  <si>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</si>
  <si>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</si>
  <si>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</si>
  <si>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</si>
  <si>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</si>
  <si>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</si>
  <si>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</si>
  <si>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</si>
  <si>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</si>
  <si>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</si>
  <si>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</si>
  <si>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</si>
  <si>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</si>
  <si>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</si>
  <si>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</si>
  <si>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</si>
  <si>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</si>
  <si>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</si>
  <si>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</si>
  <si>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</si>
  <si>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</si>
  <si>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</si>
  <si>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</si>
  <si>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</si>
  <si>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</si>
  <si>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</si>
  <si>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</si>
  <si>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</si>
  <si>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</si>
  <si>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</si>
  <si>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</si>
  <si>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</si>
  <si>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</si>
  <si>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</si>
  <si>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</si>
  <si>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</si>
  <si>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</si>
  <si>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</si>
  <si>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</si>
  <si>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</si>
  <si>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</si>
  <si>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</si>
  <si>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</si>
  <si>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</si>
  <si>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</si>
  <si>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</si>
  <si>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</si>
  <si>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</si>
  <si>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</si>
  <si>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</si>
  <si>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</si>
  <si>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</si>
  <si>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</si>
  <si>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</si>
  <si>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</si>
  <si>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</si>
  <si>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</si>
  <si>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</si>
  <si>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</si>
  <si>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</si>
  <si>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</si>
  <si>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</si>
  <si>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</si>
  <si>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</si>
  <si>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</si>
  <si>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</si>
  <si>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</si>
  <si>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</si>
  <si>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</si>
  <si>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</si>
  <si>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</si>
  <si>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</si>
  <si>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</si>
  <si>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</si>
  <si>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</si>
  <si>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</si>
  <si>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</si>
  <si>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</si>
  <si>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</si>
  <si>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</si>
  <si>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</si>
  <si>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</si>
  <si>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</si>
  <si>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</si>
  <si>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</si>
  <si>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</si>
  <si>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</si>
  <si>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</si>
  <si>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</si>
  <si>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</si>
  <si>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</si>
  <si>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</si>
  <si>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</si>
  <si>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</si>
  <si>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</si>
  <si>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</si>
  <si>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</si>
  <si>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</si>
  <si>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</si>
  <si>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</si>
  <si>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</si>
  <si>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</si>
  <si>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</si>
  <si>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</si>
  <si>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</si>
  <si>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</si>
  <si>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</si>
  <si>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</si>
  <si>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</si>
  <si>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</si>
  <si>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</si>
  <si>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</si>
  <si>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</si>
  <si>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</si>
  <si>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</si>
  <si>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</si>
  <si>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</si>
  <si>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</si>
  <si>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</si>
  <si>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</si>
  <si>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</si>
  <si>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</si>
  <si>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</si>
  <si>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</si>
  <si>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</si>
  <si>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</si>
  <si>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</si>
  <si>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</si>
  <si>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</si>
  <si>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</si>
  <si>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</si>
  <si>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</si>
  <si>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</si>
  <si>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</si>
  <si>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</si>
  <si>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</si>
  <si>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</si>
  <si>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</si>
  <si>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</si>
  <si>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</si>
  <si>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</si>
  <si>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</si>
  <si>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</si>
  <si>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</si>
  <si>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</si>
  <si>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</si>
  <si>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</si>
  <si>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</si>
  <si>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</si>
  <si>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</si>
  <si>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</si>
  <si>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</si>
  <si>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</si>
  <si>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</si>
  <si>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</si>
  <si>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</si>
  <si>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</si>
  <si>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</si>
  <si>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</si>
  <si>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</si>
  <si>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</si>
  <si>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</si>
  <si>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</si>
  <si>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</si>
  <si>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</si>
  <si>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</si>
  <si>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</si>
  <si>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</si>
  <si>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</si>
  <si>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</si>
  <si>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</si>
  <si>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</si>
  <si>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</si>
  <si>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</si>
  <si>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</si>
  <si>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</si>
  <si>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</si>
  <si>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</si>
  <si>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</si>
  <si>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</si>
  <si>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</si>
  <si>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</si>
  <si>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</si>
  <si>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</si>
  <si>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</si>
  <si>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</si>
  <si>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</si>
  <si>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</si>
  <si>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</si>
  <si>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</si>
  <si>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</si>
  <si>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</si>
  <si>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</si>
  <si>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</si>
  <si>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</si>
  <si>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</si>
  <si>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</si>
  <si>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</si>
  <si>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</si>
  <si>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</si>
  <si>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</si>
  <si>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</si>
  <si>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</si>
  <si>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</si>
  <si>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</si>
  <si>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</si>
  <si>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</si>
  <si>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</si>
  <si>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</si>
  <si>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</si>
  <si>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</si>
  <si>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</si>
  <si>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</si>
  <si>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</si>
  <si>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</si>
  <si>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</si>
  <si>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</si>
  <si>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</si>
  <si>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</si>
  <si>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</si>
  <si>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</si>
  <si>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</si>
  <si>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</si>
  <si>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</si>
  <si>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</si>
  <si>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</si>
  <si>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</si>
  <si>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</si>
  <si>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</si>
  <si>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</si>
  <si>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</si>
  <si>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</si>
  <si>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</si>
  <si>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</si>
  <si>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</si>
  <si>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</si>
  <si>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</si>
  <si>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</si>
  <si>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</si>
  <si>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</si>
  <si>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</si>
  <si>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</si>
  <si>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</si>
  <si>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</si>
  <si>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</si>
  <si>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</si>
  <si>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</si>
  <si>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</si>
  <si>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</si>
  <si>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</si>
  <si>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</si>
  <si>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</si>
  <si>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</si>
  <si>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</si>
  <si>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</si>
  <si>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</si>
  <si>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</si>
  <si>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</si>
  <si>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</si>
  <si>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</si>
  <si>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</si>
  <si>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</si>
  <si>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</si>
  <si>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</si>
  <si>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</si>
  <si>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</si>
  <si>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</si>
  <si>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</si>
  <si>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</si>
  <si>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</si>
  <si>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</si>
  <si>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</si>
  <si>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</si>
  <si>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</si>
  <si>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</si>
  <si>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</si>
  <si>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</si>
  <si>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</si>
  <si>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</si>
  <si>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</si>
  <si>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</si>
  <si>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</si>
  <si>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</si>
  <si>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</si>
  <si>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</si>
  <si>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</si>
  <si>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</si>
  <si>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</si>
  <si>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</si>
  <si>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</si>
  <si>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</si>
  <si>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</si>
  <si>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</si>
  <si>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</si>
  <si>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</si>
  <si>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</si>
  <si>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</si>
  <si>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</si>
  <si>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</si>
  <si>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</si>
  <si>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</si>
  <si>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</si>
  <si>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</si>
  <si>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</si>
  <si>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</si>
  <si>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</si>
  <si>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</si>
  <si>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</si>
  <si>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</si>
  <si>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</si>
  <si>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</si>
  <si>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</si>
  <si>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</si>
  <si>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</si>
  <si>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</si>
  <si>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</si>
  <si>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</si>
  <si>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</si>
  <si>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</si>
  <si>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</si>
  <si>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</si>
  <si>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</si>
  <si>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</si>
  <si>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</si>
  <si>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</si>
  <si>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</si>
  <si>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</si>
  <si>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</si>
  <si>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</si>
  <si>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</si>
  <si>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</si>
  <si>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</si>
  <si>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</si>
  <si>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</si>
  <si>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</si>
  <si>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</si>
  <si>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</si>
  <si>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</si>
  <si>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</si>
  <si>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</si>
  <si>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</si>
  <si>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</si>
  <si>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</si>
  <si>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</si>
  <si>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</si>
  <si>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</si>
  <si>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</si>
  <si>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</si>
  <si>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</si>
  <si>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</si>
  <si>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</si>
  <si>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</si>
  <si>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</si>
  <si>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</si>
  <si>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</si>
  <si>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</si>
  <si>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</si>
  <si>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</si>
  <si>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</si>
  <si>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</si>
  <si>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</si>
  <si>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</si>
  <si>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</si>
  <si>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</si>
  <si>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</si>
  <si>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</si>
  <si>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</si>
  <si>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</si>
  <si>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</si>
  <si>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</si>
  <si>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</si>
  <si>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</si>
  <si>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</si>
  <si>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</si>
  <si>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</si>
  <si>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</si>
  <si>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</si>
  <si>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</si>
  <si>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</si>
  <si>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</si>
  <si>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</si>
  <si>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</si>
  <si>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</si>
  <si>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</si>
  <si>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</si>
  <si>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</si>
  <si>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</si>
  <si>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</si>
  <si>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</si>
  <si>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</si>
  <si>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</si>
  <si>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</si>
  <si>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</si>
  <si>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</si>
  <si>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</si>
  <si>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</si>
  <si>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</si>
  <si>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</si>
  <si>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</si>
  <si>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</si>
  <si>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</si>
  <si>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</si>
  <si>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</si>
  <si>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</si>
  <si>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</si>
  <si>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</si>
  <si>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</si>
  <si>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</si>
  <si>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</si>
  <si>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</si>
  <si>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</si>
  <si>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</si>
  <si>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</si>
  <si>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</si>
  <si>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</si>
  <si>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</si>
  <si>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</si>
  <si>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</si>
  <si>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</si>
  <si>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</si>
  <si>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</si>
  <si>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</si>
  <si>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</si>
  <si>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</si>
  <si>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</si>
  <si>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</si>
  <si>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</si>
  <si>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</si>
  <si>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</si>
  <si>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</si>
  <si>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</si>
  <si>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</si>
  <si>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</si>
  <si>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</si>
  <si>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</si>
  <si>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</si>
  <si>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</si>
  <si>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</si>
  <si>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</si>
  <si>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</si>
  <si>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</si>
  <si>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</si>
  <si>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</si>
  <si>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</si>
  <si>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</si>
  <si>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</si>
  <si>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</si>
  <si>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</si>
  <si>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</si>
  <si>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</si>
  <si>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</si>
  <si>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</si>
  <si>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</si>
  <si>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</si>
  <si>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</si>
  <si>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</si>
  <si>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</si>
  <si>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</si>
  <si>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</si>
  <si>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</si>
  <si>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</si>
  <si>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</si>
  <si>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</si>
  <si>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</si>
  <si>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</si>
  <si>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</si>
  <si>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</si>
  <si>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</si>
  <si>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</si>
  <si>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</si>
  <si>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</si>
  <si>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</si>
  <si>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</si>
  <si>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</si>
  <si>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</si>
  <si>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</si>
  <si>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</si>
  <si>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</si>
  <si>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</si>
  <si>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</si>
  <si>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</si>
  <si>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</si>
  <si>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</si>
  <si>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</si>
  <si>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</si>
  <si>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</si>
  <si>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</si>
  <si>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</si>
  <si>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</si>
  <si>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</si>
  <si>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</si>
  <si>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</si>
  <si>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</si>
  <si>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</si>
  <si>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</si>
  <si>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</si>
  <si>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</si>
  <si>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</si>
  <si>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</si>
  <si>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</si>
  <si>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</si>
  <si>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</si>
  <si>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</si>
  <si>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</si>
  <si>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</si>
  <si>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</si>
  <si>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</si>
  <si>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</si>
  <si>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</si>
  <si>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</si>
  <si>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</si>
  <si>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</si>
  <si>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</si>
  <si>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</si>
  <si>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</si>
  <si>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</si>
  <si>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</si>
  <si>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</si>
  <si>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</si>
  <si>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</si>
  <si>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</si>
  <si>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</si>
  <si>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</si>
  <si>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</si>
  <si>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</si>
  <si>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</si>
  <si>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</si>
  <si>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</si>
  <si>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</si>
  <si>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</si>
  <si>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</si>
  <si>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</si>
  <si>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</si>
  <si>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</si>
  <si>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</si>
  <si>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</si>
  <si>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</si>
  <si>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</si>
  <si>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</si>
  <si>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</si>
  <si>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</si>
  <si>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</si>
  <si>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</si>
  <si>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</si>
  <si>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</si>
  <si>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</si>
  <si>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</si>
  <si>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</si>
  <si>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</si>
  <si>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</si>
  <si>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</si>
  <si>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</si>
  <si>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</si>
  <si>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</si>
  <si>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</si>
  <si>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</si>
  <si>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</si>
  <si>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</si>
  <si>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</si>
  <si>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</si>
  <si>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</si>
  <si>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</si>
  <si>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</si>
  <si>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</si>
  <si>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</si>
  <si>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</si>
  <si>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</si>
  <si>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</si>
  <si>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</si>
  <si>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</si>
  <si>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</si>
  <si>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</si>
  <si>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</si>
  <si>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</si>
  <si>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</si>
  <si>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</si>
  <si>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</si>
  <si>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</si>
  <si>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</si>
  <si>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</si>
  <si>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</si>
  <si>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</si>
  <si>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</si>
  <si>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</si>
  <si>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</si>
  <si>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</si>
  <si>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</si>
  <si>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</si>
  <si>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</si>
  <si>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</si>
  <si>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</si>
  <si>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</si>
  <si>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</si>
  <si>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</si>
  <si>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</si>
  <si>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</si>
  <si>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</si>
  <si>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</si>
  <si>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</si>
  <si>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</si>
  <si>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</si>
  <si>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</si>
  <si>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</si>
  <si>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</si>
  <si>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</si>
  <si>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</si>
  <si>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</si>
  <si>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</si>
  <si>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</si>
  <si>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</si>
  <si>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</si>
  <si>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</si>
  <si>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</si>
  <si>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</si>
  <si>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</si>
  <si>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</si>
  <si>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</si>
  <si>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</si>
  <si>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</si>
  <si>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</si>
  <si>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</si>
  <si>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</si>
  <si>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</si>
  <si>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</si>
  <si>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</si>
  <si>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</si>
  <si>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</si>
  <si>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</si>
  <si>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</si>
  <si>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</si>
  <si>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</si>
  <si>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</si>
  <si>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</si>
  <si>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</si>
  <si>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</si>
  <si>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</si>
  <si>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</si>
  <si>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</si>
  <si>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</si>
  <si>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</si>
  <si>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</si>
  <si>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</si>
  <si>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</si>
  <si>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</si>
  <si>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</si>
  <si>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</si>
  <si>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</si>
  <si>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</si>
  <si>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</si>
  <si>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</si>
  <si>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</si>
  <si>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</si>
  <si>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</si>
  <si>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</si>
  <si>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</si>
  <si>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</si>
  <si>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</si>
  <si>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</si>
  <si>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</si>
  <si>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</si>
  <si>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</si>
  <si>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</si>
  <si>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</si>
  <si>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</si>
  <si>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</si>
  <si>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</si>
  <si>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</si>
  <si>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</si>
  <si>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</si>
  <si>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</si>
  <si>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</si>
  <si>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</si>
  <si>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</si>
  <si>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</si>
  <si>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</si>
  <si>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</si>
  <si>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</si>
  <si>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</si>
  <si>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</si>
  <si>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</si>
  <si>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</si>
  <si>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</si>
  <si>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</si>
  <si>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</si>
  <si>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</si>
  <si>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</si>
  <si>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</si>
  <si>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</si>
  <si>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</si>
  <si>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</si>
  <si>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</si>
  <si>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</si>
  <si>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</si>
  <si>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</si>
  <si>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</si>
  <si>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</si>
  <si>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</si>
  <si>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</si>
  <si>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</si>
  <si>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</si>
  <si>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</si>
  <si>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</si>
  <si>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</si>
  <si>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</si>
  <si>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</si>
  <si>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</si>
  <si>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</si>
  <si>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</si>
  <si>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</si>
  <si>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</si>
  <si>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</si>
  <si>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</si>
  <si>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</si>
  <si>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</si>
  <si>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</si>
  <si>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</si>
  <si>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</si>
  <si>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</si>
  <si>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</si>
  <si>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</si>
  <si>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</si>
  <si>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</si>
  <si>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</si>
  <si>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</si>
  <si>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</si>
  <si>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</si>
  <si>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</si>
  <si>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</si>
  <si>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</si>
  <si>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</si>
  <si>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</si>
  <si>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</si>
  <si>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</si>
  <si>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</si>
  <si>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</si>
  <si>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</si>
  <si>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</si>
  <si>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</si>
  <si>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</si>
  <si>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</si>
  <si>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</si>
  <si>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</si>
  <si>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</si>
  <si>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</si>
  <si>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</si>
  <si>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</si>
  <si>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</si>
  <si>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</si>
  <si>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</si>
  <si>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</si>
  <si>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</si>
  <si>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</si>
  <si>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</si>
  <si>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</si>
  <si>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</si>
  <si>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</si>
  <si>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</si>
  <si>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</si>
  <si>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</si>
  <si>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</si>
  <si>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</si>
  <si>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</si>
  <si>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</si>
  <si>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</si>
  <si>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</si>
  <si>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</si>
  <si>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</si>
  <si>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</si>
  <si>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</si>
  <si>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</si>
  <si>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</si>
  <si>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</si>
  <si>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</si>
  <si>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</si>
  <si>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</si>
  <si>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</si>
  <si>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</si>
  <si>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</si>
  <si>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</si>
  <si>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</si>
  <si>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</si>
  <si>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</si>
  <si>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</si>
  <si>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</si>
  <si>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</si>
  <si>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</si>
  <si>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</si>
  <si>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</si>
  <si>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</si>
  <si>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</si>
  <si>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</si>
  <si>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</si>
  <si>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</si>
  <si>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</si>
  <si>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</si>
  <si>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</si>
  <si>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</si>
  <si>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</si>
  <si>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</si>
  <si>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</si>
  <si>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</si>
  <si>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</si>
  <si>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</si>
  <si>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</si>
  <si>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</si>
  <si>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</si>
  <si>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</si>
  <si>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</si>
  <si>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</si>
  <si>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</si>
  <si>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</si>
  <si>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</si>
  <si>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</si>
  <si>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</si>
  <si>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</si>
  <si>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</si>
  <si>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</si>
  <si>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</si>
  <si>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</si>
  <si>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</si>
  <si>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</si>
  <si>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</si>
  <si>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</si>
  <si>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</si>
  <si>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</si>
  <si>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</si>
  <si>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</si>
  <si>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</si>
  <si>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</si>
  <si>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</si>
  <si>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</si>
  <si>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</si>
  <si>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</si>
  <si>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</si>
  <si>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</si>
  <si>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</si>
  <si>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</si>
  <si>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</si>
  <si>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</si>
  <si>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</si>
  <si>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</si>
  <si>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</si>
  <si>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</si>
  <si>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</si>
  <si>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</si>
  <si>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</si>
  <si>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</si>
  <si>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</si>
  <si>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</si>
  <si>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</si>
  <si>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</si>
  <si>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</si>
  <si>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</si>
  <si>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</si>
  <si>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</si>
  <si>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</si>
  <si>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</si>
  <si>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</si>
  <si>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</si>
  <si>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</si>
  <si>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</si>
  <si>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</si>
  <si>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</si>
  <si>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</si>
  <si>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</si>
  <si>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</si>
  <si>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</si>
  <si>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</si>
  <si>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</si>
  <si>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</si>
  <si>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</si>
  <si>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</si>
  <si>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</si>
  <si>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</si>
  <si>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</si>
  <si>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</si>
  <si>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</si>
  <si>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</si>
  <si>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</si>
  <si>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</si>
  <si>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</si>
  <si>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</si>
  <si>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</si>
  <si>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</si>
  <si>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</si>
  <si>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</si>
  <si>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</si>
  <si>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</si>
  <si>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</si>
  <si>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</si>
  <si>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</si>
  <si>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</si>
  <si>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</si>
  <si>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</si>
  <si>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</si>
  <si>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</si>
  <si>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</si>
  <si>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</si>
  <si>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</si>
  <si>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</si>
  <si>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</si>
  <si>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</si>
  <si>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</si>
  <si>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</si>
  <si>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</si>
  <si>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</si>
  <si>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</si>
  <si>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</si>
  <si>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</si>
  <si>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</si>
  <si>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</si>
  <si>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</si>
  <si>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</si>
  <si>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</si>
  <si>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</si>
  <si>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</si>
  <si>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</si>
  <si>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</si>
  <si>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</si>
  <si>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</si>
  <si>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</si>
  <si>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</si>
  <si>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</si>
  <si>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</si>
  <si>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</si>
  <si>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</si>
  <si>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</si>
  <si>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</si>
  <si>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</si>
  <si>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</si>
  <si>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</si>
  <si>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</si>
  <si>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</si>
  <si>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</si>
  <si>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</si>
  <si>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</si>
  <si>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</si>
  <si>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</si>
  <si>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</si>
  <si>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</si>
  <si>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</si>
  <si>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</si>
  <si>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</si>
  <si>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</si>
  <si>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</si>
  <si>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</si>
  <si>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</si>
  <si>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</si>
  <si>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</si>
  <si>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</si>
  <si>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</si>
  <si>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</si>
  <si>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</si>
  <si>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</si>
  <si>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</si>
  <si>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</si>
  <si>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</si>
  <si>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</si>
  <si>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</si>
  <si>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</si>
  <si>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</si>
  <si>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</si>
  <si>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</si>
  <si>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</si>
  <si>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</si>
  <si>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</si>
  <si>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</si>
  <si>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</si>
  <si>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</si>
  <si>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</si>
  <si>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</si>
  <si>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</si>
  <si>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</si>
  <si>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</si>
  <si>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</si>
  <si>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</si>
  <si>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</si>
  <si>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</si>
  <si>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</si>
  <si>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</si>
  <si>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</si>
  <si>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</si>
  <si>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</si>
  <si>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</si>
  <si>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</si>
  <si>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</si>
  <si>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</si>
  <si>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</si>
  <si>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</si>
  <si>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</si>
  <si>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</si>
  <si>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</si>
  <si>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</si>
  <si>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</si>
  <si>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</si>
  <si>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</si>
  <si>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</si>
  <si>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</si>
  <si>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</si>
  <si>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</si>
  <si>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</si>
  <si>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</si>
  <si>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</si>
  <si>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</si>
  <si>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</si>
  <si>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</si>
  <si>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</si>
  <si>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</si>
  <si>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</si>
  <si>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</si>
  <si>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</si>
  <si>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</si>
  <si>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</si>
  <si>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</si>
  <si>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</si>
  <si>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</si>
  <si>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</si>
  <si>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</si>
  <si>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</si>
  <si>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</si>
  <si>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</si>
  <si>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</si>
  <si>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</si>
  <si>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</si>
  <si>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</si>
  <si>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</si>
  <si>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</si>
  <si>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</si>
  <si>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</si>
  <si>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</si>
  <si>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</si>
  <si>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</si>
  <si>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</si>
  <si>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</si>
  <si>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</si>
  <si>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</si>
  <si>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</si>
  <si>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</si>
  <si>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</si>
  <si>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</si>
  <si>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</si>
  <si>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</si>
  <si>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</si>
  <si>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</si>
  <si>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</si>
  <si>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</si>
  <si>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</si>
  <si>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</si>
  <si>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</si>
  <si>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</si>
  <si>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</si>
  <si>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</si>
  <si>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</si>
  <si>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</si>
  <si>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</si>
  <si>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</si>
  <si>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</si>
  <si>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</si>
  <si>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</si>
  <si>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</si>
  <si>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</si>
  <si>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</si>
  <si>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</si>
  <si>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</si>
  <si>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</si>
  <si>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</si>
  <si>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</si>
  <si>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</si>
  <si>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</si>
  <si>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</si>
  <si>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</si>
  <si>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</si>
  <si>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</si>
  <si>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</si>
  <si>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</si>
  <si>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</si>
  <si>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</si>
  <si>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</si>
  <si>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</si>
  <si>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</si>
  <si>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</si>
  <si>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</si>
  <si>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</si>
  <si>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</si>
  <si>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</si>
  <si>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</si>
  <si>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</si>
  <si>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</si>
  <si>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</si>
  <si>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</si>
  <si>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</si>
  <si>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</si>
  <si>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</si>
  <si>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</si>
  <si>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</si>
  <si>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</si>
  <si>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</si>
  <si>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</si>
  <si>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</si>
  <si>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</si>
  <si>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</si>
  <si>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</si>
  <si>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</si>
  <si>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</si>
  <si>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</si>
  <si>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</si>
  <si>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</si>
  <si>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</si>
  <si>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</si>
  <si>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</si>
  <si>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</si>
  <si>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</si>
  <si>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</si>
  <si>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</si>
  <si>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</si>
  <si>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</si>
  <si>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</si>
  <si>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</si>
  <si>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</si>
  <si>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</si>
  <si>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</si>
  <si>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</si>
  <si>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</si>
  <si>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</si>
  <si>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</si>
  <si>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</si>
  <si>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</si>
  <si>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</si>
  <si>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</si>
  <si>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</si>
  <si>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</si>
  <si>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</si>
  <si>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</si>
  <si>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</si>
  <si>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</si>
  <si>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</si>
  <si>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</si>
  <si>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</si>
  <si>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</si>
  <si>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</si>
  <si>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</si>
  <si>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</si>
  <si>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</si>
  <si>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</si>
  <si>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</si>
  <si>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</si>
  <si>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</si>
  <si>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</si>
  <si>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</si>
  <si>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</si>
  <si>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</si>
  <si>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</si>
  <si>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</si>
  <si>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</si>
  <si>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</si>
  <si>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</si>
  <si>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</si>
  <si>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</si>
  <si>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</si>
  <si>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</si>
  <si>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</si>
  <si>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</si>
  <si>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</si>
  <si>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</si>
  <si>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</si>
  <si>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</si>
  <si>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</si>
  <si>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</si>
  <si>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</si>
  <si>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</si>
  <si>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</si>
  <si>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</si>
  <si>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</si>
  <si>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</si>
  <si>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</si>
  <si>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</si>
  <si>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</si>
  <si>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</si>
  <si>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</si>
  <si>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</si>
  <si>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</si>
  <si>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</si>
  <si>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</si>
  <si>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</si>
  <si>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</si>
  <si>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</si>
  <si>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</si>
  <si>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</si>
  <si>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</si>
  <si>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</si>
  <si>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</si>
  <si>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</si>
  <si>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</si>
  <si>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</si>
  <si>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</si>
  <si>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</si>
  <si>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</si>
  <si>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</si>
  <si>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</si>
  <si>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</si>
  <si>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</si>
  <si>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</si>
  <si>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</si>
  <si>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</si>
  <si>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</si>
  <si>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</si>
  <si>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</si>
  <si>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</si>
  <si>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</si>
  <si>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</si>
  <si>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</si>
  <si>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</si>
  <si>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</si>
  <si>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</si>
  <si>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</si>
  <si>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</si>
  <si>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</si>
  <si>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</si>
  <si>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</si>
  <si>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</si>
  <si>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</si>
  <si>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</si>
  <si>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</si>
  <si>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</si>
  <si>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</si>
  <si>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</si>
  <si>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</si>
  <si>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</si>
  <si>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</si>
  <si>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</si>
  <si>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</si>
  <si>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</si>
  <si>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</si>
  <si>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</si>
  <si>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</si>
  <si>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</si>
  <si>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</si>
  <si>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</si>
  <si>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</si>
  <si>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</si>
  <si>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</si>
  <si>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</si>
  <si>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</si>
  <si>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</si>
  <si>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</si>
  <si>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</si>
  <si>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</si>
  <si>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</si>
  <si>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</si>
  <si>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</si>
  <si>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</si>
  <si>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</si>
  <si>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</si>
  <si>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</si>
  <si>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</si>
  <si>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</si>
  <si>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</si>
  <si>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</si>
  <si>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</si>
  <si>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</si>
  <si>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</si>
  <si>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</si>
  <si>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</si>
  <si>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</si>
  <si>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</si>
  <si>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</si>
  <si>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</si>
  <si>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</si>
  <si>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</si>
  <si>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</si>
  <si>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</si>
  <si>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</si>
  <si>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</si>
  <si>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</si>
  <si>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</si>
  <si>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</si>
  <si>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</si>
  <si>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</si>
  <si>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</si>
  <si>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</si>
  <si>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</si>
  <si>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</si>
  <si>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</si>
  <si>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</si>
  <si>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</si>
  <si>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</si>
  <si>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</si>
  <si>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</si>
  <si>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</si>
  <si>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</si>
  <si>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</si>
  <si>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</si>
  <si>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</si>
  <si>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</si>
  <si>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</si>
  <si>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</si>
  <si>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</si>
  <si>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</si>
  <si>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</si>
  <si>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</si>
  <si>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</si>
  <si>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</si>
  <si>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</si>
  <si>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</si>
  <si>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</si>
  <si>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</si>
  <si>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</si>
  <si>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</si>
  <si>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</si>
  <si>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</si>
  <si>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</si>
  <si>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</si>
  <si>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</si>
  <si>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</si>
  <si>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</si>
  <si>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</si>
  <si>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</si>
  <si>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</si>
  <si>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</si>
  <si>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</si>
  <si>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</si>
  <si>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</si>
  <si>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</si>
  <si>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</si>
  <si>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</si>
  <si>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</si>
  <si>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</si>
  <si>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</si>
  <si>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</si>
  <si>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</si>
  <si>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</si>
  <si>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</si>
  <si>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</si>
  <si>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</si>
  <si>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</si>
  <si>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</si>
  <si>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</si>
  <si>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</si>
  <si>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</si>
  <si>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</si>
  <si>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</si>
  <si>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</si>
  <si>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</si>
  <si>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</si>
  <si>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</si>
  <si>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</si>
  <si>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</si>
  <si>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</si>
  <si>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</si>
  <si>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</si>
  <si>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</si>
  <si>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</si>
  <si>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</si>
  <si>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</si>
  <si>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</si>
  <si>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</si>
  <si>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</si>
  <si>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</si>
  <si>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</si>
  <si>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</si>
  <si>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</si>
  <si>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</si>
  <si>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</si>
  <si>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</si>
  <si>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</si>
  <si>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</si>
  <si>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</si>
  <si>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</si>
  <si>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</si>
  <si>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</si>
  <si>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</si>
  <si>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</si>
  <si>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</si>
  <si>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</si>
  <si>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</si>
  <si>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</si>
  <si>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</si>
  <si>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</si>
  <si>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</si>
  <si>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</si>
  <si>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</si>
  <si>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</si>
  <si>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</si>
  <si>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</si>
  <si>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</si>
  <si>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</si>
  <si>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</si>
  <si>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</si>
  <si>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</si>
  <si>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</si>
  <si>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</si>
  <si>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</si>
  <si>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</si>
  <si>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</si>
  <si>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</si>
  <si>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</si>
  <si>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</si>
  <si>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</si>
  <si>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</si>
  <si>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</si>
  <si>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</si>
  <si>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</si>
  <si>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</si>
  <si>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</si>
  <si>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</si>
  <si>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</si>
  <si>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</si>
  <si>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</si>
  <si>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</si>
  <si>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</si>
  <si>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</si>
  <si>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</si>
  <si>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</si>
  <si>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</si>
  <si>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</si>
  <si>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</si>
  <si>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</si>
  <si>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</si>
  <si>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</si>
  <si>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</si>
  <si>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</si>
  <si>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</si>
  <si>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</si>
  <si>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</si>
  <si>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</si>
  <si>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</si>
  <si>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</si>
  <si>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</si>
  <si>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</si>
  <si>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</si>
  <si>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</si>
  <si>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</si>
  <si>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</si>
  <si>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</si>
  <si>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</si>
  <si>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</si>
  <si>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</si>
  <si>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</si>
  <si>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</si>
  <si>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</si>
  <si>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</si>
  <si>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</si>
  <si>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</si>
  <si>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</si>
  <si>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</si>
  <si>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</si>
  <si>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</si>
  <si>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</si>
  <si>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</si>
  <si>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</si>
  <si>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</si>
  <si>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</si>
  <si>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</si>
  <si>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</si>
  <si>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</si>
  <si>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</si>
  <si>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</si>
  <si>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</si>
  <si>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</si>
  <si>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</si>
  <si>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</si>
  <si>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</si>
  <si>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</si>
  <si>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</si>
  <si>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</si>
  <si>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</si>
  <si>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</si>
  <si>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</si>
  <si>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</si>
  <si>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</si>
  <si>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</si>
  <si>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</si>
  <si>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</si>
  <si>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</si>
  <si>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</si>
  <si>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</si>
  <si>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</si>
  <si>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</si>
  <si>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</si>
  <si>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</si>
  <si>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</si>
  <si>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</si>
  <si>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</si>
  <si>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</si>
  <si>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</si>
  <si>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</si>
  <si>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</si>
  <si>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</si>
  <si>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</si>
  <si>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</si>
  <si>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</si>
  <si>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</si>
  <si>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</si>
  <si>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</si>
  <si>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</si>
  <si>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</si>
  <si>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</si>
  <si>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</si>
  <si>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</si>
  <si>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</si>
  <si>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</si>
  <si>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</si>
  <si>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</si>
  <si>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</si>
  <si>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</si>
  <si>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</si>
  <si>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</si>
  <si>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</si>
  <si>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</si>
  <si>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</si>
  <si>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</si>
  <si>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</si>
  <si>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</si>
  <si>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</si>
  <si>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</si>
  <si>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</si>
  <si>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</si>
  <si>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</si>
  <si>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</si>
  <si>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</si>
  <si>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</si>
  <si>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</si>
  <si>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</si>
  <si>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</si>
  <si>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</si>
  <si>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</si>
  <si>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</si>
  <si>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</si>
  <si>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</si>
  <si>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</si>
  <si>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</si>
  <si>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</si>
  <si>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</si>
  <si>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</si>
  <si>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</si>
  <si>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</si>
  <si>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</si>
  <si>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</si>
  <si>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</si>
  <si>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</si>
  <si>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</si>
  <si>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</si>
  <si>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</si>
  <si>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</si>
  <si>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</si>
  <si>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</si>
  <si>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</si>
  <si>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</si>
  <si>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</si>
  <si>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</si>
  <si>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</si>
  <si>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</si>
  <si>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</si>
  <si>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</si>
  <si>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</si>
  <si>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</si>
  <si>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</si>
  <si>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</si>
  <si>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</si>
  <si>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</si>
  <si>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</si>
  <si>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</si>
  <si>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</si>
  <si>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</si>
  <si>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</si>
  <si>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</si>
  <si>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</si>
  <si>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</si>
  <si>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</si>
  <si>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</si>
  <si>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</si>
  <si>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</si>
  <si>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</si>
  <si>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</si>
  <si>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</si>
  <si>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</si>
  <si>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</si>
  <si>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</si>
  <si>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</si>
  <si>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</si>
  <si>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</si>
  <si>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</si>
  <si>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</si>
  <si>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</si>
  <si>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</si>
  <si>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</si>
  <si>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</si>
  <si>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</si>
  <si>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</si>
  <si>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</si>
  <si>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</si>
  <si>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</si>
  <si>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</si>
  <si>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</si>
  <si>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</si>
  <si>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</si>
  <si>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</si>
  <si>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</si>
  <si>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</si>
  <si>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</si>
  <si>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</si>
  <si>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</si>
  <si>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</si>
  <si>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</si>
  <si>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</si>
  <si>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</si>
  <si>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</si>
  <si>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</si>
  <si>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</si>
  <si>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</si>
  <si>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</si>
  <si>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</si>
  <si>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</si>
  <si>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</si>
  <si>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</si>
  <si>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</si>
  <si>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</si>
  <si>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</si>
  <si>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</si>
  <si>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</si>
  <si>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</si>
  <si>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</si>
  <si>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</si>
  <si>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</si>
  <si>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</si>
  <si>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</si>
  <si>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</si>
  <si>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</si>
  <si>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</si>
  <si>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</si>
  <si>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</si>
  <si>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</si>
  <si>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</si>
  <si>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</si>
  <si>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</si>
  <si>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</si>
  <si>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</si>
  <si>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</si>
  <si>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</si>
  <si>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</si>
  <si>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</si>
  <si>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</si>
  <si>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</si>
  <si>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</si>
  <si>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</si>
  <si>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</si>
  <si>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</si>
  <si>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</si>
  <si>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</si>
  <si>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</si>
  <si>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</si>
  <si>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</si>
  <si>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</si>
  <si>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</si>
  <si>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</si>
  <si>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</si>
  <si>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</si>
  <si>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</si>
  <si>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</si>
  <si>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</si>
  <si>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</si>
  <si>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</si>
  <si>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</si>
  <si>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</si>
  <si>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</si>
  <si>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</si>
  <si>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</si>
  <si>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</si>
  <si>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</si>
  <si>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</si>
  <si>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</si>
  <si>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</si>
  <si>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</si>
  <si>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</si>
  <si>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</si>
  <si>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</si>
  <si>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</si>
  <si>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</si>
  <si>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</si>
  <si>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</si>
  <si>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</si>
  <si>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</si>
  <si>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</si>
  <si>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</si>
  <si>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</si>
  <si>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</si>
  <si>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</si>
  <si>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</si>
  <si>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</si>
  <si>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</si>
  <si>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</si>
  <si>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</si>
  <si>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</si>
  <si>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</si>
  <si>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</si>
  <si>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</si>
  <si>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</si>
  <si>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</si>
  <si>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</si>
  <si>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</si>
  <si>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</si>
  <si>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</si>
  <si>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</si>
  <si>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</si>
  <si>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</si>
  <si>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</si>
  <si>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</si>
  <si>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</si>
  <si>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</si>
  <si>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</si>
  <si>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</si>
  <si>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</si>
  <si>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</si>
  <si>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</si>
  <si>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</si>
  <si>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</si>
  <si>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</si>
  <si>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</si>
  <si>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</si>
  <si>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</si>
  <si>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</si>
  <si>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</si>
  <si>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</si>
  <si>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</si>
  <si>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</si>
  <si>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</si>
  <si>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</si>
  <si>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</si>
  <si>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</si>
  <si>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</si>
  <si>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</si>
  <si>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</si>
  <si>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</si>
  <si>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</si>
  <si>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</si>
  <si>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</si>
  <si>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</si>
  <si>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</si>
  <si>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</si>
  <si>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</si>
  <si>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</si>
  <si>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</si>
  <si>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</si>
  <si>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</si>
  <si>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</si>
  <si>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</si>
  <si>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</si>
  <si>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</si>
  <si>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</si>
  <si>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</si>
  <si>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</si>
  <si>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</si>
  <si>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</si>
  <si>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</si>
  <si>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</si>
  <si>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</si>
  <si>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</si>
  <si>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</si>
  <si>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</si>
  <si>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</si>
  <si>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</si>
  <si>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</si>
  <si>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</si>
  <si>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</si>
  <si>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</si>
  <si>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</si>
  <si>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</si>
  <si>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</si>
  <si>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</si>
  <si>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</si>
  <si>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</si>
  <si>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</si>
  <si>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</si>
  <si>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</si>
  <si>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</si>
  <si>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</si>
  <si>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</si>
  <si>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</si>
  <si>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</si>
  <si>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</si>
  <si>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</si>
  <si>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</si>
  <si>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</si>
  <si>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</si>
  <si>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</si>
  <si>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</si>
  <si>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</si>
  <si>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</si>
  <si>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</si>
  <si>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</si>
  <si>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</si>
  <si>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</si>
  <si>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</si>
  <si>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</si>
  <si>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</si>
  <si>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</si>
  <si>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</si>
  <si>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</si>
  <si>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</si>
  <si>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</si>
  <si>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</si>
  <si>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</si>
  <si>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</si>
  <si>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</si>
  <si>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</si>
  <si>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</si>
  <si>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</si>
  <si>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</si>
  <si>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</si>
  <si>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</si>
  <si>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</si>
  <si>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</si>
  <si>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</si>
  <si>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</si>
  <si>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</si>
  <si>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</si>
  <si>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</si>
  <si>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</si>
  <si>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</si>
  <si>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</si>
  <si>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</si>
  <si>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</si>
  <si>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</si>
  <si>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</si>
  <si>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</si>
  <si>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</si>
  <si>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</si>
  <si>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</si>
  <si>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</si>
  <si>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</si>
  <si>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</si>
  <si>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</si>
  <si>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</si>
  <si>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</si>
  <si>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</si>
  <si>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</si>
  <si>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</si>
  <si>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</si>
  <si>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</si>
  <si>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</si>
  <si>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</si>
  <si>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</si>
  <si>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</si>
  <si>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</si>
  <si>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</si>
  <si>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</si>
  <si>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</si>
  <si>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</si>
  <si>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</si>
  <si>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</si>
  <si>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</si>
  <si>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</si>
  <si>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</si>
  <si>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</si>
  <si>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</si>
  <si>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</si>
  <si>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</si>
  <si>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</si>
  <si>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</si>
  <si>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</si>
  <si>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</si>
  <si>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</si>
  <si>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</si>
  <si>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</si>
  <si>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</si>
  <si>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</si>
  <si>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</si>
  <si>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</si>
  <si>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</si>
  <si>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</si>
  <si>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</si>
  <si>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</si>
  <si>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</si>
  <si>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</si>
  <si>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</si>
  <si>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</si>
  <si>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</si>
  <si>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</si>
  <si>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</si>
  <si>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</si>
  <si>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</si>
  <si>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</si>
  <si>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</si>
  <si>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</si>
  <si>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</si>
  <si>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</si>
  <si>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</si>
  <si>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</si>
  <si>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</si>
  <si>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</si>
  <si>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</si>
  <si>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</si>
  <si>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</si>
  <si>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</si>
  <si>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</si>
  <si>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</si>
  <si>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</si>
  <si>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</si>
  <si>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</si>
  <si>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</si>
  <si>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</si>
  <si>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</si>
  <si>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</si>
  <si>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</si>
  <si>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</si>
  <si>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</si>
  <si>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</si>
  <si>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</si>
  <si>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</si>
  <si>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</si>
  <si>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</si>
  <si>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</si>
  <si>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</si>
  <si>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</si>
  <si>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</si>
  <si>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</si>
  <si>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</si>
  <si>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</si>
  <si>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</si>
  <si>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</si>
  <si>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</si>
  <si>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</si>
  <si>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</si>
  <si>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</si>
  <si>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</si>
  <si>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</si>
  <si>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</si>
  <si>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</si>
  <si>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</si>
  <si>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</si>
  <si>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</si>
  <si>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</si>
  <si>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</si>
  <si>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</si>
  <si>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</si>
  <si>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</si>
  <si>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</si>
  <si>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</si>
  <si>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</si>
  <si>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</si>
  <si>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</si>
  <si>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</si>
  <si>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</si>
  <si>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</si>
  <si>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</si>
  <si>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</si>
  <si>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</si>
  <si>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</si>
  <si>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</si>
  <si>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</si>
  <si>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</si>
  <si>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</si>
  <si>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</si>
  <si>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</si>
  <si>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</si>
  <si>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</si>
  <si>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</si>
  <si>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</si>
  <si>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</si>
  <si>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</si>
  <si>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</si>
  <si>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</si>
  <si>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</si>
  <si>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</si>
  <si>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</si>
  <si>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</si>
  <si>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</si>
  <si>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</si>
  <si>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</si>
  <si>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</si>
  <si>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</si>
  <si>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</si>
  <si>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</si>
  <si>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</si>
  <si>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</si>
  <si>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</si>
  <si>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</si>
  <si>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</si>
  <si>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</si>
  <si>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</si>
  <si>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</si>
  <si>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</si>
  <si>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</si>
  <si>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</si>
  <si>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</si>
  <si>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</si>
  <si>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</si>
  <si>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</si>
  <si>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</si>
  <si>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</si>
  <si>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</si>
  <si>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</si>
  <si>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</si>
  <si>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</si>
  <si>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</si>
  <si>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</si>
  <si>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</si>
  <si>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</si>
  <si>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</si>
  <si>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</si>
  <si>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</si>
  <si>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</si>
  <si>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</si>
  <si>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</si>
  <si>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</si>
  <si>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</si>
  <si>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</si>
  <si>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</si>
  <si>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</si>
  <si>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</si>
  <si>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</si>
  <si>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</si>
  <si>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</si>
  <si>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</si>
  <si>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</si>
  <si>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</si>
  <si>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</si>
  <si>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</si>
  <si>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</si>
  <si>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</si>
  <si>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</si>
  <si>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</si>
  <si>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</si>
  <si>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</si>
  <si>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</si>
  <si>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</si>
  <si>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</si>
  <si>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</si>
  <si>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</si>
  <si>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</si>
  <si>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</si>
  <si>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</si>
  <si>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</si>
  <si>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</si>
  <si>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</si>
  <si>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</si>
  <si>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</si>
  <si>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</si>
  <si>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</si>
  <si>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</si>
  <si>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</si>
  <si>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</si>
  <si>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</si>
  <si>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</si>
  <si>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</si>
  <si>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</si>
  <si>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</si>
  <si>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</si>
  <si>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</si>
  <si>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</si>
  <si>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</si>
  <si>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</si>
  <si>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</si>
  <si>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</si>
  <si>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</si>
  <si>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</si>
  <si>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</si>
  <si>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</si>
  <si>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</si>
  <si>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</si>
  <si>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</si>
  <si>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</si>
  <si>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</si>
  <si>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</si>
  <si>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</si>
  <si>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</si>
  <si>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</si>
  <si>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</si>
  <si>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</si>
  <si>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</si>
  <si>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</si>
  <si>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</si>
  <si>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</si>
  <si>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</si>
  <si>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</si>
  <si>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</si>
  <si>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</si>
  <si>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</si>
  <si>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</si>
  <si>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</si>
  <si>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</si>
  <si>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</si>
  <si>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</si>
  <si>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</si>
  <si>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</si>
  <si>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</si>
  <si>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</si>
  <si>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</si>
  <si>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</si>
  <si>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</si>
  <si>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</si>
  <si>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</si>
  <si>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</si>
  <si>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</si>
  <si>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</si>
  <si>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</si>
  <si>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</si>
  <si>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</si>
  <si>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</si>
  <si>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</si>
  <si>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</si>
  <si>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</si>
  <si>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</si>
  <si>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</si>
  <si>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</si>
  <si>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</si>
  <si>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</si>
  <si>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</si>
  <si>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</si>
  <si>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</si>
  <si>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</si>
  <si>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</si>
  <si>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</si>
  <si>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</si>
  <si>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</si>
  <si>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</si>
  <si>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</si>
  <si>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</si>
  <si>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</si>
  <si>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</si>
  <si>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</si>
  <si>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</si>
  <si>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</si>
  <si>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</si>
  <si>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</si>
  <si>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</si>
  <si>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</si>
  <si>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</si>
  <si>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</si>
  <si>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</si>
  <si>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</si>
  <si>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</si>
  <si>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</si>
  <si>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</si>
  <si>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</si>
  <si>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</si>
  <si>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</si>
  <si>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</si>
  <si>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</si>
  <si>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</si>
  <si>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</si>
  <si>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</si>
  <si>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</si>
  <si>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</si>
  <si>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</si>
  <si>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</si>
  <si>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</si>
  <si>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</si>
  <si>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</si>
  <si>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</si>
  <si>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</si>
  <si>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</si>
  <si>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</si>
  <si>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</si>
  <si>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</si>
  <si>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</si>
  <si>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</si>
  <si>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</si>
  <si>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</si>
  <si>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</si>
  <si>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</si>
  <si>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</si>
  <si>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</si>
  <si>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</si>
  <si>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</si>
  <si>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</si>
  <si>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</si>
  <si>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</si>
  <si>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</si>
  <si>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</si>
  <si>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</si>
  <si>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</si>
  <si>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</si>
  <si>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</si>
  <si>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</si>
  <si>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</si>
  <si>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</si>
  <si>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</si>
  <si>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</si>
  <si>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</si>
  <si>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</si>
  <si>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</si>
  <si>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</si>
  <si>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</si>
  <si>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</si>
  <si>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</si>
  <si>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</si>
  <si>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</si>
  <si>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</si>
  <si>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</si>
  <si>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</si>
  <si>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</si>
  <si>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</si>
  <si>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</si>
  <si>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</si>
  <si>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</si>
  <si>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</si>
  <si>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</si>
  <si>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</si>
  <si>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</si>
  <si>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</si>
  <si>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</si>
  <si>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</si>
  <si>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</si>
  <si>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</si>
  <si>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</si>
  <si>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</si>
  <si>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</si>
  <si>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</si>
  <si>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</si>
  <si>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</si>
  <si>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</si>
  <si>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</si>
  <si>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</si>
  <si>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</si>
  <si>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</si>
  <si>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</si>
  <si>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</si>
  <si>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</si>
  <si>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</si>
  <si>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</si>
  <si>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</si>
  <si>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</si>
  <si>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</si>
  <si>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</si>
  <si>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</si>
  <si>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</si>
  <si>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</si>
  <si>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</si>
  <si>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</si>
  <si>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</si>
  <si>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</si>
  <si>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</si>
  <si>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</si>
  <si>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</si>
  <si>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</si>
  <si>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</si>
  <si>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</si>
  <si>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</si>
  <si>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</si>
  <si>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</si>
  <si>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</si>
  <si>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</si>
  <si>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</si>
  <si>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</si>
  <si>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</si>
  <si>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</si>
  <si>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</si>
  <si>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</si>
  <si>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</si>
  <si>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</si>
  <si>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</si>
  <si>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</si>
  <si>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</si>
  <si>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</si>
  <si>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</si>
  <si>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</si>
  <si>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</si>
  <si>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</si>
  <si>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</si>
  <si>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</si>
  <si>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</si>
  <si>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</si>
  <si>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</si>
  <si>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</si>
  <si>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</si>
  <si>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</si>
  <si>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</si>
  <si>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</si>
  <si>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</si>
  <si>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</si>
  <si>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</si>
  <si>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</si>
  <si>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</si>
  <si>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</si>
  <si>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</si>
  <si>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</si>
  <si>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</si>
  <si>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</si>
  <si>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</si>
  <si>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</si>
  <si>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</si>
  <si>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</si>
  <si>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</si>
  <si>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</si>
  <si>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</si>
  <si>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</si>
  <si>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</si>
  <si>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</si>
  <si>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</si>
  <si>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</si>
  <si>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</si>
  <si>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</si>
  <si>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</si>
  <si>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</si>
  <si>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</si>
  <si>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</si>
  <si>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</si>
  <si>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</si>
  <si>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</si>
  <si>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</si>
  <si>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</si>
  <si>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</si>
  <si>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</si>
  <si>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</si>
  <si>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</si>
  <si>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</si>
  <si>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</si>
  <si>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</si>
  <si>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</si>
  <si>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</si>
  <si>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</si>
  <si>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</si>
  <si>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</si>
  <si>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</si>
  <si>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</si>
  <si>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</si>
  <si>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</si>
  <si>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</si>
  <si>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</si>
  <si>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</si>
  <si>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</si>
  <si>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</si>
  <si>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</si>
  <si>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</si>
  <si>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</si>
  <si>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</si>
  <si>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</si>
  <si>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</si>
  <si>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</si>
  <si>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</si>
  <si>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</si>
  <si>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</si>
  <si>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</si>
  <si>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</si>
  <si>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</si>
  <si>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</si>
  <si>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</si>
  <si>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</si>
  <si>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</si>
  <si>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</si>
  <si>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</si>
  <si>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</si>
  <si>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</si>
  <si>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</si>
  <si>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</si>
  <si>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</si>
  <si>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</si>
  <si>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</si>
  <si>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</si>
  <si>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</si>
  <si>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</si>
  <si>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</si>
  <si>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</si>
  <si>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</si>
  <si>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</si>
  <si>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</si>
  <si>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</si>
  <si>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</si>
  <si>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</si>
  <si>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</si>
  <si>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</si>
  <si>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</si>
  <si>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</si>
  <si>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</si>
  <si>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</si>
  <si>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</si>
  <si>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</si>
  <si>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</si>
  <si>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</si>
  <si>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</si>
  <si>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</si>
  <si>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</si>
  <si>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</si>
  <si>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</si>
  <si>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</si>
  <si>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</si>
  <si>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</si>
  <si>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</si>
  <si>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</si>
  <si>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</si>
  <si>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</si>
  <si>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</si>
  <si>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</si>
  <si>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</si>
  <si>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</si>
  <si>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</si>
  <si>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</si>
  <si>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</si>
  <si>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</si>
  <si>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</si>
  <si>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</si>
  <si>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</si>
  <si>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</si>
  <si>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</si>
  <si>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</si>
  <si>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</si>
  <si>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</si>
  <si>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</si>
  <si>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</si>
  <si>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</si>
  <si>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</si>
  <si>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</si>
  <si>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</si>
  <si>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</si>
  <si>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</si>
  <si>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</si>
  <si>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</si>
  <si>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</si>
  <si>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</si>
  <si>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</si>
  <si>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</si>
  <si>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</si>
  <si>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</si>
  <si>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</si>
  <si>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</si>
  <si>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</si>
  <si>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</si>
  <si>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</si>
  <si>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</si>
  <si>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</si>
  <si>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</si>
  <si>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</si>
  <si>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</si>
  <si>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</si>
  <si>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</si>
  <si>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</si>
  <si>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</si>
  <si>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</si>
  <si>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</si>
  <si>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</si>
  <si>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</si>
  <si>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</si>
  <si>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</si>
  <si>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</si>
  <si>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</si>
  <si>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</si>
  <si>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</si>
  <si>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</si>
  <si>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</si>
  <si>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</si>
  <si>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</si>
  <si>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</si>
  <si>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</si>
  <si>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</si>
  <si>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</si>
  <si>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</si>
  <si>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</si>
  <si>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</si>
  <si>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</si>
  <si>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</si>
  <si>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</si>
  <si>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</si>
  <si>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</si>
  <si>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</si>
  <si>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</si>
  <si>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</si>
  <si>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</si>
  <si>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</si>
  <si>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</si>
  <si>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</si>
  <si>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</si>
  <si>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</si>
  <si>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</si>
  <si>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</si>
  <si>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</si>
  <si>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</si>
  <si>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</si>
  <si>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</si>
  <si>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</si>
  <si>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</si>
  <si>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</si>
  <si>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</si>
  <si>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</si>
  <si>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</si>
  <si>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</si>
  <si>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</si>
  <si>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</si>
  <si>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</si>
  <si>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</si>
  <si>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</si>
  <si>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</si>
  <si>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</si>
  <si>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</si>
  <si>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</si>
  <si>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</si>
  <si>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</si>
  <si>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</si>
  <si>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</si>
  <si>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</si>
  <si>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</si>
  <si>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</si>
  <si>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</si>
  <si>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</si>
  <si>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</si>
  <si>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</si>
  <si>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</si>
  <si>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</si>
  <si>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</si>
  <si>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</si>
  <si>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</si>
  <si>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</si>
  <si>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</si>
  <si>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</si>
  <si>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</si>
  <si>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</si>
  <si>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</si>
  <si>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</si>
  <si>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</si>
  <si>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</si>
  <si>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</si>
  <si>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</si>
  <si>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</si>
  <si>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</si>
  <si>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</si>
  <si>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</si>
  <si>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</si>
  <si>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</si>
  <si>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</si>
  <si>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</si>
  <si>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</si>
  <si>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</si>
  <si>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</si>
  <si>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</si>
  <si>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</si>
  <si>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</si>
  <si>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</si>
  <si>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</si>
  <si>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</si>
  <si>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</si>
  <si>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</si>
  <si>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</si>
  <si>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</si>
  <si>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</si>
  <si>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</si>
  <si>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</si>
  <si>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</si>
  <si>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</si>
  <si>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</si>
  <si>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</si>
  <si>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</si>
  <si>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</si>
  <si>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</si>
  <si>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</si>
  <si>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</si>
  <si>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</si>
  <si>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</si>
  <si>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</si>
  <si>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</si>
  <si>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</si>
  <si>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</si>
  <si>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</si>
  <si>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</si>
  <si>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</si>
  <si>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</si>
  <si>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</si>
  <si>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</si>
  <si>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</si>
  <si>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</si>
  <si>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</si>
  <si>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</si>
  <si>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</si>
  <si>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</si>
  <si>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</si>
  <si>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</si>
  <si>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</si>
  <si>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</si>
  <si>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</si>
  <si>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</si>
  <si>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</si>
  <si>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</si>
  <si>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</si>
  <si>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</si>
  <si>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</si>
  <si>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</si>
  <si>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</si>
  <si>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</si>
  <si>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</si>
  <si>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</si>
  <si>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</si>
  <si>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</si>
  <si>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</si>
  <si>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</si>
  <si>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</si>
  <si>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</si>
  <si>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</si>
  <si>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</si>
  <si>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</si>
  <si>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</si>
  <si>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</si>
  <si>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</si>
  <si>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</si>
  <si>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</si>
  <si>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</si>
  <si>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</si>
  <si>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</si>
  <si>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</si>
  <si>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</si>
  <si>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</si>
  <si>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</si>
  <si>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</si>
  <si>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</si>
  <si>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</si>
  <si>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</si>
  <si>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</si>
  <si>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</si>
  <si>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</si>
  <si>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</si>
  <si>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</si>
  <si>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</si>
  <si>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</si>
  <si>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</si>
  <si>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</si>
  <si>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</si>
  <si>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</si>
  <si>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</si>
  <si>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</si>
  <si>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</si>
  <si>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</si>
  <si>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</si>
  <si>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</si>
  <si>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</si>
  <si>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</si>
  <si>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</si>
  <si>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</si>
  <si>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</si>
  <si>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</si>
  <si>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</si>
  <si>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</si>
  <si>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</si>
  <si>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</si>
  <si>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</si>
  <si>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</si>
  <si>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</si>
  <si>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</si>
  <si>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</si>
  <si>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</si>
  <si>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</si>
  <si>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</si>
  <si>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</si>
  <si>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</si>
  <si>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</si>
  <si>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</si>
  <si>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</si>
  <si>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</si>
  <si>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</si>
  <si>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</si>
  <si>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</si>
  <si>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</si>
  <si>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</si>
  <si>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</si>
  <si>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</si>
  <si>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</si>
  <si>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</si>
  <si>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</si>
  <si>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</si>
  <si>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</si>
  <si>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</si>
  <si>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</si>
  <si>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</si>
  <si>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</si>
  <si>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</si>
  <si>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</si>
  <si>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</si>
  <si>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</si>
  <si>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</si>
  <si>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</si>
  <si>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</si>
  <si>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</si>
  <si>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</si>
  <si>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</si>
  <si>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</si>
  <si>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</si>
  <si>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</si>
  <si>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</si>
  <si>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</si>
  <si>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</si>
  <si>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</si>
  <si>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</si>
  <si>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</si>
  <si>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</si>
  <si>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</si>
  <si>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</si>
  <si>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</si>
  <si>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</si>
  <si>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</si>
  <si>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</si>
  <si>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</si>
  <si>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</si>
  <si>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</si>
  <si>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</si>
  <si>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</si>
  <si>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</si>
  <si>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</si>
  <si>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</si>
  <si>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</si>
  <si>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</si>
  <si>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</si>
  <si>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</si>
  <si>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</si>
  <si>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</si>
  <si>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</si>
  <si>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</si>
  <si>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</si>
  <si>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</si>
  <si>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</si>
  <si>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</si>
  <si>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</si>
  <si>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</si>
  <si>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</si>
  <si>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</si>
  <si>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</si>
  <si>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</si>
  <si>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</si>
  <si>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</si>
  <si>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</si>
  <si>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</si>
  <si>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</si>
  <si>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</si>
  <si>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</si>
  <si>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</si>
  <si>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</si>
  <si>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</si>
  <si>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</si>
  <si>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</si>
  <si>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</si>
  <si>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</si>
  <si>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</si>
  <si>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</si>
  <si>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</si>
  <si>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</si>
  <si>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</si>
  <si>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</si>
  <si>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</si>
  <si>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</si>
  <si>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</si>
  <si>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</si>
  <si>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</si>
  <si>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</si>
  <si>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</si>
  <si>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</si>
  <si>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</si>
  <si>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</si>
  <si>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</si>
  <si>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</si>
  <si>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</si>
  <si>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</si>
  <si>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</si>
  <si>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</si>
  <si>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</si>
  <si>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</si>
  <si>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</si>
  <si>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</si>
  <si>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</si>
  <si>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</si>
  <si>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</si>
  <si>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</si>
  <si>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</si>
  <si>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</si>
  <si>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</si>
  <si>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</si>
  <si>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</si>
  <si>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</si>
  <si>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</si>
  <si>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</si>
  <si>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</si>
  <si>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</si>
  <si>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</si>
  <si>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</si>
  <si>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</si>
  <si>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</si>
  <si>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</si>
  <si>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</si>
  <si>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</si>
  <si>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</si>
  <si>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</si>
  <si>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</si>
  <si>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</si>
  <si>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</si>
  <si>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</si>
  <si>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</si>
  <si>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</si>
  <si>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</si>
  <si>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</si>
  <si>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</si>
  <si>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</si>
  <si>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</si>
  <si>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</si>
  <si>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</si>
  <si>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</si>
  <si>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</si>
  <si>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</si>
  <si>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</si>
  <si>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</si>
  <si>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</si>
  <si>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</si>
  <si>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</si>
  <si>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</si>
  <si>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</si>
  <si>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</si>
  <si>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</si>
  <si>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</si>
  <si>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</si>
  <si>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</si>
  <si>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</si>
  <si>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</si>
  <si>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</si>
  <si>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</si>
  <si>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</si>
  <si>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</si>
  <si>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</si>
  <si>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</si>
  <si>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</si>
  <si>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</si>
  <si>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</si>
  <si>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</si>
  <si>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</si>
  <si>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</si>
  <si>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</si>
  <si>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</si>
  <si>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</si>
  <si>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</si>
  <si>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</si>
  <si>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</si>
  <si>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</si>
  <si>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</si>
  <si>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</si>
  <si>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</si>
  <si>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</si>
  <si>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</si>
  <si>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</si>
  <si>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</si>
  <si>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</si>
  <si>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</si>
  <si>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</si>
  <si>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</si>
  <si>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</si>
  <si>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</si>
  <si>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</si>
  <si>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</si>
  <si>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</si>
  <si>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</si>
  <si>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</si>
  <si>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</si>
  <si>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</si>
  <si>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</si>
  <si>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</si>
  <si>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</si>
  <si>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</si>
  <si>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</si>
  <si>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</si>
  <si>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</si>
  <si>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</si>
  <si>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</si>
  <si>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</si>
  <si>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</si>
  <si>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</si>
  <si>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</si>
  <si>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</si>
  <si>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</si>
  <si>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</si>
  <si>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</si>
  <si>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</si>
  <si>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</si>
  <si>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</si>
  <si>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</si>
  <si>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</si>
  <si>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</si>
  <si>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</si>
  <si>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</si>
  <si>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</si>
  <si>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</si>
  <si>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</si>
  <si>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</si>
  <si>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</si>
  <si>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</si>
  <si>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</si>
  <si>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</si>
  <si>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</si>
  <si>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</si>
  <si>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</si>
  <si>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</si>
  <si>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</si>
  <si>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</si>
  <si>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</si>
  <si>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</si>
  <si>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</si>
  <si>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</si>
  <si>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</si>
  <si>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</si>
  <si>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</si>
  <si>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</si>
  <si>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</si>
  <si>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</si>
  <si>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</si>
  <si>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</si>
  <si>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</si>
  <si>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</si>
  <si>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</si>
  <si>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</si>
  <si>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</si>
  <si>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</si>
  <si>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</si>
  <si>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</si>
  <si>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</si>
  <si>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</si>
  <si>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</si>
  <si>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</si>
  <si>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</si>
  <si>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</si>
  <si>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</si>
  <si>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</si>
  <si>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</si>
  <si>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</si>
  <si>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</si>
  <si>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</si>
  <si>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</si>
  <si>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</si>
  <si>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</si>
  <si>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</si>
  <si>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</si>
  <si>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</si>
  <si>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</si>
  <si>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</si>
  <si>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</si>
  <si>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</si>
  <si>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</si>
  <si>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</si>
  <si>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</si>
  <si>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</si>
  <si>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</si>
  <si>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</si>
  <si>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</si>
  <si>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</si>
  <si>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</si>
  <si>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</si>
  <si>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</si>
  <si>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</si>
  <si>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</si>
  <si>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</si>
  <si>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</si>
  <si>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</si>
  <si>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</si>
  <si>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</si>
  <si>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</si>
  <si>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</si>
  <si>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</si>
  <si>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</si>
  <si>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</si>
  <si>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</si>
  <si>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</si>
  <si>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</si>
  <si>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</si>
  <si>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</si>
  <si>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</si>
  <si>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</si>
  <si>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</si>
  <si>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</si>
  <si>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</si>
  <si>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</si>
  <si>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</si>
  <si>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</si>
  <si>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</si>
  <si>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</si>
  <si>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</si>
  <si>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</si>
  <si>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</si>
  <si>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</si>
  <si>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</si>
  <si>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</si>
  <si>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</si>
  <si>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</si>
  <si>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</si>
  <si>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</si>
  <si>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</si>
  <si>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</si>
  <si>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</si>
  <si>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</si>
  <si>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</si>
  <si>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</si>
  <si>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</si>
  <si>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</si>
  <si>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</si>
  <si>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</si>
  <si>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</si>
  <si>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</si>
  <si>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</si>
  <si>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</si>
  <si>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</si>
  <si>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</si>
  <si>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</si>
  <si>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</si>
  <si>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</si>
  <si>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</si>
  <si>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</si>
  <si>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</si>
  <si>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</si>
  <si>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</si>
  <si>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</si>
  <si>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</si>
  <si>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</si>
  <si>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</si>
  <si>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</si>
  <si>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</si>
  <si>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</si>
  <si>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</si>
  <si>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</si>
  <si>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</si>
  <si>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</si>
  <si>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</si>
  <si>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</si>
  <si>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</si>
  <si>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</si>
  <si>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</si>
  <si>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</si>
  <si>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</si>
  <si>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</si>
  <si>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</si>
  <si>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</si>
  <si>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</si>
  <si>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</si>
  <si>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</si>
  <si>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</si>
  <si>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</si>
  <si>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</si>
  <si>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</si>
  <si>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</si>
  <si>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</si>
  <si>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</si>
  <si>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</si>
  <si>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</si>
  <si>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</si>
  <si>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</si>
  <si>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</si>
  <si>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</si>
  <si>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</si>
  <si>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</si>
  <si>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</si>
  <si>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</si>
  <si>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</si>
  <si>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</si>
  <si>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</si>
  <si>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</si>
  <si>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</si>
  <si>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</si>
  <si>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</si>
  <si>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</si>
  <si>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</si>
  <si>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</si>
  <si>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</si>
  <si>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</si>
  <si>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</si>
  <si>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</si>
  <si>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</si>
  <si>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</si>
  <si>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</si>
  <si>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</si>
  <si>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</si>
  <si>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</si>
  <si>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</si>
  <si>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</si>
  <si>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</si>
  <si>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</si>
  <si>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</si>
  <si>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</si>
  <si>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</si>
  <si>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</si>
  <si>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</si>
  <si>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</si>
  <si>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</si>
  <si>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</si>
  <si>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</si>
  <si>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</si>
  <si>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</si>
  <si>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</si>
  <si>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</si>
  <si>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</si>
  <si>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</si>
  <si>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</si>
  <si>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</si>
  <si>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</si>
  <si>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</si>
  <si>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</si>
  <si>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</si>
  <si>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</si>
  <si>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</si>
  <si>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</si>
  <si>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</si>
  <si>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</si>
  <si>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</si>
  <si>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</si>
  <si>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</si>
  <si>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</si>
  <si>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</si>
  <si>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</si>
  <si>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</si>
  <si>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</si>
  <si>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</si>
  <si>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</si>
  <si>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</si>
  <si>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</si>
  <si>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</si>
  <si>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</si>
  <si>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</si>
  <si>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</si>
  <si>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</si>
  <si>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</si>
  <si>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</si>
  <si>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</si>
  <si>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</si>
  <si>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</si>
  <si>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</si>
  <si>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</si>
  <si>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</si>
  <si>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</si>
  <si>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</si>
  <si>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</si>
  <si>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</si>
  <si>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</si>
  <si>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</si>
  <si>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</si>
  <si>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</si>
  <si>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</si>
  <si>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</si>
  <si>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</si>
  <si>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</si>
  <si>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</si>
  <si>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</si>
  <si>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</si>
  <si>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</si>
  <si>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</si>
  <si>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</si>
  <si>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</si>
  <si>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</si>
  <si>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</si>
  <si>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</si>
  <si>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</si>
  <si>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</si>
  <si>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</si>
  <si>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</si>
  <si>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</si>
  <si>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</si>
  <si>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</si>
  <si>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</si>
  <si>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</si>
  <si>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</si>
  <si>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</si>
  <si>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</si>
  <si>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</si>
  <si>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</si>
  <si>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</si>
  <si>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</si>
  <si>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</si>
  <si>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</si>
  <si>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</si>
  <si>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</si>
  <si>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</si>
  <si>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</si>
  <si>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</si>
  <si>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</si>
  <si>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</si>
  <si>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</si>
  <si>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</si>
  <si>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</si>
  <si>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</si>
  <si>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</si>
  <si>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工业</t>
    <phoneticPr fontId="7" type="noConversion"/>
  </si>
  <si>
    <t>容积率修正</t>
  </si>
  <si>
    <t>Ⅵ-BDA核心</t>
  </si>
  <si>
    <t>较差</t>
  </si>
  <si>
    <t>一般</t>
  </si>
  <si>
    <t>全部缴纳</t>
  </si>
  <si>
    <t>成本法</t>
  </si>
  <si>
    <t>收益法</t>
  </si>
  <si>
    <t>与级别开发程度不一致</t>
  </si>
  <si>
    <t>总价</t>
  </si>
  <si>
    <t>地下</t>
  </si>
  <si>
    <t>宗地容积率</t>
  </si>
  <si>
    <t>仅含出让金</t>
  </si>
  <si>
    <t>企业提供（在右侧录入）</t>
  </si>
  <si>
    <t>非个人房产</t>
  </si>
  <si>
    <t>M4科研用地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</si>
</sst>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估价对象为北京市房地产，为所有。根据《国有土地使用证》[]，估价对象（分摊）出让国有建设用地使用权面积为25572.42平方米，建筑面积为36157.11平方米。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估价对象为北京市房地产,属开发建设的工业项目，该项目尚在开发建设中。根据《国有土地使用证》[]，估价对象（分摊）出让国有建设用地使用权面积为25572.42平方米，规划建筑面积为36157.11平方米。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2023年11月6日</v>
      </c>
    </row>
    <row r="13" spans="1:2" s="1201" customFormat="1">
      <c r="A13" s="1199" t="s">
        <v>529</v>
      </c>
      <c r="B13" s="1200" t="str">
        <f>'预评函-1'!A18</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46060</v>
      </c>
    </row>
    <row r="21" spans="1:2" s="1201" customFormat="1">
      <c r="A21" s="1199" t="s">
        <v>537</v>
      </c>
      <c r="B21" s="1200">
        <f ca="1">'预评函-2'!D7</f>
        <v>12739</v>
      </c>
    </row>
    <row r="22" spans="1:2" s="1201" customFormat="1">
      <c r="A22" s="1199" t="s">
        <v>538</v>
      </c>
      <c r="B22" s="1200" t="str">
        <f ca="1">'预评函-2'!D6</f>
        <v>肆亿陆仟零陆拾万元整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46060</v>
      </c>
    </row>
    <row r="31" spans="1:2" s="1201" customFormat="1">
      <c r="A31" s="1199" t="s">
        <v>576</v>
      </c>
      <c r="B31" s="1200">
        <f ca="1">'预评函-2'!D15</f>
        <v>12739</v>
      </c>
    </row>
    <row r="32" spans="1:2" s="1201" customFormat="1">
      <c r="A32" s="1199" t="s">
        <v>543</v>
      </c>
      <c r="B32" s="1200" t="str">
        <f ca="1">'预评函-2'!D14</f>
        <v>肆亿陆仟零陆拾万元整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38440</v>
      </c>
    </row>
    <row r="39" spans="1:2" s="1201" customFormat="1">
      <c r="A39" s="1199" t="s">
        <v>545</v>
      </c>
      <c r="B39" s="1200">
        <f ca="1">'预评函-2'!D21</f>
        <v>10631</v>
      </c>
    </row>
    <row r="40" spans="1:2" s="1201" customFormat="1">
      <c r="A40" s="1199" t="s">
        <v>546</v>
      </c>
      <c r="B40" s="1200" t="str">
        <f ca="1">'预评函-2'!D20</f>
        <v>叁亿捌仟肆佰肆拾万元整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36157.11</v>
      </c>
    </row>
    <row r="44" spans="1:2" s="1201" customFormat="1">
      <c r="A44" s="1199" t="s">
        <v>575</v>
      </c>
      <c r="B44" s="1200" t="str">
        <f>'预评函-3'!C2</f>
        <v>(分摊)土地面积</v>
      </c>
    </row>
    <row r="45" spans="1:2" s="1201" customFormat="1">
      <c r="A45" s="1199" t="s">
        <v>547</v>
      </c>
      <c r="B45" s="1200">
        <f>'预评函-3'!C4</f>
        <v>25572.42</v>
      </c>
    </row>
    <row r="46" spans="1:2" s="1201" customFormat="1">
      <c r="A46" s="1199" t="s">
        <v>573</v>
      </c>
      <c r="B46" s="1200" t="str">
        <f>'预评函-3'!D2</f>
        <v>出让国有建设用地使用权价值</v>
      </c>
    </row>
    <row r="47" spans="1:2" s="1201" customFormat="1">
      <c r="A47" s="1199" t="s">
        <v>548</v>
      </c>
      <c r="B47" s="1200">
        <f ca="1">'预评函-3'!D4</f>
        <v>24320</v>
      </c>
    </row>
    <row r="48" spans="1:2" s="1201" customFormat="1">
      <c r="A48" s="1199" t="s">
        <v>549</v>
      </c>
      <c r="B48" s="1200">
        <f ca="1">'预评函-3'!E4</f>
        <v>6726</v>
      </c>
    </row>
    <row r="49" spans="1:2" s="1201" customFormat="1">
      <c r="A49" s="1199" t="s">
        <v>550</v>
      </c>
      <c r="B49" s="1200" t="str">
        <f ca="1">'预评函-3'!D5</f>
        <v>贰亿肆仟叁佰贰拾万元整</v>
      </c>
    </row>
    <row r="50" spans="1:2" s="1201" customFormat="1">
      <c r="A50" s="1199" t="s">
        <v>574</v>
      </c>
      <c r="B50" s="1200" t="str">
        <f>'预评函-3'!F2</f>
        <v>在建建筑物价值</v>
      </c>
    </row>
    <row r="51" spans="1:2" s="1201" customFormat="1">
      <c r="A51" s="1199" t="s">
        <v>551</v>
      </c>
      <c r="B51" s="1200">
        <f ca="1">'预评函-3'!F4</f>
        <v>21740</v>
      </c>
    </row>
    <row r="52" spans="1:2" s="1201" customFormat="1">
      <c r="A52" s="1199" t="s">
        <v>552</v>
      </c>
      <c r="B52" s="1200">
        <f ca="1">'预评函-3'!G4</f>
        <v>6013</v>
      </c>
    </row>
    <row r="53" spans="1:2" s="1201" customFormat="1">
      <c r="A53" s="1199" t="s">
        <v>580</v>
      </c>
      <c r="B53" s="1200" t="str">
        <f ca="1">'预评函-3'!F5</f>
        <v>贰亿壹仟柒佰肆拾万元整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45236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3.12</v>
      </c>
      <c r="D5" s="3023">
        <f>IF(ISERROR(ROUND(POWER(1+E5,A5-C5)*(POWER(1+E5,C5)-1)/(POWER(1+E5,A5)-1),3)),0,ROUND(POWER(1+E5,A5-C5)*(POWER(1+E5,C5)-1)/(POWER(1+E5,A5)-1),4))</f>
        <v>0.14549999999999999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13.12</v>
      </c>
      <c r="D6" s="3023">
        <f>IF(ISERROR(ROUND(POWER(1+E6,A6-C6)*(POWER(1+E6,C6)-1)/(POWER(1+E6,A6)-1),3)),0,ROUND(POWER(1+E6,A6-C6)*(POWER(1+E6,C6)-1)/(POWER(1+E6,A6)-1),4))</f>
        <v>0.46810000000000002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33.14</v>
      </c>
      <c r="D7" s="3023">
        <f>IF(ISERROR(ROUND(POWER(1+E7,A7-C7)*(POWER(1+E7,C7)-1)/(POWER(1+E7,A7)-1),3)),0,ROUND(POWER(1+E7,A7-C7)*(POWER(1+E7,C7)-1)/(POWER(1+E7,A7)-1),4))</f>
        <v>0.77729999999999999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3381</v>
      </c>
      <c r="C8" s="2388"/>
      <c r="D8" s="3506"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07"/>
      <c r="E9" s="2392" t="s">
        <v>587</v>
      </c>
      <c r="F9" s="2394"/>
      <c r="G9" s="2663"/>
      <c r="H9" s="2663"/>
      <c r="I9" s="2663"/>
      <c r="J9" s="2437"/>
      <c r="K9" s="2614"/>
      <c r="L9" s="2611"/>
      <c r="M9" s="2611"/>
      <c r="N9" s="2437"/>
      <c r="O9" s="2448"/>
      <c r="P9" s="2437"/>
      <c r="Q9" s="2437"/>
      <c r="R9" s="2437"/>
    </row>
    <row r="10" spans="1:30" ht="13.5" thickTop="1">
      <c r="A10" s="2395" t="s">
        <v>2178</v>
      </c>
      <c r="B10" s="2396" t="s">
        <v>3383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v>56022</v>
      </c>
      <c r="I13" s="854"/>
      <c r="J13" s="3060"/>
      <c r="K13" s="2611"/>
      <c r="L13" s="2611"/>
      <c r="M13" s="2437"/>
      <c r="N13" s="2448"/>
      <c r="O13" s="2437"/>
      <c r="P13" s="2437"/>
      <c r="Q13" s="2437"/>
      <c r="AD13" s="1743"/>
    </row>
    <row r="14" spans="1:30">
      <c r="A14" s="1079"/>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29.55</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36157.11</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25572.42</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3394</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2213</v>
      </c>
      <c r="B27" s="320" t="s">
        <v>2214</v>
      </c>
      <c r="C27" s="2414" t="s">
        <v>3467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2217</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495" t="s">
        <v>2227</v>
      </c>
      <c r="T34" s="2426" t="str">
        <f>NUMBERSTRING(7-K34,1)&amp;"通"</f>
        <v>七通</v>
      </c>
      <c r="U34" s="2437"/>
      <c r="V34" s="2437"/>
    </row>
    <row r="35" spans="1:30">
      <c r="A35" s="2427"/>
      <c r="B35" s="3502" t="s">
        <v>2228</v>
      </c>
      <c r="C35" s="3502"/>
      <c r="D35" s="3502"/>
      <c r="E35" s="350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3452"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3470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hidden="1" customWidth="1"/>
    <col min="30" max="30" width="10" style="1571" hidden="1" customWidth="1"/>
    <col min="31" max="31" width="9.75" style="1571" hidden="1" customWidth="1"/>
    <col min="32" max="37" width="9.5" style="1571" hidden="1" customWidth="1"/>
    <col min="38"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25572.42</v>
      </c>
      <c r="B3" s="11">
        <f>IF(C3="否",G5-AT5,G5)</f>
        <v>36157.11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36157.11</v>
      </c>
      <c r="H5" s="13">
        <f t="shared" ref="H5:AT5" si="0">SUM(H13:H656)</f>
        <v>36157.11</v>
      </c>
      <c r="I5" s="13">
        <f t="shared" si="0"/>
        <v>31701.279999999999</v>
      </c>
      <c r="J5" s="13">
        <f t="shared" si="0"/>
        <v>0</v>
      </c>
      <c r="K5" s="13">
        <f t="shared" si="0"/>
        <v>4455.83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36157.11</v>
      </c>
      <c r="BA5" s="15">
        <f t="shared" si="1"/>
        <v>36157.11</v>
      </c>
      <c r="BB5" s="15">
        <f t="shared" si="1"/>
        <v>31701.279999999999</v>
      </c>
      <c r="BC5" s="15">
        <f t="shared" si="1"/>
        <v>4455.83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25572.42</v>
      </c>
      <c r="F6" s="13" t="s">
        <v>0</v>
      </c>
      <c r="G6" s="13" t="s">
        <v>1</v>
      </c>
      <c r="H6" s="17">
        <f>SUMIF(I$12:AB$12,"总值",I6:AB6)</f>
        <v>25572.42</v>
      </c>
      <c r="I6" s="13">
        <f t="shared" ref="I6:AB6" si="2">ROUND($A$3*I5/$B$3,2)</f>
        <v>22421</v>
      </c>
      <c r="J6" s="13">
        <f t="shared" si="2"/>
        <v>0</v>
      </c>
      <c r="K6" s="13">
        <f t="shared" si="2"/>
        <v>3151.42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25572.42</v>
      </c>
      <c r="AZ6" s="13" t="s">
        <v>2</v>
      </c>
      <c r="BA6" s="13">
        <f>ROUND($AY$6*BA5/$AZ$5,2)</f>
        <v>25572.42</v>
      </c>
      <c r="BB6" s="13">
        <f>ROUND($AY$6*BB5/$AZ$5,2)</f>
        <v>22421</v>
      </c>
      <c r="BC6" s="13">
        <f t="shared" ref="BC6:BH6" si="4">ROUND($AY$6*BC5/$AZ$5,2)</f>
        <v>3151.42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3395</v>
      </c>
      <c r="J9" s="807"/>
      <c r="K9" s="1601" t="s">
        <v>3478</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t="s">
        <v>3336</v>
      </c>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t="str">
        <f>K10</f>
        <v>车库</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3394</v>
      </c>
      <c r="E13" s="13">
        <f>IF($C$3="是",ROUND($A$3*G13/$B$3,2),ROUND($A$3*(G13-AT13)/$B$3,2))</f>
        <v>25572.42</v>
      </c>
      <c r="F13" s="29"/>
      <c r="G13" s="30">
        <f>H13+AC13+AT13</f>
        <v>36157.11</v>
      </c>
      <c r="H13" s="17">
        <f>SUMIF(I$12:AB$12,"总值",I13:AB13)</f>
        <v>36157.11</v>
      </c>
      <c r="I13" s="1624">
        <f>36157.11-K13</f>
        <v>31701.279999999999</v>
      </c>
      <c r="J13" s="1624"/>
      <c r="K13" s="1624">
        <v>4455.83</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25572.42</v>
      </c>
      <c r="AZ13" s="13">
        <f>BA13+BL13</f>
        <v>36157.11</v>
      </c>
      <c r="BA13" s="13">
        <f>SUM(BB13:BK13)</f>
        <v>36157.11</v>
      </c>
      <c r="BB13" s="13">
        <f>IF($D13="是",I13-J13,0)</f>
        <v>31701.279999999999</v>
      </c>
      <c r="BC13" s="13">
        <f>IF($D13="是",K13-L13,0)</f>
        <v>4455.83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25572.42</v>
      </c>
      <c r="E3" s="43">
        <f>'数据-基础表'!AZ5</f>
        <v>36157.11</v>
      </c>
      <c r="F3" s="2657"/>
      <c r="G3" s="1143"/>
      <c r="H3" s="1024" t="s">
        <v>1106</v>
      </c>
      <c r="I3" s="853">
        <f>ROUND('数据-基础表'!B3/'数据-基础表'!A3,2)</f>
        <v>1.41</v>
      </c>
      <c r="J3" s="2657"/>
      <c r="K3" s="2657"/>
      <c r="L3" s="2657"/>
      <c r="M3" s="2657"/>
      <c r="N3" s="2659"/>
      <c r="O3" s="2657"/>
      <c r="P3" s="2657"/>
    </row>
    <row r="4" spans="1:16" ht="15">
      <c r="A4" s="3536"/>
      <c r="B4" s="3537"/>
      <c r="C4" s="3538"/>
      <c r="D4" s="1639" t="s">
        <v>1107</v>
      </c>
      <c r="E4" s="1640" t="s">
        <v>1108</v>
      </c>
      <c r="F4" s="2657"/>
      <c r="G4" s="2650" t="s">
        <v>1133</v>
      </c>
      <c r="H4" s="1024" t="s">
        <v>1113</v>
      </c>
      <c r="I4" s="853">
        <f>ROUND(SUMIF('数据-基础表'!I9:AS9,"地上",'数据-基础表'!I5:AS5)/'数据-基础表'!A3,2)</f>
        <v>1.24</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f>ROUND(E31/D31,2)</f>
        <v>1.41</v>
      </c>
      <c r="J5" s="2657"/>
      <c r="K5" s="2657"/>
      <c r="L5" s="2657"/>
      <c r="M5" s="2657"/>
      <c r="N5" s="2657"/>
      <c r="O5" s="2657"/>
      <c r="P5" s="2657"/>
    </row>
    <row r="6" spans="1:16" ht="15" thickBot="1">
      <c r="A6" s="1642"/>
      <c r="B6" s="3539" t="s">
        <v>1111</v>
      </c>
      <c r="C6" s="3539"/>
      <c r="D6" s="45">
        <f>ROUND($D$3*E6/$E$3,2)</f>
        <v>25572.42</v>
      </c>
      <c r="E6" s="46">
        <f>E3-E5</f>
        <v>36157.11</v>
      </c>
      <c r="F6" s="2657"/>
      <c r="G6" s="2651" t="s">
        <v>1112</v>
      </c>
      <c r="H6" s="1144" t="s">
        <v>1113</v>
      </c>
      <c r="I6" s="2652">
        <f>ROUND(F31/D31,2)</f>
        <v>1.24</v>
      </c>
      <c r="J6" s="2657"/>
      <c r="K6" s="2657"/>
      <c r="L6" s="2657"/>
      <c r="M6" s="2657"/>
      <c r="N6" s="2657"/>
      <c r="O6" s="2657"/>
      <c r="P6" s="2657"/>
    </row>
    <row r="7" spans="1:16" ht="15.75" thickBot="1">
      <c r="A7" s="3531"/>
      <c r="B7" s="3532"/>
      <c r="C7" s="3533"/>
      <c r="D7" s="1639" t="s">
        <v>1107</v>
      </c>
      <c r="E7" s="1643" t="s">
        <v>1114</v>
      </c>
      <c r="F7" s="2657"/>
      <c r="G7" s="2653" t="s">
        <v>1115</v>
      </c>
      <c r="H7" s="2654"/>
      <c r="I7" s="2655">
        <v>1.2</v>
      </c>
      <c r="J7" s="2657"/>
      <c r="K7" s="2657"/>
      <c r="L7" s="2657"/>
      <c r="M7" s="2657"/>
      <c r="N7" s="2657"/>
      <c r="O7" s="2657"/>
      <c r="P7" s="2657"/>
    </row>
    <row r="8" spans="1:16">
      <c r="A8" s="44" t="s">
        <v>1116</v>
      </c>
      <c r="B8" s="47" t="s">
        <v>1117</v>
      </c>
      <c r="C8" s="45" t="s">
        <v>1118</v>
      </c>
      <c r="D8" s="45">
        <f t="shared" ref="D8:D15" si="0">ROUND($D$3*E8/$E$3,2)</f>
        <v>22421</v>
      </c>
      <c r="E8" s="48">
        <f>SUMIF('数据-基础表'!BB10:BK10,"地上",'数据-基础表'!BB5:BK5)</f>
        <v>31701.279999999999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3151.42</v>
      </c>
      <c r="E13" s="48">
        <f>SUMPRODUCT(('数据-基础表'!BB10:BK10="地下")*('数据-基础表'!BB11:BK11="车库")*('数据-基础表'!BB5:BK5))</f>
        <v>4455.83</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25572.42</v>
      </c>
      <c r="E16" s="50">
        <f>SUM(E8:E15)</f>
        <v>36157.11</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3468</v>
      </c>
      <c r="D19" s="45">
        <f>ROUND($D$3*E19/$E$3,2)</f>
        <v>25572.42</v>
      </c>
      <c r="E19" s="53">
        <f t="shared" ref="E19:E26" si="1">SUM(F19:G19)</f>
        <v>36157.11</v>
      </c>
      <c r="F19" s="2793">
        <f>'数据-基础表'!I5</f>
        <v>31701.279999999999</v>
      </c>
      <c r="G19" s="2794">
        <f>'数据-基础表'!K13</f>
        <v>4455.83</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25572.42</v>
      </c>
      <c r="S19" s="1025">
        <f t="shared" si="5"/>
        <v>36157.11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25572.42</v>
      </c>
      <c r="E27" s="1139">
        <f>IF(SUM(E19:E26)='数据-基础表'!BA5,SUM(E19:E26),IF(F27="地上面积有误","面积有误","地下面积有误"))</f>
        <v>36157.11</v>
      </c>
      <c r="F27" s="1138">
        <f>IF(SUM(F19:F26)=E8,SUM(F19:F26),"地上面积有误")</f>
        <v>31701.279999999999</v>
      </c>
      <c r="G27" s="1140">
        <f>SUM(G19:G26)</f>
        <v>4455.83</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25572.42</v>
      </c>
      <c r="S27" s="1024">
        <f>IF(SUM(S19:S26)=$E$3,SUM(S19:S26),SUM(S19:S26)&amp;"误差"&amp;ROUND(SUM(S19:S26)-E3,2))</f>
        <v>36157.11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25572.42</v>
      </c>
      <c r="E31" s="674">
        <f>E27+E30</f>
        <v>36157.11</v>
      </c>
      <c r="F31" s="675">
        <f>F27+F30</f>
        <v>31701.279999999999</v>
      </c>
      <c r="G31" s="676">
        <f>G27+G30</f>
        <v>4455.83</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6">
        <f>SUMIF(项目基本情况!C$12:I$12,C6,项目基本情况!C$14:I$14)</f>
        <v>50</v>
      </c>
      <c r="E6" s="855">
        <f>IF(B6="","",SUMIF(项目基本情况!C$12:I$12,C6,项目基本情况!C$13:I$13))</f>
        <v>56022</v>
      </c>
      <c r="F6" s="64">
        <f>SUMIF(项目基本情况!C$12:I$12,C6,项目基本情况!C$15:I$15)</f>
        <v>29.55</v>
      </c>
      <c r="G6" s="65">
        <f>IF(ISERROR(ROUND(POWER(1+H6,D6-F6)*(POWER(1+H6,F6)-1)/(POWER(1+H6,D6)-1),3)),0,ROUND(POWER(1+H6,D6-F6)*(POWER(1+H6,F6)-1)/(POWER(1+H6,D6)-1),3))</f>
        <v>0.83599999999999997</v>
      </c>
      <c r="H6" s="730">
        <v>0.05</v>
      </c>
      <c r="I6" s="730">
        <v>5.5E-2</v>
      </c>
      <c r="J6" s="66">
        <v>7.0000000000000007E-2</v>
      </c>
      <c r="K6" s="1028">
        <f>SUMIF('数据-汇总表'!C$19:C$33,A6,'数据-汇总表'!E$19:E$33)</f>
        <v>36157.11</v>
      </c>
      <c r="L6" s="731">
        <v>4500</v>
      </c>
      <c r="M6" s="67">
        <f t="shared" ref="M6:M14" si="0">ROUND(K6*L6/10000,0)</f>
        <v>16271</v>
      </c>
      <c r="N6" s="729">
        <f>N21</f>
        <v>0.84</v>
      </c>
      <c r="O6" s="67" t="str">
        <f>IF($N$5="成新度","——",ROUND(M6*N6,0))</f>
        <v>——</v>
      </c>
      <c r="P6" s="68" t="str">
        <f>IF($N$5="成新度","——",M6-O6)</f>
        <v>——</v>
      </c>
      <c r="Q6" s="732">
        <v>0.15</v>
      </c>
      <c r="R6" s="69">
        <f ca="1">SUMIF('数据-汇总表'!C$19:C$33,A6,'数据-汇总表'!R$19:R$27)</f>
        <v>25572.42</v>
      </c>
      <c r="S6" s="51">
        <f>IF('数据-汇总表'!$I$17="按面积比例",SUMIF('数据-汇总表'!C$19:C$33,A6,'数据-汇总表'!K$19:K$33),SUMIF('数据-汇总表'!C$19:C$33,A6,'数据-汇总表'!N$19:N$33))</f>
        <v>0</v>
      </c>
      <c r="T6" s="1170">
        <f>ROUND($L$14*S6/10000,0)</f>
        <v>0</v>
      </c>
      <c r="U6" s="3426">
        <v>2.7</v>
      </c>
      <c r="V6" s="70">
        <v>2.5000000000000001E-2</v>
      </c>
      <c r="W6" s="70">
        <v>0.1</v>
      </c>
      <c r="X6" s="1038"/>
      <c r="Y6" s="71">
        <f>N6</f>
        <v>0.84</v>
      </c>
      <c r="Z6" s="72"/>
      <c r="AA6" s="66"/>
      <c r="AB6" s="66"/>
      <c r="AC6" s="1038"/>
      <c r="AD6" s="73"/>
      <c r="AE6" s="1039">
        <f ca="1">IF(AN6="",0,SUMIF(INDIRECT("'"&amp;AN6&amp;"'"&amp;"!E:E"),$AE$5,INDIRECT("'"&amp;AN6&amp;"'"&amp;"!F:F")))</f>
        <v>29.55</v>
      </c>
      <c r="AF6" s="1346"/>
      <c r="AG6" s="138">
        <f>IF(AF6="",0,AE6-AF6)</f>
        <v>0</v>
      </c>
      <c r="AH6" s="74"/>
      <c r="AI6" s="76">
        <v>365</v>
      </c>
      <c r="AJ6" s="77"/>
      <c r="AK6" s="78">
        <v>5.0000000000000001E-3</v>
      </c>
      <c r="AL6" s="79">
        <v>1E-3</v>
      </c>
      <c r="AM6" s="80">
        <v>5.0000000000000001E-3</v>
      </c>
      <c r="AN6" s="1713" t="s">
        <v>3475</v>
      </c>
      <c r="AO6" s="52">
        <f ca="1">SUMIF(INDIRECT("'"&amp;AN6&amp;"'"&amp;"!A:A"),"总价",INDIRECT("'"&amp;AN6&amp;"'"&amp;"!B:B"))</f>
        <v>48128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0.83599999999999997</v>
      </c>
      <c r="H16" s="90">
        <f>ROUND(SUMPRODUCT(H6:H13,K6:K13)/SUMPRODUCT((H6:H13&gt;0)*(K6:K13)),3)</f>
        <v>0.05</v>
      </c>
      <c r="I16" s="91"/>
      <c r="J16" s="91"/>
      <c r="K16" s="92">
        <f>SUM(K6:K15)</f>
        <v>36157.11</v>
      </c>
      <c r="L16" s="93">
        <f>ROUND(M16*10000/SUM(K6:K14),0)</f>
        <v>4500</v>
      </c>
      <c r="M16" s="93">
        <f>SUM(M6:M14)</f>
        <v>16271</v>
      </c>
      <c r="N16" s="94">
        <f>ROUND(SUMPRODUCT(M6:M14,N6:N14)/M16,3)</f>
        <v>0.84</v>
      </c>
      <c r="O16" s="93">
        <f>SUM(O6:O14)</f>
        <v>0</v>
      </c>
      <c r="P16" s="93">
        <f>SUM(P6:P14)</f>
        <v>0</v>
      </c>
      <c r="Q16" s="95">
        <f>ROUND(SUMPRODUCT(Q6:Q13,K6:K13)/SUMPRODUCT((Q6:Q13&gt;0)*(K6:K13)),2)</f>
        <v>0.15</v>
      </c>
      <c r="R16" s="1032">
        <f ca="1">SUM(R6:R13)</f>
        <v>25572.42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0.82</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f>'数据-基础表'!I13</f>
        <v>31701.279999999999</v>
      </c>
      <c r="U20" s="2669">
        <v>2.8</v>
      </c>
      <c r="V20" s="2669"/>
      <c r="W20" s="2669">
        <v>3600</v>
      </c>
      <c r="X20" s="2669">
        <v>143</v>
      </c>
      <c r="Y20" s="2669">
        <f>ROUND(X20*W20,0)</f>
        <v>514800</v>
      </c>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0.84</v>
      </c>
      <c r="O21" s="2669"/>
      <c r="P21" s="2669"/>
      <c r="Q21" s="2669"/>
      <c r="R21" s="2669"/>
      <c r="S21" s="2669"/>
      <c r="T21" s="2669">
        <f>'数据-基础表'!K13</f>
        <v>4455.83</v>
      </c>
      <c r="U21" s="2669">
        <f>ROUND(Y22/365/T21,1)</f>
        <v>0.7</v>
      </c>
      <c r="V21" s="2669"/>
      <c r="W21" s="2669">
        <v>7200</v>
      </c>
      <c r="X21" s="2669">
        <v>84</v>
      </c>
      <c r="Y21" s="2669">
        <f>ROUND(X21*W21,0)</f>
        <v>604800</v>
      </c>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f>T20+T21</f>
        <v>36157.11</v>
      </c>
      <c r="U22" s="2669">
        <f>ROUND((U20*T20+U21*T21)/T22,1)</f>
        <v>2.5</v>
      </c>
      <c r="V22" s="2669"/>
      <c r="W22" s="2669"/>
      <c r="X22" s="2669"/>
      <c r="Y22" s="2669">
        <f>Y21+Y20</f>
        <v>1119600</v>
      </c>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723</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36157.11</v>
      </c>
      <c r="C1" s="2684"/>
      <c r="D1" s="2684"/>
      <c r="E1" s="2684"/>
      <c r="F1" s="2684"/>
      <c r="G1" s="2685"/>
      <c r="H1" s="2686"/>
      <c r="I1" s="2686"/>
      <c r="J1" s="2686"/>
      <c r="K1" s="2686"/>
    </row>
    <row r="2" spans="1:11" ht="16.5">
      <c r="A2" s="2510" t="s">
        <v>653</v>
      </c>
      <c r="B2" s="2510">
        <f>SUM(C14:C23)</f>
        <v>25572.42</v>
      </c>
      <c r="C2" s="2684"/>
      <c r="D2" s="2684"/>
      <c r="E2" s="2684"/>
      <c r="F2" s="2684"/>
      <c r="G2" s="2685"/>
      <c r="H2" s="2686"/>
      <c r="I2" s="2686"/>
      <c r="J2" s="2686"/>
      <c r="K2" s="2686"/>
    </row>
    <row r="3" spans="1:11" ht="16.5">
      <c r="A3" s="2510" t="s">
        <v>662</v>
      </c>
      <c r="B3" s="2512">
        <f>项目基本情况!D3</f>
        <v>45236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46060</v>
      </c>
      <c r="C5" s="2510">
        <f ca="1">IF(B5=D14,结果表!H102,ROUND(B5*10000/$B$1,0))</f>
        <v>12739</v>
      </c>
      <c r="D5" s="2510">
        <f ca="1">ROUND(B5*10000/$B$2,0)</f>
        <v>18012</v>
      </c>
      <c r="E5" s="2684"/>
      <c r="F5" s="2685"/>
      <c r="G5" s="2685"/>
      <c r="H5" s="2686"/>
      <c r="I5" s="2686"/>
      <c r="J5" s="2686"/>
      <c r="K5" s="2686"/>
    </row>
    <row r="6" spans="1:11" ht="16.5">
      <c r="A6" s="2510" t="s">
        <v>656</v>
      </c>
      <c r="B6" s="2510">
        <f ca="1">SUM(G14:G23)</f>
        <v>46060</v>
      </c>
      <c r="C6" s="2510">
        <f ca="1">IF(B6=G14,结果表!H108,ROUND(B6*10000/$B$1,0))</f>
        <v>12739</v>
      </c>
      <c r="D6" s="2510">
        <f ca="1">ROUND(B6*10000/$B$2,0)</f>
        <v>18012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 ca="1">SUM(I14:I23)</f>
        <v>38440</v>
      </c>
      <c r="C8" s="2510">
        <f ca="1">IF(B8=I14,结果表!H112,ROUND(B8*10000/$B$1,0))</f>
        <v>10631</v>
      </c>
      <c r="D8" s="2510">
        <f ca="1">ROUND(B8*10000/$B$2,0)</f>
        <v>15032</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36157.11</v>
      </c>
      <c r="C14" s="2516">
        <f>'数据-汇总表'!D3</f>
        <v>25572.42</v>
      </c>
      <c r="D14" s="2516">
        <f ca="1">结果表!H101</f>
        <v>46060</v>
      </c>
      <c r="E14" s="2516">
        <f ca="1">ROUND(D14*10000/B14,0)</f>
        <v>12739</v>
      </c>
      <c r="F14" s="2516">
        <f ca="1">ROUND(D14*10000/C14,0)</f>
        <v>18012</v>
      </c>
      <c r="G14" s="2516">
        <f ca="1">D14</f>
        <v>46060</v>
      </c>
      <c r="H14" s="2516"/>
      <c r="I14" s="2516">
        <f ca="1">结果表!H111</f>
        <v>38440</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D127" sqref="D127:I1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2" t="s">
        <v>1265</v>
      </c>
      <c r="B4" s="1753" t="s">
        <v>1266</v>
      </c>
      <c r="C4" s="1754" t="s">
        <v>3474</v>
      </c>
      <c r="D4" s="1754" t="s">
        <v>3475</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5"/>
      <c r="G5" s="1755"/>
      <c r="H5" s="1755"/>
      <c r="I5" s="1371"/>
    </row>
    <row r="6" spans="1:12" ht="12.75">
      <c r="A6" s="3556"/>
      <c r="B6" s="3543"/>
      <c r="C6" s="3560"/>
      <c r="D6" s="3579"/>
      <c r="E6" s="131" t="s">
        <v>1270</v>
      </c>
      <c r="F6" s="1755"/>
      <c r="G6" s="1755"/>
      <c r="H6" s="1755"/>
      <c r="I6" s="1371"/>
    </row>
    <row r="7" spans="1:12" ht="12.75">
      <c r="A7" s="3556"/>
      <c r="B7" s="3543"/>
      <c r="C7" s="3561"/>
      <c r="D7" s="3579"/>
      <c r="E7" s="131" t="s">
        <v>1271</v>
      </c>
      <c r="F7" s="1755"/>
      <c r="G7" s="1755"/>
      <c r="H7" s="1755"/>
      <c r="I7" s="1371"/>
    </row>
    <row r="8" spans="1:12" ht="12.75">
      <c r="A8" s="3556" t="s">
        <v>1272</v>
      </c>
      <c r="B8" s="3543">
        <v>15</v>
      </c>
      <c r="C8" s="3559"/>
      <c r="D8" s="3579"/>
      <c r="E8" s="131" t="s">
        <v>1273</v>
      </c>
      <c r="F8" s="1755"/>
      <c r="G8" s="1755"/>
      <c r="H8" s="1755"/>
      <c r="I8" s="1371"/>
    </row>
    <row r="9" spans="1:12" ht="12.75">
      <c r="A9" s="3556"/>
      <c r="B9" s="3543"/>
      <c r="C9" s="3561"/>
      <c r="D9" s="3579"/>
      <c r="E9" s="131" t="s">
        <v>1274</v>
      </c>
      <c r="F9" s="1755"/>
      <c r="G9" s="1755"/>
      <c r="H9" s="1755"/>
      <c r="I9" s="1371"/>
    </row>
    <row r="10" spans="1:12" ht="12.75">
      <c r="A10" s="3556" t="s">
        <v>1275</v>
      </c>
      <c r="B10" s="3543">
        <v>15</v>
      </c>
      <c r="C10" s="3559"/>
      <c r="D10" s="3579"/>
      <c r="E10" s="131" t="s">
        <v>1276</v>
      </c>
      <c r="F10" s="1755"/>
      <c r="G10" s="1755"/>
      <c r="H10" s="1755"/>
      <c r="I10" s="1371"/>
    </row>
    <row r="11" spans="1:12" ht="12.75">
      <c r="A11" s="3556"/>
      <c r="B11" s="3543"/>
      <c r="C11" s="3561"/>
      <c r="D11" s="3579"/>
      <c r="E11" s="131" t="s">
        <v>1277</v>
      </c>
      <c r="F11" s="1755"/>
      <c r="G11" s="1755"/>
      <c r="H11" s="1755"/>
      <c r="I11" s="1371"/>
    </row>
    <row r="12" spans="1:12" ht="12.75">
      <c r="A12" s="3556" t="s">
        <v>1278</v>
      </c>
      <c r="B12" s="3543">
        <v>15</v>
      </c>
      <c r="C12" s="3559"/>
      <c r="D12" s="3579"/>
      <c r="E12" s="131" t="s">
        <v>1279</v>
      </c>
      <c r="F12" s="1755"/>
      <c r="G12" s="1755"/>
      <c r="H12" s="1755"/>
      <c r="I12" s="1371"/>
    </row>
    <row r="13" spans="1:12" ht="12.75">
      <c r="A13" s="3556"/>
      <c r="B13" s="3543"/>
      <c r="C13" s="3561"/>
      <c r="D13" s="3579"/>
      <c r="E13" s="131" t="s">
        <v>1280</v>
      </c>
      <c r="F13" s="1755"/>
      <c r="G13" s="1755"/>
      <c r="H13" s="1755"/>
      <c r="I13" s="1371"/>
    </row>
    <row r="14" spans="1:12" ht="12.75">
      <c r="A14" s="3556" t="s">
        <v>1281</v>
      </c>
      <c r="B14" s="3543">
        <v>30</v>
      </c>
      <c r="C14" s="3559">
        <v>3</v>
      </c>
      <c r="D14" s="3579">
        <v>7</v>
      </c>
      <c r="E14" s="131" t="s">
        <v>1282</v>
      </c>
      <c r="F14" s="1755"/>
      <c r="G14" s="1755"/>
      <c r="H14" s="1755"/>
      <c r="I14" s="1371"/>
    </row>
    <row r="15" spans="1:12" ht="12.75">
      <c r="A15" s="3556"/>
      <c r="B15" s="3543"/>
      <c r="C15" s="3560"/>
      <c r="D15" s="3579"/>
      <c r="E15" s="131" t="s">
        <v>1283</v>
      </c>
      <c r="F15" s="1755"/>
      <c r="G15" s="1755"/>
      <c r="H15" s="1755"/>
      <c r="I15" s="1371"/>
    </row>
    <row r="16" spans="1:12" ht="12.75">
      <c r="A16" s="3556"/>
      <c r="B16" s="3543"/>
      <c r="C16" s="3561"/>
      <c r="D16" s="3579"/>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566" t="s">
        <v>2130</v>
      </c>
      <c r="F18" s="3567"/>
      <c r="G18" s="3567"/>
      <c r="H18" s="3567"/>
      <c r="I18" s="3567"/>
      <c r="K18" s="302" t="s">
        <v>1289</v>
      </c>
      <c r="L18" s="302">
        <f>IF(C1="",'数据-汇总表'!E3,SUMIF(项目类型,C1,'数据-汇总表'!E17:E26)+SUMIF(项目类型,C1,'数据-汇总表'!I17:I26))</f>
        <v>36157.11</v>
      </c>
      <c r="M18" s="302">
        <f>IF(C1="",'数据-汇总表'!E3,SUMIF(项目类型,C1,'数据-汇总表'!E17:E26))</f>
        <v>36157.11</v>
      </c>
    </row>
    <row r="19" spans="1:36" ht="15">
      <c r="A19" s="1759" t="s">
        <v>1290</v>
      </c>
      <c r="B19" s="1760" t="s">
        <v>1291</v>
      </c>
      <c r="C19" s="134">
        <f ca="1">SUMIF(INDIRECT("'"&amp;C4&amp;"'"&amp;"!A:A"),结果表!B19,INDIRECT("'"&amp;C4&amp;"'"&amp;"!B:B"))</f>
        <v>41235</v>
      </c>
      <c r="D19" s="135">
        <f ca="1">SUMIF(INDIRECT("'"&amp;D4&amp;"'"&amp;"!A:A"),结果表!B19,INDIRECT("'"&amp;D4&amp;"'"&amp;"!B:B"))</f>
        <v>48128</v>
      </c>
      <c r="E19" s="1759" t="s">
        <v>1292</v>
      </c>
      <c r="F19" s="1760" t="s">
        <v>1291</v>
      </c>
      <c r="G19" s="136">
        <f ca="1">ROUND(C19*$C$18+D19*$D$18,0)</f>
        <v>46060</v>
      </c>
      <c r="H19" s="1761" t="s">
        <v>1293</v>
      </c>
      <c r="I19" s="129"/>
      <c r="K19" s="302" t="s">
        <v>1294</v>
      </c>
      <c r="L19" s="302">
        <f>IF(C1="",'数据-汇总表'!D3,SUMIF(项目类型,C1,'数据-汇总表'!D17:D26)+SUMIF(项目类型,C1,'数据-汇总表'!H17:H27))</f>
        <v>25572.42</v>
      </c>
      <c r="M19" s="302">
        <f>IF(C1="",'数据-汇总表'!D3,SUMIF(项目类型,C1,'数据-汇总表'!D17:D26))</f>
        <v>25572.42</v>
      </c>
    </row>
    <row r="20" spans="1:36" ht="15">
      <c r="A20" s="1762"/>
      <c r="B20" s="1024" t="s">
        <v>1295</v>
      </c>
      <c r="C20" s="137">
        <f ca="1">SUMIF(INDIRECT("'"&amp;C4&amp;"'"&amp;"!A:A"),结果表!B20,INDIRECT("'"&amp;C4&amp;"'"&amp;"!B:B"))</f>
        <v>11404</v>
      </c>
      <c r="D20" s="138">
        <f ca="1">SUMIF(INDIRECT("'"&amp;D4&amp;"'"&amp;"!A:A"),结果表!B20,INDIRECT("'"&amp;D4&amp;"'"&amp;"!B:B"))</f>
        <v>13311</v>
      </c>
      <c r="E20" s="1762"/>
      <c r="F20" s="1024" t="s">
        <v>1295</v>
      </c>
      <c r="G20" s="139">
        <f ca="1">ROUND(C20*$C$18+D20*$D$18,0)</f>
        <v>12739</v>
      </c>
      <c r="H20" s="806" t="s">
        <v>1296</v>
      </c>
      <c r="I20" s="129"/>
    </row>
    <row r="21" spans="1:36" ht="15" customHeight="1" thickBot="1">
      <c r="A21" s="826"/>
      <c r="B21" s="1763" t="s">
        <v>1297</v>
      </c>
      <c r="C21" s="717">
        <f ca="1">ROUND(C19*10000/L19,0)</f>
        <v>16125</v>
      </c>
      <c r="D21" s="718">
        <f ca="1">ROUND(D19*10000/L19,0)</f>
        <v>18820</v>
      </c>
      <c r="E21" s="826"/>
      <c r="F21" s="1763" t="s">
        <v>1297</v>
      </c>
      <c r="G21" s="140">
        <f ca="1">ROUND(G19*10000/L19,0)</f>
        <v>18012</v>
      </c>
      <c r="H21" s="1764" t="s">
        <v>1296</v>
      </c>
      <c r="I21" s="129"/>
    </row>
    <row r="22" spans="1:36" ht="15" thickBot="1">
      <c r="A22" s="1686" t="s">
        <v>1298</v>
      </c>
      <c r="B22" s="1765"/>
      <c r="C22" s="1766"/>
      <c r="D22" s="719">
        <f ca="1">IF(C19&lt;D19,D19/C19-1,C19/D19-1)</f>
        <v>0.16716381714562867</v>
      </c>
      <c r="E22" s="129"/>
      <c r="F22" s="129"/>
      <c r="G22" s="129"/>
      <c r="H22" s="129"/>
      <c r="I22" s="129"/>
    </row>
    <row r="23" spans="1:36" ht="13.5" thickBot="1">
      <c r="A23" s="1745"/>
      <c r="B23" s="1745"/>
      <c r="C23" s="1745"/>
      <c r="D23" s="1745"/>
      <c r="E23" s="129"/>
      <c r="F23" s="129"/>
      <c r="G23" s="129"/>
      <c r="H23" s="129"/>
      <c r="I23" s="129"/>
    </row>
    <row r="24" spans="1:36" ht="14.25">
      <c r="A24" s="3550" t="s">
        <v>1299</v>
      </c>
      <c r="B24" s="1760" t="s">
        <v>1291</v>
      </c>
      <c r="C24" s="136">
        <f>IF(B30=0,0,D30)</f>
        <v>0</v>
      </c>
      <c r="D24" s="1767"/>
      <c r="E24" s="129"/>
      <c r="F24" s="129"/>
      <c r="G24" s="129"/>
      <c r="H24" s="129"/>
      <c r="I24" s="129"/>
    </row>
    <row r="25" spans="1:36" ht="14.25">
      <c r="A25" s="35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46060</v>
      </c>
      <c r="D32" s="1773" t="s">
        <v>3477</v>
      </c>
      <c r="E32" s="129"/>
      <c r="F32" s="129"/>
      <c r="G32" s="129"/>
      <c r="H32" s="129"/>
      <c r="I32" s="129"/>
    </row>
    <row r="33" spans="1:15" ht="15">
      <c r="A33" s="784" t="s">
        <v>1306</v>
      </c>
      <c r="B33" s="1774"/>
      <c r="C33" s="1775" t="s">
        <v>3466</v>
      </c>
      <c r="D33" s="1776" t="s">
        <v>3474</v>
      </c>
      <c r="E33" s="1777" t="s">
        <v>1307</v>
      </c>
      <c r="F33" s="1778" t="str">
        <f>IF(D32="楼面单价","取值（单价）","取值（总价）")</f>
        <v>取值（总价）</v>
      </c>
      <c r="G33" s="129"/>
      <c r="H33" s="129"/>
      <c r="I33" s="129"/>
    </row>
    <row r="34" spans="1:15" ht="15">
      <c r="A34" s="1779"/>
      <c r="B34" s="1780" t="s">
        <v>1308</v>
      </c>
      <c r="C34" s="148">
        <f ca="1">IF(C33="自定义",F34,C32-C35)</f>
        <v>24320</v>
      </c>
      <c r="D34" s="859">
        <f ca="1">IF(C33="自定义",ROUND(C34/C32,3),IF(C33="收益比率",SUMIF(INDIRECT("'"&amp;D33&amp;"'"&amp;"!b:b"),"土地收益比率",INDIRECT("'"&amp;D33&amp;"'"&amp;"!c:c")),SUMIF(INDIRECT("'"&amp;D33&amp;"'"&amp;"!b:b"),"土地成本比率",INDIRECT("'"&amp;D33&amp;"'"&amp;"!c:c"))))</f>
        <v>0.52800000000000002</v>
      </c>
      <c r="E34" s="1781" t="s">
        <v>1309</v>
      </c>
      <c r="F34" s="1328"/>
      <c r="G34" s="129"/>
      <c r="H34" s="129"/>
      <c r="I34" s="129"/>
    </row>
    <row r="35" spans="1:15" ht="15.75" thickBot="1">
      <c r="A35" s="1782"/>
      <c r="B35" s="1783" t="s">
        <v>1310</v>
      </c>
      <c r="C35" s="1168">
        <f ca="1">IF(C33="自定义",F35,ROUND(C32*D35,0))</f>
        <v>21740</v>
      </c>
      <c r="D35" s="1169">
        <f ca="1">IF(C33="自定义",ROUND(C35/C32,3),IF(C33="收益比率",SUMIF(INDIRECT("'"&amp;D33&amp;"'"&amp;"!b:b"),"建筑物收益比率",INDIRECT("'"&amp;D33&amp;"'"&amp;"!c:c")),SUMIF(INDIRECT("'"&amp;D33&amp;"'"&amp;"!b:b"),"建筑物成本比率",INDIRECT("'"&amp;D33&amp;"'"&amp;"!c:c"))))</f>
        <v>0.47199999999999998</v>
      </c>
      <c r="E35" s="1784" t="s">
        <v>1311</v>
      </c>
      <c r="F35" s="154"/>
      <c r="G35" s="129"/>
      <c r="H35" s="129"/>
      <c r="I35" s="129"/>
    </row>
    <row r="36" spans="1:15" ht="15.75" thickBot="1">
      <c r="A36" s="3570" t="s">
        <v>1312</v>
      </c>
      <c r="B36" s="1785" t="s">
        <v>1313</v>
      </c>
      <c r="C36" s="145"/>
      <c r="D36" s="1786"/>
      <c r="E36" s="1787"/>
      <c r="F36" s="1788"/>
      <c r="G36" s="129"/>
      <c r="H36" s="129"/>
      <c r="I36" s="129"/>
    </row>
    <row r="37" spans="1:15" ht="15.75" thickBot="1">
      <c r="A37" s="3571"/>
      <c r="B37" s="1672" t="s">
        <v>1314</v>
      </c>
      <c r="C37" s="147"/>
      <c r="D37" s="1137"/>
      <c r="E37" s="1137"/>
      <c r="F37" s="1788"/>
      <c r="G37" s="129"/>
      <c r="H37" s="129"/>
      <c r="I37" s="129"/>
    </row>
    <row r="38" spans="1:15" ht="15.75" thickBot="1">
      <c r="A38" s="357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7" t="s">
        <v>1326</v>
      </c>
      <c r="B45" s="3548"/>
      <c r="C45" s="3549"/>
      <c r="D45" s="155">
        <f ca="1">ROUND(H101*F45,0)</f>
        <v>46060</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4"/>
      <c r="I46" s="159"/>
      <c r="J46" s="2521">
        <v>1</v>
      </c>
      <c r="K46" s="3606" t="s">
        <v>1331</v>
      </c>
      <c r="L46" s="3606"/>
      <c r="M46" s="3626"/>
      <c r="N46" s="3626"/>
      <c r="O46" s="3626"/>
    </row>
    <row r="47" spans="1:15" ht="12" customHeight="1">
      <c r="A47" s="160" t="s">
        <v>1332</v>
      </c>
      <c r="B47" s="161"/>
      <c r="C47" s="162"/>
      <c r="D47" s="1085" t="s">
        <v>1333</v>
      </c>
      <c r="E47" s="302" t="s">
        <v>1334</v>
      </c>
      <c r="F47" s="163" t="s">
        <v>1335</v>
      </c>
      <c r="G47" s="2544" t="s">
        <v>1336</v>
      </c>
      <c r="H47" s="2545"/>
      <c r="I47" s="159"/>
      <c r="J47" s="2521">
        <v>2</v>
      </c>
      <c r="K47" s="3606" t="s">
        <v>1337</v>
      </c>
      <c r="L47" s="3606"/>
      <c r="M47" s="3627">
        <f>'数据-取费表'!B2</f>
        <v>45236</v>
      </c>
      <c r="N47" s="3627"/>
      <c r="O47" s="3627"/>
    </row>
    <row r="48" spans="1:15" ht="25.5">
      <c r="A48" s="3575" t="s">
        <v>1338</v>
      </c>
      <c r="B48" s="3558"/>
      <c r="C48" s="3558"/>
      <c r="D48" s="2322">
        <f ca="1">IF(H48="情况1",0,IF(H48="情况2",D52,IF(H48="情况3",D53,IF(H48="情况4",D54))))</f>
        <v>2413</v>
      </c>
      <c r="E48" s="2332" t="str">
        <f>IF(H48="情况4","(销售额-原购置价)×税（费）率","销售额×税（费）率")</f>
        <v>销售额×税（费）率</v>
      </c>
      <c r="F48" s="2546">
        <f>IF(H48="情况1","免征",'数据-取费表'!B41)</f>
        <v>5.5000000000000007E-2</v>
      </c>
      <c r="G48" s="2547" t="s">
        <v>1339</v>
      </c>
      <c r="H48" s="2548" t="s">
        <v>3459</v>
      </c>
      <c r="I48" s="1804"/>
      <c r="J48" s="2521">
        <v>3</v>
      </c>
      <c r="K48" s="3606" t="s">
        <v>1340</v>
      </c>
      <c r="L48" s="3606"/>
      <c r="M48" s="3628">
        <f ca="1">H101</f>
        <v>46060</v>
      </c>
      <c r="N48" s="3628"/>
      <c r="O48" s="3628"/>
    </row>
    <row r="49" spans="1:35" ht="25.5" customHeight="1">
      <c r="A49" s="2331" t="s">
        <v>1341</v>
      </c>
      <c r="B49" s="3542" t="s">
        <v>1342</v>
      </c>
      <c r="C49" s="3542"/>
      <c r="D49" s="1588">
        <v>0</v>
      </c>
      <c r="E49" s="324" t="s">
        <v>1343</v>
      </c>
      <c r="F49" s="2422" t="s">
        <v>28</v>
      </c>
      <c r="G49" s="3612"/>
      <c r="H49" s="2308" t="s">
        <v>2133</v>
      </c>
      <c r="I49" s="2309"/>
      <c r="J49" s="2521">
        <v>4</v>
      </c>
      <c r="K49" s="3606" t="str">
        <f>IF(项目基本情况!E8="房地产抵押价值","房地产抵押价值","抵押担保权已注销时的房地产抵押价值")</f>
        <v>房地产抵押价值</v>
      </c>
      <c r="L49" s="3606"/>
      <c r="M49" s="3628">
        <f ca="1">IF(项目基本情况!E8="房地产抵押价值",H107,H109)</f>
        <v>46060</v>
      </c>
      <c r="N49" s="3628"/>
      <c r="O49" s="3628"/>
    </row>
    <row r="50" spans="1:35" ht="25.5" customHeight="1">
      <c r="A50" s="2549"/>
      <c r="B50" s="3542" t="s">
        <v>1344</v>
      </c>
      <c r="C50" s="3542"/>
      <c r="D50" s="2550"/>
      <c r="E50" s="332"/>
      <c r="F50" s="2422"/>
      <c r="G50" s="3613"/>
      <c r="H50" s="2310" t="s">
        <v>2134</v>
      </c>
      <c r="I50" s="2309"/>
      <c r="J50" s="3625" t="s">
        <v>1345</v>
      </c>
      <c r="K50" s="3625"/>
      <c r="L50" s="3625"/>
      <c r="M50" s="3625"/>
      <c r="N50" s="3625"/>
      <c r="O50" s="3625"/>
    </row>
    <row r="51" spans="1:35" ht="20.45" customHeight="1">
      <c r="A51" s="2551"/>
      <c r="B51" s="3542" t="s">
        <v>1346</v>
      </c>
      <c r="C51" s="3542"/>
      <c r="D51" s="1085"/>
      <c r="E51" s="327"/>
      <c r="F51" s="2422"/>
      <c r="G51" s="3614"/>
      <c r="H51" s="2310" t="s">
        <v>2135</v>
      </c>
      <c r="I51" s="2309"/>
      <c r="J51" s="2522" t="s">
        <v>1347</v>
      </c>
      <c r="K51" s="3606" t="s">
        <v>1348</v>
      </c>
      <c r="L51" s="3606"/>
      <c r="M51" s="2522" t="s">
        <v>1349</v>
      </c>
      <c r="N51" s="2522" t="s">
        <v>1350</v>
      </c>
      <c r="O51" s="2522" t="s">
        <v>1351</v>
      </c>
    </row>
    <row r="52" spans="1:35" ht="24" customHeight="1">
      <c r="A52" s="2333" t="s">
        <v>1352</v>
      </c>
      <c r="B52" s="3542" t="s">
        <v>1353</v>
      </c>
      <c r="C52" s="3542"/>
      <c r="D52" s="1085">
        <f ca="1">ROUND(D45*'数据-取费表'!B41/(1+'数据-取费表'!C42),0)</f>
        <v>2413</v>
      </c>
      <c r="E52" s="2332" t="s">
        <v>1354</v>
      </c>
      <c r="F52" s="2552">
        <f>'数据-取费表'!B41</f>
        <v>5.5000000000000007E-2</v>
      </c>
      <c r="G52" s="2553"/>
      <c r="H52" s="2542"/>
      <c r="I52" s="1805"/>
      <c r="J52" s="2521">
        <v>1</v>
      </c>
      <c r="K52" s="3607" t="s">
        <v>1355</v>
      </c>
      <c r="L52" s="3607"/>
      <c r="M52" s="2523">
        <f ca="1">D48</f>
        <v>2413</v>
      </c>
      <c r="N52" s="2521" t="str">
        <f>E48</f>
        <v>销售额×税（费）率</v>
      </c>
      <c r="O52" s="2524">
        <f>F48</f>
        <v>5.5000000000000007E-2</v>
      </c>
    </row>
    <row r="53" spans="1:35" ht="12" customHeight="1">
      <c r="A53" s="2333" t="s">
        <v>1356</v>
      </c>
      <c r="B53" s="3568" t="s">
        <v>2290</v>
      </c>
      <c r="C53" s="3569"/>
      <c r="D53" s="1085">
        <f ca="1">ROUND(D45*'数据-取费表'!B41/(1+'数据-取费表'!C42),0)</f>
        <v>2413</v>
      </c>
      <c r="E53" s="2332" t="s">
        <v>1354</v>
      </c>
      <c r="F53" s="2552">
        <f>'数据-取费表'!B41</f>
        <v>5.5000000000000007E-2</v>
      </c>
      <c r="G53" s="2553"/>
      <c r="H53" s="2542"/>
      <c r="I53" s="1805"/>
      <c r="J53" s="2521">
        <v>2</v>
      </c>
      <c r="K53" s="3607" t="s">
        <v>1357</v>
      </c>
      <c r="L53" s="3607"/>
      <c r="M53" s="2523">
        <f t="shared" ref="M53:O54" ca="1" si="0">D55</f>
        <v>23</v>
      </c>
      <c r="N53" s="2521" t="str">
        <f t="shared" si="0"/>
        <v>销售额×税（费）率</v>
      </c>
      <c r="O53" s="2524">
        <f t="shared" si="0"/>
        <v>5.0000000000000001E-4</v>
      </c>
    </row>
    <row r="54" spans="1:35" ht="12" customHeight="1">
      <c r="A54" s="2333" t="s">
        <v>1358</v>
      </c>
      <c r="B54" s="3568" t="s">
        <v>2291</v>
      </c>
      <c r="C54" s="3569"/>
      <c r="D54" s="1085">
        <f ca="1">C68</f>
        <v>2413</v>
      </c>
      <c r="E54" s="327" t="s">
        <v>1359</v>
      </c>
      <c r="F54" s="2552">
        <f>'数据-取费表'!B41</f>
        <v>5.5000000000000007E-2</v>
      </c>
      <c r="G54" s="2553"/>
      <c r="H54" s="2554"/>
      <c r="I54" s="1805"/>
      <c r="J54" s="2521">
        <v>3</v>
      </c>
      <c r="K54" s="3607" t="s">
        <v>1360</v>
      </c>
      <c r="L54" s="3607"/>
      <c r="M54" s="2523">
        <f t="shared" ca="1" si="0"/>
        <v>5184</v>
      </c>
      <c r="N54" s="2521" t="str">
        <f t="shared" si="0"/>
        <v>增值额×税（费）率</v>
      </c>
      <c r="O54" s="2525" t="str">
        <f t="shared" si="0"/>
        <v>——</v>
      </c>
    </row>
    <row r="55" spans="1:35" ht="24" customHeight="1">
      <c r="A55" s="3557" t="s">
        <v>1361</v>
      </c>
      <c r="B55" s="3558"/>
      <c r="C55" s="3558"/>
      <c r="D55" s="2322">
        <f ca="1">IF(H55="个人住宅",0,ROUND(D45*I55,0))</f>
        <v>23</v>
      </c>
      <c r="E55" s="2332" t="s">
        <v>1362</v>
      </c>
      <c r="F55" s="2552">
        <f>IF(H55="正常",I55,"免征")</f>
        <v>5.0000000000000001E-4</v>
      </c>
      <c r="G55" s="2553"/>
      <c r="H55" s="2548" t="s">
        <v>3428</v>
      </c>
      <c r="I55" s="165">
        <f>'数据-取费表'!B49</f>
        <v>5.0000000000000001E-4</v>
      </c>
      <c r="J55" s="2521" t="str">
        <f>IF(H59="非个人房产","",4)</f>
        <v/>
      </c>
      <c r="K55" s="3607" t="str">
        <f>IF(H59="非个人房产","——","个人所得税")</f>
        <v>——</v>
      </c>
      <c r="L55" s="3607"/>
      <c r="M55" s="2526" t="str">
        <f>D59</f>
        <v>——</v>
      </c>
      <c r="N55" s="2038" t="str">
        <f>E59</f>
        <v>——</v>
      </c>
      <c r="O55" s="2527" t="str">
        <f>F59</f>
        <v>——</v>
      </c>
    </row>
    <row r="56" spans="1:35" ht="24.75">
      <c r="A56" s="3557" t="s">
        <v>1363</v>
      </c>
      <c r="B56" s="3558"/>
      <c r="C56" s="3558"/>
      <c r="D56" s="2322">
        <f ca="1">IF(H56="个人住宅",D57,D58)</f>
        <v>5184</v>
      </c>
      <c r="E56" s="2332" t="s">
        <v>1364</v>
      </c>
      <c r="F56" s="2552" t="str">
        <f>IF(H56="正常",F58,"免征")</f>
        <v>——</v>
      </c>
      <c r="G56" s="2555" t="s">
        <v>1365</v>
      </c>
      <c r="H56" s="2556" t="s">
        <v>3428</v>
      </c>
      <c r="I56" s="1806"/>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3" t="s">
        <v>1341</v>
      </c>
      <c r="B57" s="3568" t="s">
        <v>1366</v>
      </c>
      <c r="C57" s="3569"/>
      <c r="D57" s="1588">
        <v>0</v>
      </c>
      <c r="E57" s="324" t="s">
        <v>1343</v>
      </c>
      <c r="F57" s="302"/>
      <c r="G57" s="2553"/>
      <c r="H57" s="2557"/>
      <c r="I57" s="1806"/>
      <c r="J57" s="3607">
        <f>IF(AND(J55="",J56=""),4,IF(项目基本情况!K6="上海银行",结果表!J56+1,结果表!J55+1))</f>
        <v>4</v>
      </c>
      <c r="K57" s="3607" t="s">
        <v>1367</v>
      </c>
      <c r="L57" s="2528" t="s">
        <v>1368</v>
      </c>
      <c r="M57" s="2529"/>
      <c r="N57" s="2530">
        <f ca="1">SUMIF(M52:M56,"&lt;9e307")</f>
        <v>7620</v>
      </c>
      <c r="O57" s="2531"/>
      <c r="P57" s="2688">
        <f ca="1">N57/M49</f>
        <v>0.16543638732088581</v>
      </c>
    </row>
    <row r="58" spans="1:35" ht="24.75">
      <c r="A58" s="2333" t="s">
        <v>1352</v>
      </c>
      <c r="B58" s="3568" t="s">
        <v>1369</v>
      </c>
      <c r="C58" s="3542"/>
      <c r="D58" s="2322">
        <f ca="1">IF(H58="转让取得",C81,C97)</f>
        <v>5184</v>
      </c>
      <c r="E58" s="2332" t="s">
        <v>1364</v>
      </c>
      <c r="F58" s="302" t="s">
        <v>28</v>
      </c>
      <c r="G58" s="2553"/>
      <c r="H58" s="2556" t="s">
        <v>3460</v>
      </c>
      <c r="I58" s="1806"/>
      <c r="J58" s="3607"/>
      <c r="K58" s="3607"/>
      <c r="L58" s="2528" t="s">
        <v>1370</v>
      </c>
      <c r="M58" s="2532"/>
      <c r="N58" s="2533" t="str">
        <f ca="1">NUMBERSTRING(INT(N57*10000),2)&amp;"元整"</f>
        <v>柒仟陆佰贰拾万元整</v>
      </c>
      <c r="O58" s="2534"/>
    </row>
    <row r="59" spans="1:35" ht="24.75" thickBot="1">
      <c r="A59" s="3610" t="s">
        <v>1371</v>
      </c>
      <c r="B59" s="3611"/>
      <c r="C59" s="361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3482</v>
      </c>
      <c r="I59" s="2311" t="s">
        <v>2136</v>
      </c>
      <c r="J59" s="3608">
        <f>J57+1</f>
        <v>5</v>
      </c>
      <c r="K59" s="3607" t="s">
        <v>1372</v>
      </c>
      <c r="L59" s="2521" t="s">
        <v>1368</v>
      </c>
      <c r="M59" s="2535"/>
      <c r="N59" s="2536">
        <f ca="1">M49-N57</f>
        <v>38440</v>
      </c>
      <c r="O59" s="2537"/>
    </row>
    <row r="60" spans="1:35" ht="12" customHeight="1">
      <c r="A60" s="1807"/>
      <c r="B60" s="1745"/>
      <c r="C60" s="1745"/>
      <c r="D60" s="1745"/>
      <c r="E60" s="1576"/>
      <c r="F60" s="1806"/>
      <c r="G60" s="1806"/>
      <c r="H60" s="1808"/>
      <c r="I60" s="129"/>
      <c r="J60" s="3609"/>
      <c r="K60" s="3607"/>
      <c r="L60" s="2528" t="s">
        <v>1370</v>
      </c>
      <c r="M60" s="2532"/>
      <c r="N60" s="2533" t="str">
        <f ca="1">NUMBERSTRING(INT(N59*10000),2)&amp;"元整"</f>
        <v>叁亿捌仟肆佰肆拾万元整</v>
      </c>
      <c r="O60" s="2534"/>
    </row>
    <row r="61" spans="1:35" ht="13.5" thickBot="1">
      <c r="A61" s="3555" t="s">
        <v>1373</v>
      </c>
      <c r="B61" s="3555"/>
      <c r="C61" s="3555"/>
      <c r="D61" s="3555"/>
      <c r="E61" s="3555"/>
      <c r="F61" s="1806"/>
      <c r="G61" s="1806"/>
      <c r="H61" s="1808"/>
      <c r="I61" s="129"/>
      <c r="J61" s="2521">
        <f>J59+1</f>
        <v>6</v>
      </c>
      <c r="K61" s="3607" t="s">
        <v>1374</v>
      </c>
      <c r="L61" s="3607"/>
      <c r="M61" s="2538"/>
      <c r="N61" s="2539">
        <f ca="1">ROUND(N59*10000/'数据-汇总表'!E3,0)</f>
        <v>10631</v>
      </c>
      <c r="O61" s="2540"/>
    </row>
    <row r="62" spans="1:35" ht="12.75">
      <c r="A62" s="3573" t="s">
        <v>1375</v>
      </c>
      <c r="B62" s="3574"/>
      <c r="C62" s="2019"/>
      <c r="D62" s="2019" t="s">
        <v>1376</v>
      </c>
      <c r="E62" s="166" t="s">
        <v>1377</v>
      </c>
      <c r="F62" s="1806"/>
      <c r="G62" s="1806"/>
      <c r="H62" s="1808"/>
      <c r="I62" s="129"/>
    </row>
    <row r="63" spans="1:35" ht="12.75">
      <c r="A63" s="173" t="s">
        <v>330</v>
      </c>
      <c r="B63" s="167" t="s">
        <v>1378</v>
      </c>
      <c r="C63" s="2562">
        <f ca="1">ROUND((C64+C65)/(1+'数据-取费表'!C42),0)</f>
        <v>43867</v>
      </c>
      <c r="D63" s="167"/>
      <c r="E63" s="168"/>
      <c r="F63" s="1806"/>
      <c r="G63" s="1806"/>
      <c r="H63" s="1808"/>
      <c r="I63" s="129"/>
      <c r="J63" s="3632" t="s">
        <v>1379</v>
      </c>
      <c r="K63" s="1330" t="s">
        <v>1380</v>
      </c>
      <c r="L63" s="1330">
        <f ca="1">IF(M49&gt;10000,M49*0.5%,IF(AND(M49&gt;1000,M49&lt;=10000),M49*1%,IF(AND(M49&gt;100,M49&lt;=1000),M49*3%,IF(AND(M49&gt;10,M49&lt;=100),M49*5%,M49*8%))))</f>
        <v>230.3</v>
      </c>
      <c r="M63" s="302">
        <f ca="1">ROUND(L63,1)</f>
        <v>230.3</v>
      </c>
      <c r="N63" s="2541"/>
      <c r="Z63" s="1750"/>
      <c r="AI63" s="1751"/>
    </row>
    <row r="64" spans="1:35" ht="14.25" customHeight="1">
      <c r="A64" s="169" t="s">
        <v>325</v>
      </c>
      <c r="B64" s="170" t="s">
        <v>1381</v>
      </c>
      <c r="C64" s="2563">
        <f ca="1">D45</f>
        <v>46060</v>
      </c>
      <c r="D64" s="170" t="s">
        <v>26</v>
      </c>
      <c r="E64" s="172"/>
      <c r="F64" s="1806"/>
      <c r="G64" s="1806"/>
      <c r="H64" s="1808"/>
      <c r="I64" s="129"/>
      <c r="J64" s="3632"/>
      <c r="K64" s="1330" t="s">
        <v>1382</v>
      </c>
      <c r="L64" s="1330">
        <f ca="1">IF(M49&gt;2000,M49*0.5%,IF(AND(M49&gt;1000,M49&lt;=2000),M49*0.6%,IF(AND(M49&gt;500,M49&lt;=1000),M49*0.7%,IF(AND(M49&gt;200,M49&lt;=500),M49*0.8%,IF(AND(M49&gt;100,M49&lt;=200),M49*0.9%,IF(AND(M49&gt;50,M49&lt;=100),M49*1%,IF(AND(M49&gt;20,M49&lt;=50),M49*1.5%,IF(AND(M49&gt;10,M49&lt;=20),M49*2%,IF(AND(M49&gt;1,M49&lt;=10),M49*2.5%)))))))))</f>
        <v>230.3</v>
      </c>
      <c r="M64" s="302">
        <f t="shared" ref="M64:M65" ca="1" si="1">ROUND(L64,1)</f>
        <v>230.3</v>
      </c>
      <c r="N64" s="2542" t="s">
        <v>1383</v>
      </c>
      <c r="Z64" s="1750"/>
      <c r="AI64" s="1751"/>
    </row>
    <row r="65" spans="1:35" ht="14.25" customHeight="1">
      <c r="A65" s="169" t="s">
        <v>326</v>
      </c>
      <c r="B65" s="170" t="s">
        <v>1384</v>
      </c>
      <c r="C65" s="2564"/>
      <c r="D65" s="170"/>
      <c r="E65" s="172"/>
      <c r="F65" s="1806"/>
      <c r="G65" s="1806"/>
      <c r="H65" s="1808"/>
      <c r="I65" s="129"/>
      <c r="J65" s="3632"/>
      <c r="K65" s="1330" t="s">
        <v>1385</v>
      </c>
      <c r="L65" s="1330">
        <f ca="1">IF(M49&gt;1000,M49*0.1%,IF(AND(M49&gt;500,M49&lt;=1000),M49*0.5%,IF(AND(M49&gt;50,M49&lt;=500),M49*1%,IF(AND(M49&gt;1,M49&lt;=50),M49*1.5%))))</f>
        <v>46.06</v>
      </c>
      <c r="M65" s="302">
        <f t="shared" ca="1" si="1"/>
        <v>46.1</v>
      </c>
      <c r="N65" s="2542" t="s">
        <v>1383</v>
      </c>
      <c r="Z65" s="1750"/>
      <c r="AI65" s="1751"/>
    </row>
    <row r="66" spans="1:35" ht="14.25" customHeight="1">
      <c r="A66" s="173" t="s">
        <v>327</v>
      </c>
      <c r="B66" s="174" t="s">
        <v>1386</v>
      </c>
      <c r="C66" s="2565"/>
      <c r="D66" s="174" t="s">
        <v>26</v>
      </c>
      <c r="E66" s="1336" t="s">
        <v>671</v>
      </c>
      <c r="F66" s="1806"/>
      <c r="G66" s="1806"/>
      <c r="H66" s="1808"/>
      <c r="I66" s="129"/>
      <c r="J66" s="3632"/>
      <c r="K66" s="1330" t="s">
        <v>1387</v>
      </c>
      <c r="L66" s="1330">
        <f ca="1">M49*0.5%</f>
        <v>230.3</v>
      </c>
      <c r="M66" s="302">
        <f ca="1">IF(L66&gt;0.5,0.5,ROUND(L66,0))</f>
        <v>0.5</v>
      </c>
      <c r="N66" s="2542" t="s">
        <v>1388</v>
      </c>
      <c r="Z66" s="1750"/>
      <c r="AI66" s="1751"/>
    </row>
    <row r="67" spans="1:35" ht="14.25" customHeight="1">
      <c r="A67" s="173" t="s">
        <v>328</v>
      </c>
      <c r="B67" s="174" t="s">
        <v>1389</v>
      </c>
      <c r="C67" s="2566">
        <f ca="1">C63-C66</f>
        <v>43867</v>
      </c>
      <c r="D67" s="170" t="s">
        <v>26</v>
      </c>
      <c r="E67" s="172"/>
      <c r="F67" s="1806"/>
      <c r="G67" s="1806"/>
      <c r="H67" s="1808"/>
      <c r="I67" s="129"/>
      <c r="J67" s="3632"/>
      <c r="K67" s="1330" t="s">
        <v>1390</v>
      </c>
      <c r="L67" s="1330">
        <f ca="1">IF(M49&gt;=10000,(8.25+(M49-10000)*0.01%),IF(AND(M49&gt;=8000,M49&lt;10000),(7.85+(M49-8000)*0.02%),IF(AND(M49&gt;=5000,M49&lt;8000),(6.65+(M49-5000)*0.04%),IF(AND(M49&gt;=2000,M49&lt;5000),(4.25+(PM49-2000)*0.08%),IF(AND(M49&gt;=1000,M49&lt;2000),(2.75+(M49-1000)*0.15%),IF(AND(M49&gt;=100,M49&lt;1000),(0.5+(M49-100)*0.25%),IF(AND(M49&gt;0,M49&lt;100),M49*0.5%)))))))</f>
        <v>11.856</v>
      </c>
      <c r="M67" s="302">
        <f ca="1">ROUND(L67*0.9,1)</f>
        <v>10.7</v>
      </c>
      <c r="N67" s="2541"/>
      <c r="Z67" s="1750"/>
      <c r="AI67" s="1751"/>
    </row>
    <row r="68" spans="1:35" ht="14.25" customHeight="1" thickBot="1">
      <c r="A68" s="176" t="s">
        <v>329</v>
      </c>
      <c r="B68" s="177" t="s">
        <v>1391</v>
      </c>
      <c r="C68" s="2567">
        <f ca="1">IF(C67&lt;=0,0,ROUND(C67*D68,0))</f>
        <v>2413</v>
      </c>
      <c r="D68" s="2568">
        <f>'数据-取费表'!B41</f>
        <v>5.5000000000000007E-2</v>
      </c>
      <c r="E68" s="178"/>
      <c r="F68" s="1806"/>
      <c r="G68" s="1806"/>
      <c r="H68" s="1808"/>
      <c r="I68" s="129"/>
      <c r="J68" s="3632"/>
      <c r="K68" s="1330" t="s">
        <v>1392</v>
      </c>
      <c r="L68" s="1330">
        <f ca="1">IF(M49&gt;10000,M49*0.5%,IF(AND(M49&gt;5000,M49&lt;=10000),M49*1%,IF(AND(M49&gt;1000,M49&lt;=5000),M49*2%,IF(AND(M49&gt;200,M49&lt;=1000),M49*3%,M49*5%))))</f>
        <v>230.3</v>
      </c>
      <c r="M68" s="302">
        <f ca="1">ROUND(L68,1)</f>
        <v>230.3</v>
      </c>
      <c r="N68" s="2541"/>
      <c r="Z68" s="1750"/>
      <c r="AI68" s="1751"/>
    </row>
    <row r="69" spans="1:35" s="1770" customFormat="1" ht="16.5" customHeight="1">
      <c r="A69" s="1809"/>
      <c r="B69" s="1810"/>
      <c r="C69" s="1811"/>
      <c r="D69" s="1812"/>
      <c r="E69" s="1813"/>
      <c r="F69" s="1576"/>
      <c r="G69" s="1576"/>
      <c r="H69" s="1575"/>
      <c r="I69" s="1745"/>
      <c r="J69" s="3632"/>
      <c r="K69" s="1330" t="s">
        <v>1393</v>
      </c>
      <c r="L69" s="1330"/>
      <c r="M69" s="302">
        <f ca="1">ROUND(SUM(M63:M68),0)</f>
        <v>748</v>
      </c>
      <c r="N69" s="2543">
        <f ca="1">M69/M49</f>
        <v>1.6239687364307424E-2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1375</v>
      </c>
      <c r="B71" s="357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43867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219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8" t="s">
        <v>1402</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219</v>
      </c>
      <c r="D78" s="2575">
        <f>'数据-取费表'!B43</f>
        <v>5.000000000000001E-3</v>
      </c>
      <c r="E78" s="3552" t="s">
        <v>1406</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43648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199.30593607305937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26112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1375</v>
      </c>
      <c r="B84" s="357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43867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27472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1527</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f>ROUND(14815350/10000,0)</f>
        <v>1482</v>
      </c>
      <c r="D88" s="2575"/>
      <c r="E88" s="193" t="s">
        <v>1413</v>
      </c>
      <c r="F88" s="2325"/>
      <c r="G88" s="194" t="s">
        <v>1414</v>
      </c>
      <c r="H88" s="1822" t="s">
        <v>3480</v>
      </c>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45</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4" t="s">
        <v>2128</v>
      </c>
      <c r="H90" s="363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19437</v>
      </c>
      <c r="D91" s="2575"/>
      <c r="E91" s="3552" t="s">
        <v>1419</v>
      </c>
      <c r="F91" s="3553"/>
      <c r="G91" s="3553"/>
      <c r="H91" s="1823" t="s">
        <v>3481</v>
      </c>
      <c r="I91" s="1824">
        <f>ROUND(194370018.89/10000,0)</f>
        <v>19437</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2096</v>
      </c>
      <c r="D92" s="2581">
        <v>0.1</v>
      </c>
      <c r="E92" s="3552" t="s">
        <v>1422</v>
      </c>
      <c r="F92" s="3553"/>
      <c r="G92" s="3553"/>
      <c r="H92" s="356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219</v>
      </c>
      <c r="D93" s="2575">
        <f>'数据-取费表'!B43</f>
        <v>5.000000000000001E-3</v>
      </c>
      <c r="E93" s="3552" t="s">
        <v>1406</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4193</v>
      </c>
      <c r="D94" s="2575">
        <v>0.2</v>
      </c>
      <c r="E94" s="3563" t="s">
        <v>1426</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16395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0.59678945835760044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5184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3" t="str">
        <f>C4</f>
        <v>成本法</v>
      </c>
      <c r="D101" s="2584" t="str">
        <f>D4</f>
        <v>收益法</v>
      </c>
      <c r="E101" s="3629" t="s">
        <v>1431</v>
      </c>
      <c r="F101" s="3586"/>
      <c r="G101" s="1825" t="s">
        <v>1432</v>
      </c>
      <c r="H101" s="2593">
        <f ca="1">H118</f>
        <v>46060</v>
      </c>
      <c r="I101" s="129"/>
    </row>
    <row r="102" spans="1:35" ht="18.75" customHeight="1">
      <c r="A102" s="3588" t="s">
        <v>1433</v>
      </c>
      <c r="B102" s="2582" t="s">
        <v>1432</v>
      </c>
      <c r="C102" s="2583">
        <f ca="1">IF(D32="楼面单价",ROUND(C19,0),C19)</f>
        <v>41235</v>
      </c>
      <c r="D102" s="2584">
        <f ca="1">IF(D32="楼面单价",ROUND(D19,0),D19)</f>
        <v>48128</v>
      </c>
      <c r="E102" s="3629"/>
      <c r="F102" s="3586"/>
      <c r="G102" s="1825" t="s">
        <v>1434</v>
      </c>
      <c r="H102" s="2553">
        <f ca="1">I118</f>
        <v>12739</v>
      </c>
      <c r="I102" s="129"/>
    </row>
    <row r="103" spans="1:35" ht="42.75" customHeight="1">
      <c r="A103" s="3588"/>
      <c r="B103" s="2582" t="s">
        <v>1434</v>
      </c>
      <c r="C103" s="2585">
        <f ca="1">C20</f>
        <v>11404</v>
      </c>
      <c r="D103" s="2586">
        <f ca="1">D20</f>
        <v>13311</v>
      </c>
      <c r="E103" s="3623" t="s">
        <v>1435</v>
      </c>
      <c r="F103" s="3624"/>
      <c r="G103" s="1826" t="s">
        <v>1436</v>
      </c>
      <c r="H103" s="2593">
        <f>IF(D36="正常操作",H104+H105+H106,H105+H106)</f>
        <v>0</v>
      </c>
      <c r="I103" s="129"/>
    </row>
    <row r="104" spans="1:35" ht="18.75" customHeight="1">
      <c r="A104" s="3588" t="s">
        <v>1437</v>
      </c>
      <c r="B104" s="2587" t="s">
        <v>1432</v>
      </c>
      <c r="C104" s="2588">
        <f ca="1">H118</f>
        <v>46060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f ca="1">I118</f>
        <v>12739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86"/>
      <c r="G107" s="1825" t="s">
        <v>1432</v>
      </c>
      <c r="H107" s="2593">
        <f ca="1">IF(E107="——","——",H101-H103)</f>
        <v>46060</v>
      </c>
      <c r="I107" s="129"/>
    </row>
    <row r="108" spans="1:35" ht="18.75" customHeight="1">
      <c r="A108" s="129"/>
      <c r="B108" s="129"/>
      <c r="C108" s="129"/>
      <c r="D108" s="129"/>
      <c r="E108" s="3585"/>
      <c r="F108" s="3586"/>
      <c r="G108" s="1825" t="s">
        <v>1434</v>
      </c>
      <c r="H108" s="2553">
        <f ca="1">IF(H107=H101,H102,ROUND(H107*10000/'数据-汇总表'!E3,0))</f>
        <v>12739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1432</v>
      </c>
      <c r="H109" s="2596" t="str">
        <f>IF(E109="——","——",H101-H105-H106)</f>
        <v>——</v>
      </c>
      <c r="I109" s="129"/>
    </row>
    <row r="110" spans="1:35" ht="18.75" customHeight="1">
      <c r="A110" s="129"/>
      <c r="B110" s="129"/>
      <c r="C110" s="129"/>
      <c r="D110" s="129"/>
      <c r="E110" s="3585"/>
      <c r="F110" s="3586"/>
      <c r="G110" s="1825"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87"/>
      <c r="G111" s="1825" t="s">
        <v>1432</v>
      </c>
      <c r="H111" s="2593">
        <f ca="1">IF(E111="——","——",N59)</f>
        <v>38440</v>
      </c>
      <c r="I111" s="129"/>
    </row>
    <row r="112" spans="1:35" ht="18.75" customHeight="1" thickBot="1">
      <c r="A112" s="129"/>
      <c r="B112" s="129"/>
      <c r="C112" s="129"/>
      <c r="D112" s="129"/>
      <c r="E112" s="3618"/>
      <c r="F112" s="3619"/>
      <c r="G112" s="1828" t="s">
        <v>1434</v>
      </c>
      <c r="H112" s="2597">
        <f ca="1">IF(E111="——","——",N61)</f>
        <v>10631</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36157.11</v>
      </c>
      <c r="C118" s="2327">
        <f>M19</f>
        <v>25572.42</v>
      </c>
      <c r="D118" s="2327">
        <f ca="1">ROUND(IF(D32="总价",C34,E118*B118/10000),0)</f>
        <v>24320</v>
      </c>
      <c r="E118" s="2327">
        <f ca="1">ROUND(IF(C33="自定义",IF(D32="楼面单价",C34,D118*10000/B118),I118-G118),0)</f>
        <v>6726</v>
      </c>
      <c r="F118" s="2327">
        <f ca="1">ROUND(IF(D32="总价",C35,G118*B118/10000),0)</f>
        <v>21740</v>
      </c>
      <c r="G118" s="2327">
        <f ca="1">ROUND(IF(D32="楼面单价",C35,F118*10000/B118),0)</f>
        <v>6013</v>
      </c>
      <c r="H118" s="2327">
        <f ca="1">ROUND(IF(D32="总价",C32,I118*B118/10000),0)</f>
        <v>46060</v>
      </c>
      <c r="I118" s="2327">
        <f ca="1">ROUND(IF(D32="楼面单价",C32,H118*10000/B118),0)</f>
        <v>12739</v>
      </c>
    </row>
    <row r="119" spans="1:27" ht="18.75" customHeight="1">
      <c r="A119" s="3556" t="s">
        <v>1452</v>
      </c>
      <c r="B119" s="3556"/>
      <c r="C119" s="3556"/>
      <c r="D119" s="3596" t="str">
        <f ca="1">NUMBERSTRING(INT(D118*10000),2)&amp;"元整"</f>
        <v>贰亿肆仟叁佰贰拾万元整</v>
      </c>
      <c r="E119" s="3598"/>
      <c r="F119" s="3596" t="str">
        <f ca="1">NUMBERSTRING(INT(F118*10000),2)&amp;"元整"</f>
        <v>贰亿壹仟柒佰肆拾万元整</v>
      </c>
      <c r="G119" s="3598"/>
      <c r="H119" s="3596" t="str">
        <f ca="1">NUMBERSTRING(INT(H118*10000),2)&amp;"元整"</f>
        <v>肆亿陆仟零陆拾万元整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房地产抵押价值</v>
      </c>
      <c r="B122" s="3587"/>
      <c r="C122" s="3587"/>
      <c r="D122" s="3620">
        <f ca="1">H107</f>
        <v>46060</v>
      </c>
      <c r="E122" s="3621"/>
      <c r="F122" s="3621"/>
      <c r="G122" s="3621"/>
      <c r="H122" s="3621"/>
      <c r="I122" s="3622"/>
      <c r="AA122" s="723"/>
    </row>
    <row r="123" spans="1:27" ht="18.75" customHeight="1">
      <c r="A123" s="3556" t="s">
        <v>1452</v>
      </c>
      <c r="B123" s="3556"/>
      <c r="C123" s="3556"/>
      <c r="D123" s="3596" t="str">
        <f ca="1">NUMBERSTRING(INT(D122*10000),2)&amp;"元整"</f>
        <v>肆亿陆仟零陆拾万元整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抵押净值</v>
      </c>
      <c r="B126" s="3587"/>
      <c r="C126" s="3587"/>
      <c r="D126" s="3620">
        <f ca="1">H111</f>
        <v>38440</v>
      </c>
      <c r="E126" s="3621"/>
      <c r="F126" s="3621"/>
      <c r="G126" s="3621"/>
      <c r="H126" s="3621"/>
      <c r="I126" s="3622"/>
      <c r="AA126" s="723"/>
    </row>
    <row r="127" spans="1:27" ht="18.75" customHeight="1">
      <c r="A127" s="3556" t="s">
        <v>1452</v>
      </c>
      <c r="B127" s="3556"/>
      <c r="C127" s="3556"/>
      <c r="D127" s="3596" t="str">
        <f ca="1">NUMBERSTRING(INT(D126*10000),2)&amp;"元整"</f>
        <v>叁亿捌仟肆佰肆拾万元整</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v>
      </c>
      <c r="C1" s="198"/>
      <c r="D1" s="198"/>
      <c r="E1" s="198"/>
      <c r="F1" s="198"/>
      <c r="G1" s="1124">
        <f>MATCH(B1,'数据-取费表'!A6:A16,0)+5</f>
        <v>6</v>
      </c>
    </row>
    <row r="2" spans="1:9" s="200" customFormat="1" ht="18" customHeight="1">
      <c r="A2" s="201" t="s">
        <v>1462</v>
      </c>
      <c r="B2" s="202">
        <f ca="1">IF(D2="——",C52,C52-E2)</f>
        <v>41235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11404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16165</v>
      </c>
      <c r="D5" s="211" t="s">
        <v>1469</v>
      </c>
      <c r="E5" s="212" t="s">
        <v>1470</v>
      </c>
      <c r="F5" s="212" t="s">
        <v>1471</v>
      </c>
      <c r="G5" s="213"/>
    </row>
    <row r="6" spans="1:9" s="214" customFormat="1" ht="13.5" customHeight="1">
      <c r="A6" s="776" t="s">
        <v>1472</v>
      </c>
      <c r="B6" s="215" t="s">
        <v>1473</v>
      </c>
      <c r="C6" s="216">
        <f>基准地价修正!B2</f>
        <v>14985</v>
      </c>
      <c r="D6" s="217"/>
      <c r="E6" s="218"/>
      <c r="F6" s="218"/>
      <c r="G6" s="219"/>
    </row>
    <row r="7" spans="1:9" s="214" customFormat="1" ht="13.5" customHeight="1">
      <c r="A7" s="776" t="s">
        <v>1474</v>
      </c>
      <c r="B7" s="215" t="s">
        <v>1475</v>
      </c>
      <c r="C7" s="220">
        <f>ROUND(C6*F7,0)</f>
        <v>457</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723</v>
      </c>
      <c r="D8" s="222"/>
      <c r="E8" s="220"/>
      <c r="F8" s="221"/>
      <c r="G8" s="1854" t="s">
        <v>3464</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t="s">
        <v>3473</v>
      </c>
      <c r="H9" s="1135"/>
      <c r="I9" s="1856" t="s">
        <v>1479</v>
      </c>
    </row>
    <row r="10" spans="1:9" s="214" customFormat="1" ht="13.5" customHeight="1">
      <c r="A10" s="777" t="s">
        <v>356</v>
      </c>
      <c r="B10" s="224" t="s">
        <v>1480</v>
      </c>
      <c r="C10" s="225">
        <f ca="1">ROUND(D10*E10/10000,0)</f>
        <v>723</v>
      </c>
      <c r="D10" s="843">
        <f ca="1">IF(B1="",'数据-汇总表'!E6,IF(INDIRECT("'数据-取费表'!c"&amp;$G$1)="住宅",INDIRECT("'数据-取费表'!s"&amp;$G$1),INDIRECT("'数据-取费表'!k"&amp;$G$1)+INDIRECT("'数据-取费表'!s"&amp;$G$1)))</f>
        <v>36157.11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36157.11</v>
      </c>
      <c r="E19" s="211">
        <f>'数据-取费表'!B31</f>
        <v>200</v>
      </c>
      <c r="F19" s="231"/>
      <c r="G19" s="1854" t="s">
        <v>3465</v>
      </c>
    </row>
    <row r="20" spans="1:7" s="214" customFormat="1" ht="13.5" customHeight="1">
      <c r="A20" s="255" t="s">
        <v>1493</v>
      </c>
      <c r="B20" s="210" t="s">
        <v>1494</v>
      </c>
      <c r="C20" s="232">
        <f ca="1">ROUND((C5+C19)*F20,0)</f>
        <v>323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1146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1135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11</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2473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2473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17726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16271</v>
      </c>
      <c r="D34" s="217"/>
      <c r="E34" s="220"/>
      <c r="F34" s="257">
        <f ca="1">IF('数据-取费表'!B24=0,1,IF(B1="",'数据-取费表'!N16,INDIRECT("'数据-取费表'!n"&amp;$G$1)))</f>
        <v>1</v>
      </c>
      <c r="G34" s="219" t="s">
        <v>1526</v>
      </c>
    </row>
    <row r="35" spans="1:7" ht="13.5" customHeight="1">
      <c r="A35" s="778" t="s">
        <v>351</v>
      </c>
      <c r="B35" s="215" t="s">
        <v>1527</v>
      </c>
      <c r="C35" s="220">
        <f ca="1">ROUND(C34*F35,0)</f>
        <v>488</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723</v>
      </c>
      <c r="D37" s="217">
        <f ca="1">D19</f>
        <v>36157.11</v>
      </c>
      <c r="E37" s="249">
        <f>'数据-取费表'!B35</f>
        <v>200</v>
      </c>
      <c r="F37" s="259"/>
      <c r="G37" s="261" t="s">
        <v>1532</v>
      </c>
    </row>
    <row r="38" spans="1:7" ht="13.5" customHeight="1">
      <c r="A38" s="778" t="s">
        <v>354</v>
      </c>
      <c r="B38" s="215" t="s">
        <v>1533</v>
      </c>
      <c r="C38" s="220">
        <f ca="1">ROUND(C34*F38,0)</f>
        <v>244</v>
      </c>
      <c r="D38" s="220"/>
      <c r="E38" s="220"/>
      <c r="F38" s="259">
        <f>'数据-取费表'!B36</f>
        <v>1.4999999999999999E-2</v>
      </c>
      <c r="G38" s="219" t="s">
        <v>1528</v>
      </c>
    </row>
    <row r="39" spans="1:7" s="214" customFormat="1" ht="13.5" customHeight="1">
      <c r="A39" s="255" t="s">
        <v>1534</v>
      </c>
      <c r="B39" s="210" t="s">
        <v>1535</v>
      </c>
      <c r="C39" s="232">
        <f ca="1">ROUND(C33*F20,0)</f>
        <v>355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624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612</v>
      </c>
      <c r="D42" s="238"/>
      <c r="E42" s="238"/>
      <c r="F42" s="239"/>
      <c r="G42" s="3636" t="s">
        <v>1544</v>
      </c>
    </row>
    <row r="43" spans="1:7" ht="13.5" customHeight="1">
      <c r="A43" s="778" t="s">
        <v>347</v>
      </c>
      <c r="B43" s="215" t="s">
        <v>1545</v>
      </c>
      <c r="C43" s="238">
        <f ca="1">ROUND(IF('数据-取费表'!B22&lt;=1,C39*F22*'数据-取费表'!B21/2,C39*(POWER((1+F22),'数据-取费表'!B21/2)-1)),0)</f>
        <v>12</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2712</v>
      </c>
      <c r="D45" s="235">
        <f ca="1">C47</f>
        <v>3.0000000000000001E-3</v>
      </c>
      <c r="E45" s="236" t="s">
        <v>1539</v>
      </c>
      <c r="F45" s="246">
        <f ca="1">F27</f>
        <v>0.15</v>
      </c>
      <c r="G45" s="247" t="s">
        <v>1548</v>
      </c>
    </row>
    <row r="46" spans="1:7" s="214" customFormat="1" ht="13.5" customHeight="1">
      <c r="A46" s="778" t="s">
        <v>346</v>
      </c>
      <c r="B46" s="248" t="s">
        <v>1549</v>
      </c>
      <c r="C46" s="249">
        <f ca="1">ROUND((C33+C39)*F27,0)</f>
        <v>2712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23181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19472</v>
      </c>
      <c r="D51" s="232"/>
      <c r="E51" s="232"/>
      <c r="F51" s="264"/>
      <c r="G51" s="234" t="s">
        <v>1560</v>
      </c>
    </row>
    <row r="52" spans="1:7" s="208" customFormat="1" ht="16.5" thickBot="1">
      <c r="A52" s="265" t="s">
        <v>1561</v>
      </c>
      <c r="B52" s="266"/>
      <c r="C52" s="267">
        <f ca="1">C31+C51</f>
        <v>41235</v>
      </c>
      <c r="D52" s="266"/>
      <c r="E52" s="266"/>
      <c r="F52" s="266"/>
      <c r="G52" s="268"/>
    </row>
    <row r="55" spans="1:7" ht="15">
      <c r="B55" s="270" t="s">
        <v>1562</v>
      </c>
      <c r="C55" s="271"/>
    </row>
    <row r="56" spans="1:7">
      <c r="B56" s="273" t="s">
        <v>802</v>
      </c>
      <c r="C56" s="275">
        <f ca="1">1-C57</f>
        <v>0.52800000000000002</v>
      </c>
    </row>
    <row r="57" spans="1:7">
      <c r="B57" s="273" t="s">
        <v>803</v>
      </c>
      <c r="C57" s="274">
        <f ca="1">ROUND(C51/C52,3)</f>
        <v>0.47199999999999998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40848.569100000001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11298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158779058</v>
      </c>
      <c r="D5" s="211" t="s">
        <v>1469</v>
      </c>
      <c r="E5" s="212" t="s">
        <v>1470</v>
      </c>
      <c r="F5" s="212" t="s">
        <v>1471</v>
      </c>
      <c r="G5" s="213"/>
    </row>
    <row r="6" spans="1:8" s="214" customFormat="1" ht="13.5" customHeight="1">
      <c r="A6" s="776" t="s">
        <v>1472</v>
      </c>
      <c r="B6" s="215" t="s">
        <v>1473</v>
      </c>
      <c r="C6" s="216">
        <f>ROUND(基准地价修正!C33*基准地价修正!D33,0)</f>
        <v>147062238</v>
      </c>
      <c r="D6" s="217"/>
      <c r="E6" s="218"/>
      <c r="F6" s="218"/>
      <c r="G6" s="219"/>
    </row>
    <row r="7" spans="1:8" s="214" customFormat="1" ht="13.5" customHeight="1">
      <c r="A7" s="776" t="s">
        <v>1474</v>
      </c>
      <c r="B7" s="215" t="s">
        <v>1475</v>
      </c>
      <c r="C7" s="220">
        <f>ROUND(C6*F7,0)</f>
        <v>4485398</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7231422</v>
      </c>
      <c r="D8" s="222"/>
      <c r="E8" s="220"/>
      <c r="F8" s="221"/>
      <c r="G8" s="1854" t="s">
        <v>3464</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7231422</v>
      </c>
      <c r="D10" s="843">
        <f ca="1">IF(B1="",'数据-汇总表'!E6,IF(INDIRECT("'数据-取费表'!c"&amp;$G$1)="住宅",INDIRECT("'数据-取费表'!s"&amp;$G$1),INDIRECT("'数据-取费表'!k"&amp;$G$1)+INDIRECT("'数据-取费表'!s"&amp;$G$1)))</f>
        <v>36157.11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36157.11</v>
      </c>
      <c r="E19" s="211">
        <f>'数据-取费表'!B31</f>
        <v>200</v>
      </c>
      <c r="F19" s="231"/>
      <c r="G19" s="1854" t="s">
        <v>3465</v>
      </c>
    </row>
    <row r="20" spans="1:7" s="214" customFormat="1" ht="13.5" customHeight="1">
      <c r="A20" s="255" t="s">
        <v>1574</v>
      </c>
      <c r="B20" s="210" t="s">
        <v>1575</v>
      </c>
      <c r="C20" s="232">
        <f ca="1">ROUND((C5+C19)*F20,0)</f>
        <v>3175581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11254300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11144742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109558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24293196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24293196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213770035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177260232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162706995</v>
      </c>
      <c r="D34" s="217"/>
      <c r="E34" s="220"/>
      <c r="F34" s="257"/>
      <c r="G34" s="219"/>
    </row>
    <row r="35" spans="1:7" ht="13.5" customHeight="1">
      <c r="A35" s="778" t="s">
        <v>351</v>
      </c>
      <c r="B35" s="215" t="s">
        <v>1527</v>
      </c>
      <c r="C35" s="220">
        <f ca="1">ROUND(C34*F35,0)</f>
        <v>4881210</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7231422</v>
      </c>
      <c r="D37" s="217">
        <f ca="1">D19</f>
        <v>36157.11</v>
      </c>
      <c r="E37" s="249">
        <f>'数据-取费表'!B35</f>
        <v>200</v>
      </c>
      <c r="F37" s="259"/>
      <c r="G37" s="261"/>
    </row>
    <row r="38" spans="1:7" ht="13.5" customHeight="1">
      <c r="A38" s="778" t="s">
        <v>354</v>
      </c>
      <c r="B38" s="215" t="s">
        <v>1533</v>
      </c>
      <c r="C38" s="220">
        <f ca="1">ROUND(C34*F38,0)</f>
        <v>2440605</v>
      </c>
      <c r="D38" s="220"/>
      <c r="E38" s="220"/>
      <c r="F38" s="259">
        <f>'数据-取费表'!B36</f>
        <v>1.4999999999999999E-2</v>
      </c>
      <c r="G38" s="219" t="s">
        <v>1528</v>
      </c>
    </row>
    <row r="39" spans="1:7" s="214" customFormat="1" ht="13.5" customHeight="1">
      <c r="A39" s="255" t="s">
        <v>1534</v>
      </c>
      <c r="B39" s="210" t="s">
        <v>1535</v>
      </c>
      <c r="C39" s="232">
        <f ca="1">ROUND(C33*F20,0)</f>
        <v>3545205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6237788</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6115478</v>
      </c>
      <c r="D42" s="238"/>
      <c r="E42" s="238"/>
      <c r="F42" s="239"/>
      <c r="G42" s="3636" t="s">
        <v>1591</v>
      </c>
    </row>
    <row r="43" spans="1:7" ht="13.5" customHeight="1">
      <c r="A43" s="778" t="s">
        <v>347</v>
      </c>
      <c r="B43" s="215" t="s">
        <v>1545</v>
      </c>
      <c r="C43" s="238">
        <f ca="1">ROUND(IF('数据-取费表'!B22&lt;=1,C39*F22*'数据-取费表'!B20/2,C39*(POWER((1+F22),'数据-取费表'!B20/2)-1)),0)</f>
        <v>122310</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27120816</v>
      </c>
      <c r="D45" s="235">
        <f ca="1">C47</f>
        <v>3.0000000000000001E-3</v>
      </c>
      <c r="E45" s="236" t="s">
        <v>1539</v>
      </c>
      <c r="F45" s="246">
        <f ca="1">F27</f>
        <v>0.15</v>
      </c>
      <c r="G45" s="247" t="s">
        <v>1548</v>
      </c>
    </row>
    <row r="46" spans="1:7" s="214" customFormat="1" ht="13.5" customHeight="1">
      <c r="A46" s="778" t="s">
        <v>346</v>
      </c>
      <c r="B46" s="248" t="s">
        <v>1549</v>
      </c>
      <c r="C46" s="249">
        <f ca="1">ROUND((C33+C39)*F27,0)</f>
        <v>27120816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231804352</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194715656</v>
      </c>
      <c r="D51" s="232"/>
      <c r="E51" s="232"/>
      <c r="F51" s="264"/>
      <c r="G51" s="234" t="s">
        <v>1560</v>
      </c>
    </row>
    <row r="52" spans="1:7" s="208" customFormat="1" ht="16.5" thickBot="1">
      <c r="A52" s="265" t="s">
        <v>1561</v>
      </c>
      <c r="B52" s="266"/>
      <c r="C52" s="267">
        <f ca="1">C31+C51</f>
        <v>408485691</v>
      </c>
      <c r="D52" s="266"/>
      <c r="E52" s="266"/>
      <c r="F52" s="266"/>
      <c r="G52" s="268"/>
    </row>
    <row r="55" spans="1:7" ht="15">
      <c r="B55" s="270" t="s">
        <v>1562</v>
      </c>
      <c r="C55" s="271"/>
    </row>
    <row r="56" spans="1:7">
      <c r="B56" s="273" t="s">
        <v>802</v>
      </c>
      <c r="C56" s="275">
        <f ca="1">1-C57</f>
        <v>0.52300000000000002</v>
      </c>
    </row>
    <row r="57" spans="1:7">
      <c r="B57" s="273" t="s">
        <v>803</v>
      </c>
      <c r="C57" s="274">
        <f ca="1">ROUND(C51/C52,3)</f>
        <v>0.47699999999999998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36157.11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36157.11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723</v>
      </c>
      <c r="D20" s="844">
        <f ca="1">IF(C1="",'数据-汇总表'!E6,IF(INDIRECT("'数据-取费表'!c"&amp;$K$1)="住宅",INDIRECT("'数据-取费表'!s"&amp;$K$1),INDIRECT("'数据-取费表'!k"&amp;$K$1)+INDIRECT("'数据-取费表'!s"&amp;$K$1)))</f>
        <v>36157.11</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29.55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48128</v>
      </c>
      <c r="C2" s="1385" t="s">
        <v>805</v>
      </c>
      <c r="D2" s="1385"/>
      <c r="E2" s="1386"/>
      <c r="F2" s="1387"/>
      <c r="G2" s="2704"/>
      <c r="H2" s="2693"/>
      <c r="I2" s="2693"/>
      <c r="J2" s="2693"/>
      <c r="K2" s="2694"/>
      <c r="L2" s="2693"/>
      <c r="M2" s="2693"/>
    </row>
    <row r="3" spans="1:37" ht="18" customHeight="1" thickBot="1">
      <c r="A3" s="1388" t="s">
        <v>806</v>
      </c>
      <c r="B3" s="1389">
        <f ca="1">IF(ISERROR(B2*10000/F43),0,ROUND(B2*10000/F43,0))</f>
        <v>13311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3207</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3207</v>
      </c>
      <c r="D6" s="155" t="s">
        <v>2108</v>
      </c>
      <c r="E6" s="302" t="s">
        <v>696</v>
      </c>
      <c r="F6" s="303">
        <f ca="1">INDIRECT("'数据-取费表'!u"&amp;$G$1)</f>
        <v>2.7</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36157.11</v>
      </c>
      <c r="G7" s="1382"/>
      <c r="H7" s="304"/>
      <c r="I7" s="3642"/>
      <c r="J7" s="306"/>
      <c r="K7" s="307"/>
      <c r="L7" s="302" t="s">
        <v>697</v>
      </c>
      <c r="M7" s="303">
        <f ca="1">F7</f>
        <v>36157.11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19472</v>
      </c>
      <c r="D13" s="1079" t="s">
        <v>705</v>
      </c>
      <c r="E13" s="1079" t="s">
        <v>706</v>
      </c>
      <c r="F13" s="1080">
        <f ca="1">INDIRECT("'数据-取费表'!y"&amp;$G$1)</f>
        <v>0.84</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16271</v>
      </c>
      <c r="D14" s="1343" t="s">
        <v>708</v>
      </c>
      <c r="E14" s="1340"/>
      <c r="F14" s="319"/>
      <c r="G14" s="1382"/>
      <c r="H14" s="980" t="s">
        <v>398</v>
      </c>
      <c r="I14" s="302" t="s">
        <v>709</v>
      </c>
      <c r="J14" s="21">
        <f ca="1">C29</f>
        <v>23181</v>
      </c>
      <c r="K14" s="12"/>
      <c r="L14" s="805"/>
      <c r="M14" s="806"/>
    </row>
    <row r="15" spans="1:37" s="1395" customFormat="1" ht="18" customHeight="1" thickBot="1">
      <c r="A15" s="980" t="s">
        <v>399</v>
      </c>
      <c r="B15" s="302" t="s">
        <v>710</v>
      </c>
      <c r="C15" s="21">
        <f ca="1">ROUND(C14*F15,0)</f>
        <v>488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120</v>
      </c>
      <c r="K16" s="1085" t="s">
        <v>715</v>
      </c>
      <c r="L16" s="1086"/>
      <c r="M16" s="1070"/>
    </row>
    <row r="17" spans="1:37" s="1395" customFormat="1" ht="18" customHeight="1">
      <c r="A17" s="980" t="s">
        <v>681</v>
      </c>
      <c r="B17" s="302" t="s">
        <v>716</v>
      </c>
      <c r="C17" s="21">
        <f ca="1">ROUND(F17*(F43+INDIRECT("'数据-取费表'!S"&amp;$G$1))/10000,0)</f>
        <v>723</v>
      </c>
      <c r="D17" s="302" t="s">
        <v>717</v>
      </c>
      <c r="E17" s="302" t="s">
        <v>718</v>
      </c>
      <c r="F17" s="23">
        <f>'数据-取费表'!B35</f>
        <v>200</v>
      </c>
      <c r="G17" s="1394"/>
      <c r="H17" s="980" t="s">
        <v>398</v>
      </c>
      <c r="I17" s="302" t="s">
        <v>719</v>
      </c>
      <c r="J17" s="2314">
        <f ca="1">ROUND(IF(AND(项目基本情况!B11="自然人",项目基本情况!B10="北京市"),J6*M17/(1+'数据-取费表'!C42),J18+J19+J20),2)</f>
        <v>3.84</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244</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17726</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355</v>
      </c>
      <c r="D20" s="323" t="s">
        <v>729</v>
      </c>
      <c r="E20" s="302" t="s">
        <v>712</v>
      </c>
      <c r="F20" s="322">
        <f>'数据-取费表'!B37</f>
        <v>0.02</v>
      </c>
      <c r="G20" s="1394"/>
      <c r="H20" s="980" t="s">
        <v>680</v>
      </c>
      <c r="I20" s="155" t="s">
        <v>730</v>
      </c>
      <c r="J20" s="22">
        <f ca="1">ROUND(M20*M21/10000,2)</f>
        <v>3.84</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25572.42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115.91</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624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-120</v>
      </c>
      <c r="K25" s="1093" t="s">
        <v>753</v>
      </c>
      <c r="L25" s="1094"/>
      <c r="M25" s="1095"/>
    </row>
    <row r="26" spans="1:37">
      <c r="A26" s="980" t="s">
        <v>397</v>
      </c>
      <c r="B26" s="302" t="s">
        <v>754</v>
      </c>
      <c r="C26" s="21">
        <f ca="1">ROUND((C19+C20)*F26,0)</f>
        <v>2712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23181</v>
      </c>
      <c r="D29" s="1090"/>
      <c r="E29" s="1088"/>
      <c r="F29" s="1091"/>
      <c r="G29" s="1394"/>
      <c r="H29" s="334" t="s">
        <v>396</v>
      </c>
      <c r="I29" s="335" t="s">
        <v>768</v>
      </c>
      <c r="J29" s="336">
        <f ca="1">ROUND(J26/(1+F40)^F41,0)</f>
        <v>0</v>
      </c>
      <c r="K29" s="337" t="s">
        <v>769</v>
      </c>
      <c r="L29" s="338"/>
      <c r="M29" s="339">
        <f ca="1">INDIRECT("'数据-取费表'!k"&amp;$G$1)</f>
        <v>36157.11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690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538.34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167.99</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366.51</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3.84</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25572.42</v>
      </c>
      <c r="G35" s="1382"/>
      <c r="H35" s="2695"/>
      <c r="I35" s="1396"/>
      <c r="J35" s="1397"/>
      <c r="K35" s="2699"/>
      <c r="L35" s="2698"/>
      <c r="M35" s="2698"/>
    </row>
    <row r="36" spans="1:18" ht="18" customHeight="1">
      <c r="A36" s="1100" t="s">
        <v>402</v>
      </c>
      <c r="B36" s="302" t="s">
        <v>738</v>
      </c>
      <c r="C36" s="21">
        <f ca="1">ROUND(C29*F36,2)</f>
        <v>115.91</v>
      </c>
      <c r="D36" s="1342" t="s">
        <v>771</v>
      </c>
      <c r="E36" s="302" t="s">
        <v>712</v>
      </c>
      <c r="F36" s="328">
        <f ca="1">INDIRECT("'数据-取费表'!Ak"&amp;$G$1)</f>
        <v>5.0000000000000001E-3</v>
      </c>
      <c r="G36" s="1382"/>
      <c r="H36" s="2698">
        <f ca="1">C39/C5</f>
        <v>0.78484565014031804</v>
      </c>
      <c r="I36" s="1396"/>
      <c r="J36" s="1397"/>
      <c r="K36" s="2542"/>
      <c r="L36" s="2698"/>
      <c r="M36" s="2698"/>
    </row>
    <row r="37" spans="1:18" ht="18" customHeight="1">
      <c r="A37" s="980" t="s">
        <v>437</v>
      </c>
      <c r="B37" s="302" t="s">
        <v>742</v>
      </c>
      <c r="C37" s="21">
        <f ca="1">ROUND(C13*F37,2)</f>
        <v>19.47</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16.04</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2517</v>
      </c>
      <c r="D39" s="1093" t="s">
        <v>773</v>
      </c>
      <c r="E39" s="1094"/>
      <c r="F39" s="1095"/>
      <c r="G39" s="1382"/>
      <c r="H39" s="2698"/>
      <c r="I39" s="1396"/>
      <c r="J39" s="1397"/>
      <c r="K39" s="2702"/>
      <c r="L39" s="2698"/>
      <c r="M39" s="2698"/>
    </row>
    <row r="40" spans="1:18" ht="18" customHeight="1">
      <c r="A40" s="299" t="s">
        <v>395</v>
      </c>
      <c r="B40" s="300" t="s">
        <v>774</v>
      </c>
      <c r="C40" s="301">
        <f ca="1">ROUND(C39*(1-((1+F42)/(1+F40))^F41)/(F40-F42),0)</f>
        <v>48128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29.55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13311</v>
      </c>
      <c r="D43" s="337" t="s">
        <v>777</v>
      </c>
      <c r="E43" s="338" t="s">
        <v>778</v>
      </c>
      <c r="F43" s="339">
        <f ca="1">INDIRECT("'数据-取费表'!k"&amp;$G$1)</f>
        <v>36157.11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-50136</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48128</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29.55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2012</v>
      </c>
      <c r="K49" s="1421" t="s">
        <v>824</v>
      </c>
      <c r="L49" s="1425"/>
      <c r="O49" s="1426" t="s">
        <v>405</v>
      </c>
      <c r="P49" s="1417" t="s">
        <v>825</v>
      </c>
      <c r="Q49" s="1418">
        <f ca="1">C29</f>
        <v>23181</v>
      </c>
      <c r="R49" s="1418" t="s">
        <v>818</v>
      </c>
    </row>
    <row r="50" spans="1:18" s="1382" customFormat="1" ht="13.5" thickBot="1">
      <c r="A50" s="974"/>
      <c r="B50" s="977"/>
      <c r="C50" s="1116"/>
      <c r="D50" s="951"/>
      <c r="E50" s="1054" t="s">
        <v>697</v>
      </c>
      <c r="F50" s="1055">
        <f ca="1">F7</f>
        <v>36157.11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20966</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29.55</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29.55</v>
      </c>
      <c r="K53" s="3639" t="s">
        <v>837</v>
      </c>
      <c r="L53" s="3640"/>
      <c r="O53" s="1416" t="s">
        <v>409</v>
      </c>
      <c r="P53" s="1417" t="s">
        <v>838</v>
      </c>
      <c r="Q53" s="1418">
        <f ca="1">Q47+Q48</f>
        <v>48128</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19472</v>
      </c>
      <c r="D56" s="1445"/>
      <c r="E56" s="1446"/>
      <c r="F56" s="1438"/>
      <c r="I56" s="1447" t="s">
        <v>842</v>
      </c>
      <c r="J56" s="1448" t="s">
        <v>3394</v>
      </c>
      <c r="K56" s="1419" t="s">
        <v>843</v>
      </c>
      <c r="L56" s="1422" t="str">
        <f ca="1">IF(L48&lt;J51,"——",L48-J53)</f>
        <v>——</v>
      </c>
      <c r="O56" s="1416" t="s">
        <v>403</v>
      </c>
      <c r="P56" s="1417" t="s">
        <v>817</v>
      </c>
      <c r="Q56" s="1418">
        <f ca="1">C40+J29</f>
        <v>48128</v>
      </c>
      <c r="R56" s="1418" t="s">
        <v>818</v>
      </c>
    </row>
    <row r="57" spans="1:18" s="1382" customFormat="1" ht="24.75" thickBot="1">
      <c r="A57" s="1449"/>
      <c r="B57" s="948" t="s">
        <v>767</v>
      </c>
      <c r="C57" s="238">
        <f ca="1">C29</f>
        <v>23181</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139</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3.84</v>
      </c>
      <c r="D62" s="963" t="s">
        <v>786</v>
      </c>
      <c r="E62" s="948" t="s">
        <v>787</v>
      </c>
      <c r="F62" s="325">
        <f t="shared" si="0"/>
        <v>1.5</v>
      </c>
      <c r="I62" s="1460" t="s">
        <v>858</v>
      </c>
      <c r="J62" s="1461" t="s">
        <v>859</v>
      </c>
      <c r="K62" s="1461" t="s">
        <v>860</v>
      </c>
      <c r="L62" s="1461" t="s">
        <v>861</v>
      </c>
      <c r="M62" s="1462" t="s">
        <v>862</v>
      </c>
      <c r="O62" s="1416" t="s">
        <v>409</v>
      </c>
      <c r="P62" s="1417" t="s">
        <v>863</v>
      </c>
      <c r="Q62" s="1418">
        <f ca="1">Q56+Q57</f>
        <v>48128</v>
      </c>
      <c r="R62" s="1418" t="s">
        <v>410</v>
      </c>
    </row>
    <row r="63" spans="1:18" s="1382" customFormat="1" ht="13.5" thickBot="1">
      <c r="A63" s="326"/>
      <c r="B63" s="954"/>
      <c r="C63" s="26"/>
      <c r="D63" s="964"/>
      <c r="E63" s="948" t="s">
        <v>788</v>
      </c>
      <c r="F63" s="303">
        <f t="shared" ca="1" si="0"/>
        <v>25572.42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115.91</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19.47</v>
      </c>
      <c r="D65" s="962" t="s">
        <v>743</v>
      </c>
      <c r="E65" s="948" t="s">
        <v>744</v>
      </c>
      <c r="F65" s="330">
        <f t="shared" ca="1" si="0"/>
        <v>1E-3</v>
      </c>
      <c r="I65" s="1460" t="s">
        <v>867</v>
      </c>
      <c r="J65" s="1461">
        <v>40</v>
      </c>
      <c r="K65" s="1461">
        <v>30</v>
      </c>
      <c r="L65" s="1461">
        <v>50</v>
      </c>
      <c r="M65" s="1463">
        <v>0.02</v>
      </c>
      <c r="O65" s="1416" t="s">
        <v>403</v>
      </c>
      <c r="P65" s="1417" t="s">
        <v>868</v>
      </c>
      <c r="Q65" s="1418">
        <f ca="1">C40+J29</f>
        <v>48128</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-139</v>
      </c>
      <c r="D67" s="961" t="s">
        <v>753</v>
      </c>
      <c r="E67" s="966"/>
      <c r="F67" s="967"/>
      <c r="O67" s="1426" t="s">
        <v>405</v>
      </c>
      <c r="P67" s="1417" t="s">
        <v>850</v>
      </c>
      <c r="Q67" s="1464">
        <f ca="1">L51</f>
        <v>20966</v>
      </c>
      <c r="R67" s="1418" t="s">
        <v>870</v>
      </c>
    </row>
    <row r="68" spans="1:18" s="1382" customFormat="1" ht="16.5" thickBot="1">
      <c r="A68" s="945" t="s">
        <v>395</v>
      </c>
      <c r="B68" s="946" t="s">
        <v>774</v>
      </c>
      <c r="C68" s="301">
        <f ca="1">ROUND(C67*(1-((1+F70)/(1+F68))^F69)/(F68-F70),0)</f>
        <v>-2008</v>
      </c>
      <c r="D68" s="963" t="s">
        <v>758</v>
      </c>
      <c r="E68" s="948" t="s">
        <v>759</v>
      </c>
      <c r="F68" s="312">
        <f ca="1">F40</f>
        <v>5.5E-2</v>
      </c>
      <c r="O68" s="1426" t="s">
        <v>406</v>
      </c>
      <c r="P68" s="1465" t="s">
        <v>871</v>
      </c>
      <c r="Q68" s="1418">
        <f ca="1">ROUND(Q69-Q70*Q71,0)</f>
        <v>1154</v>
      </c>
      <c r="R68" s="1418" t="s">
        <v>414</v>
      </c>
    </row>
    <row r="69" spans="1:18" s="1382" customFormat="1" ht="13.5" thickBot="1">
      <c r="A69" s="949"/>
      <c r="B69" s="950"/>
      <c r="C69" s="306"/>
      <c r="D69" s="968" t="s">
        <v>762</v>
      </c>
      <c r="E69" s="948" t="s">
        <v>763</v>
      </c>
      <c r="F69" s="333">
        <f ca="1">F41</f>
        <v>29.55</v>
      </c>
      <c r="O69" s="1426" t="s">
        <v>411</v>
      </c>
      <c r="P69" s="1465" t="s">
        <v>872</v>
      </c>
      <c r="Q69" s="1418">
        <f ca="1">C39</f>
        <v>2517</v>
      </c>
      <c r="R69" s="1418" t="s">
        <v>818</v>
      </c>
    </row>
    <row r="70" spans="1:18" s="1382" customFormat="1" ht="13.5" thickBot="1">
      <c r="A70" s="952"/>
      <c r="B70" s="953"/>
      <c r="C70" s="310"/>
      <c r="D70" s="964"/>
      <c r="E70" s="948" t="s">
        <v>766</v>
      </c>
      <c r="F70" s="1052"/>
      <c r="O70" s="1426" t="s">
        <v>412</v>
      </c>
      <c r="P70" s="1465" t="s">
        <v>873</v>
      </c>
      <c r="Q70" s="1418">
        <f ca="1">C13</f>
        <v>19472</v>
      </c>
      <c r="R70" s="1418" t="s">
        <v>818</v>
      </c>
    </row>
    <row r="71" spans="1:18" s="1382" customFormat="1" ht="13.5" thickBot="1">
      <c r="A71" s="969" t="s">
        <v>396</v>
      </c>
      <c r="B71" s="970" t="s">
        <v>776</v>
      </c>
      <c r="C71" s="336">
        <f ca="1">ROUND(C68*10000/F71,0)</f>
        <v>-555</v>
      </c>
      <c r="D71" s="971" t="s">
        <v>777</v>
      </c>
      <c r="E71" s="972" t="s">
        <v>778</v>
      </c>
      <c r="F71" s="339">
        <f ca="1">F43</f>
        <v>36157.11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1363</v>
      </c>
      <c r="D75" s="1382"/>
      <c r="E75" s="1382"/>
      <c r="F75" s="1382"/>
      <c r="K75" s="1400"/>
      <c r="L75" s="1382"/>
      <c r="O75" s="1416" t="s">
        <v>409</v>
      </c>
      <c r="P75" s="1417" t="s">
        <v>838</v>
      </c>
      <c r="Q75" s="1418">
        <f ca="1">Q65+Q66</f>
        <v>48128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0.45799999999999996</v>
      </c>
    </row>
    <row r="80" spans="1:18">
      <c r="B80" s="340" t="s">
        <v>800</v>
      </c>
      <c r="C80" s="274">
        <f ca="1">ROUND(C75/C39,3)</f>
        <v>0.54200000000000004</v>
      </c>
    </row>
    <row r="81" spans="2:3">
      <c r="B81" s="270" t="s">
        <v>801</v>
      </c>
      <c r="C81" s="238"/>
    </row>
    <row r="82" spans="2:3">
      <c r="B82" s="273" t="s">
        <v>802</v>
      </c>
      <c r="C82" s="275">
        <f ca="1">1-C83</f>
        <v>0.59499999999999997</v>
      </c>
    </row>
    <row r="83" spans="2:3">
      <c r="B83" s="273" t="s">
        <v>803</v>
      </c>
      <c r="C83" s="274">
        <f ca="1">ROUND(C13/C40,3)</f>
        <v>0.40500000000000003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8" t="s">
        <v>2336</v>
      </c>
      <c r="B6" s="3659"/>
      <c r="C6" s="3660"/>
      <c r="D6" s="2868"/>
      <c r="E6" s="2869"/>
      <c r="F6" s="2870"/>
      <c r="G6" s="2871"/>
      <c r="H6" s="2846"/>
      <c r="I6" s="2847"/>
      <c r="J6" s="3644">
        <v>1</v>
      </c>
      <c r="K6" s="364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4"/>
      <c r="K7" s="364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44"/>
      <c r="K8" s="364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44"/>
      <c r="K9" s="3646"/>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44"/>
      <c r="K10" s="3646"/>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44"/>
      <c r="K11" s="364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4" t="s">
        <v>2365</v>
      </c>
      <c r="C12" s="3655"/>
      <c r="D12" s="2895">
        <f>ROUND(D13*1.2%*(1-30%),0)</f>
        <v>0</v>
      </c>
      <c r="E12" s="2896">
        <v>1.2E-2</v>
      </c>
      <c r="F12" s="2889" t="s">
        <v>2366</v>
      </c>
      <c r="G12" s="2890"/>
      <c r="H12" s="2846"/>
      <c r="I12" s="2847"/>
      <c r="J12" s="3644"/>
      <c r="K12" s="364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4"/>
      <c r="K13" s="364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4" t="s">
        <v>2371</v>
      </c>
      <c r="C14" s="3655"/>
      <c r="D14" s="2895">
        <f>ROUND(E14*B5/10000,0)</f>
        <v>0</v>
      </c>
      <c r="E14" s="2884"/>
      <c r="F14" s="2889" t="s">
        <v>2372</v>
      </c>
      <c r="G14" s="2890"/>
      <c r="H14" s="2846"/>
      <c r="I14" s="2847"/>
      <c r="J14" s="3644"/>
      <c r="K14" s="364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4" t="s">
        <v>2375</v>
      </c>
      <c r="C15" s="3655"/>
      <c r="D15" s="2895">
        <f>ROUND(D6*E15,0)</f>
        <v>0</v>
      </c>
      <c r="E15" s="2896">
        <v>5.5E-2</v>
      </c>
      <c r="F15" s="2889" t="s">
        <v>2376</v>
      </c>
      <c r="G15" s="2871"/>
      <c r="H15" s="2846"/>
      <c r="I15" s="2847"/>
      <c r="J15" s="3644">
        <v>2</v>
      </c>
      <c r="K15" s="364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4" t="s">
        <v>2384</v>
      </c>
      <c r="C16" s="3655"/>
      <c r="D16" s="2906">
        <f>D6*E16</f>
        <v>0</v>
      </c>
      <c r="E16" s="2907"/>
      <c r="F16" s="2892" t="s">
        <v>2385</v>
      </c>
      <c r="G16" s="2871"/>
      <c r="H16" s="2846"/>
      <c r="I16" s="2847"/>
      <c r="J16" s="3644"/>
      <c r="K16" s="364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6" t="s">
        <v>2387</v>
      </c>
      <c r="C17" s="3657"/>
      <c r="D17" s="2909">
        <f>ROUND(D6*E17,0)</f>
        <v>0</v>
      </c>
      <c r="E17" s="2910"/>
      <c r="F17" s="2911" t="s">
        <v>2388</v>
      </c>
      <c r="G17" s="2871"/>
      <c r="H17" s="2846"/>
      <c r="I17" s="2847"/>
      <c r="J17" s="3644"/>
      <c r="K17" s="364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4"/>
      <c r="K18" s="364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4"/>
      <c r="K19" s="364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4">
        <v>3</v>
      </c>
      <c r="K20" s="364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4"/>
      <c r="K21" s="364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4"/>
      <c r="K22" s="364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4"/>
      <c r="K23" s="364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4"/>
      <c r="K24" s="364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4">
        <v>1</v>
      </c>
      <c r="K36" s="364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4"/>
      <c r="K37" s="364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4"/>
      <c r="K38" s="364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4"/>
      <c r="K39" s="364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4"/>
      <c r="K40" s="364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48128</v>
      </c>
      <c r="C2" s="1870" t="s">
        <v>1651</v>
      </c>
      <c r="D2" s="1871" t="s">
        <v>1652</v>
      </c>
      <c r="E2" s="2605">
        <f>SUM(E6:E13)</f>
        <v>36157.11</v>
      </c>
      <c r="F2" s="2705"/>
      <c r="G2" s="1487"/>
      <c r="H2" s="1487"/>
      <c r="I2" s="1487"/>
      <c r="J2" s="1487"/>
      <c r="K2" s="1487"/>
      <c r="L2" s="1487"/>
      <c r="M2" s="1487"/>
      <c r="N2" s="1487"/>
      <c r="O2" s="1487"/>
      <c r="P2" s="1487"/>
      <c r="Q2" s="1487"/>
      <c r="R2" s="1487"/>
      <c r="S2" s="1487"/>
    </row>
    <row r="3" spans="1:22" ht="15.75">
      <c r="A3" s="1868" t="s">
        <v>686</v>
      </c>
      <c r="B3" s="2599">
        <f ca="1">ROUND(B2*10000/E2,0)</f>
        <v>13311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48128</v>
      </c>
      <c r="C6" s="1870" t="s">
        <v>1651</v>
      </c>
      <c r="D6" s="2707"/>
      <c r="E6" s="2604">
        <f>IF(OR(A6=0,F6="否"),0,'数据-取费表'!K6+'数据-取费表'!S6)</f>
        <v>36157.11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36157.11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93" t="s">
        <v>1668</v>
      </c>
      <c r="S4" s="3694"/>
      <c r="T4" s="3693" t="s">
        <v>1669</v>
      </c>
      <c r="U4" s="3694"/>
      <c r="V4" s="3699" t="s">
        <v>1670</v>
      </c>
      <c r="W4" s="3699"/>
      <c r="X4" s="1353"/>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88"/>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1888"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45236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4" t="s">
        <v>1680</v>
      </c>
      <c r="Q7" s="3706"/>
      <c r="R7" s="699" t="s">
        <v>20</v>
      </c>
      <c r="S7" s="700">
        <f t="shared" ref="S7:S15" si="0">F7</f>
        <v>0</v>
      </c>
      <c r="T7" s="699" t="s">
        <v>20</v>
      </c>
      <c r="U7" s="700">
        <f t="shared" ref="U7:U15" si="1">H7</f>
        <v>0</v>
      </c>
      <c r="V7" s="699" t="s">
        <v>20</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4" t="s">
        <v>1683</v>
      </c>
      <c r="Q8" s="3705"/>
      <c r="R8" s="699" t="s">
        <v>20</v>
      </c>
      <c r="S8" s="700">
        <f t="shared" si="0"/>
        <v>100</v>
      </c>
      <c r="T8" s="699" t="s">
        <v>20</v>
      </c>
      <c r="U8" s="700">
        <f t="shared" si="1"/>
        <v>100</v>
      </c>
      <c r="V8" s="699" t="s">
        <v>20</v>
      </c>
      <c r="W8" s="700">
        <f t="shared" si="2"/>
        <v>100</v>
      </c>
      <c r="X8" s="701"/>
      <c r="Y8" s="3704" t="s">
        <v>1683</v>
      </c>
      <c r="Z8" s="370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9"/>
      <c r="Q11" s="1341"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9"/>
      <c r="Q12" s="1341">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9"/>
      <c r="Q13" s="1341">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9"/>
      <c r="Q14" s="1341">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7" t="s">
        <v>1691</v>
      </c>
      <c r="Q15" s="1350" t="str">
        <f t="shared" si="6"/>
        <v>居住社区成熟度</v>
      </c>
      <c r="R15" s="703" t="s">
        <v>18</v>
      </c>
      <c r="S15" s="704">
        <f t="shared" si="0"/>
        <v>100</v>
      </c>
      <c r="T15" s="703" t="s">
        <v>18</v>
      </c>
      <c r="U15" s="704">
        <f t="shared" si="1"/>
        <v>100</v>
      </c>
      <c r="V15" s="703" t="s">
        <v>18</v>
      </c>
      <c r="W15" s="704">
        <f t="shared" si="2"/>
        <v>100</v>
      </c>
      <c r="X15" s="1353"/>
      <c r="Y15" s="367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8"/>
      <c r="Q16" s="1350"/>
      <c r="R16" s="703"/>
      <c r="S16" s="704"/>
      <c r="T16" s="703"/>
      <c r="U16" s="704"/>
      <c r="V16" s="703"/>
      <c r="W16" s="704"/>
      <c r="X16" s="1353"/>
      <c r="Y16" s="367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8"/>
      <c r="Q17" s="1350" t="str">
        <f>B17</f>
        <v>交通便捷度</v>
      </c>
      <c r="R17" s="703" t="s">
        <v>18</v>
      </c>
      <c r="S17" s="704">
        <f>F17</f>
        <v>100</v>
      </c>
      <c r="T17" s="703" t="s">
        <v>18</v>
      </c>
      <c r="U17" s="704">
        <f>H17</f>
        <v>100</v>
      </c>
      <c r="V17" s="703" t="s">
        <v>18</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8"/>
      <c r="Q19" s="1350" t="str">
        <f>B19</f>
        <v>公共配套设施</v>
      </c>
      <c r="R19" s="703" t="s">
        <v>18</v>
      </c>
      <c r="S19" s="704">
        <f>F19</f>
        <v>100</v>
      </c>
      <c r="T19" s="703" t="s">
        <v>18</v>
      </c>
      <c r="U19" s="704">
        <f>H19</f>
        <v>100</v>
      </c>
      <c r="V19" s="703" t="s">
        <v>18</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8"/>
      <c r="Q22" s="1350"/>
      <c r="R22" s="703"/>
      <c r="S22" s="704"/>
      <c r="T22" s="703"/>
      <c r="U22" s="704"/>
      <c r="V22" s="703"/>
      <c r="W22" s="704"/>
      <c r="X22" s="1353"/>
      <c r="Y22" s="367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8"/>
      <c r="Q23" s="1350" t="str">
        <f>B23</f>
        <v>自然及人文环境</v>
      </c>
      <c r="R23" s="703" t="s">
        <v>18</v>
      </c>
      <c r="S23" s="704">
        <f>F23</f>
        <v>100</v>
      </c>
      <c r="T23" s="703" t="s">
        <v>18</v>
      </c>
      <c r="U23" s="704">
        <f>H23</f>
        <v>100</v>
      </c>
      <c r="V23" s="703" t="s">
        <v>18</v>
      </c>
      <c r="W23" s="704">
        <f>J23</f>
        <v>100</v>
      </c>
      <c r="X23" s="1353"/>
      <c r="Y23" s="367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8"/>
      <c r="Q26" s="1350" t="str">
        <f t="shared" si="11"/>
        <v>朝向</v>
      </c>
      <c r="R26" s="703" t="s">
        <v>18</v>
      </c>
      <c r="S26" s="704">
        <f t="shared" si="12"/>
        <v>100</v>
      </c>
      <c r="T26" s="703" t="s">
        <v>18</v>
      </c>
      <c r="U26" s="704">
        <f t="shared" si="13"/>
        <v>100</v>
      </c>
      <c r="V26" s="703" t="s">
        <v>18</v>
      </c>
      <c r="W26" s="704">
        <f t="shared" si="14"/>
        <v>100</v>
      </c>
      <c r="X26" s="1353"/>
      <c r="Y26" s="367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8"/>
      <c r="Q27" s="1341">
        <f t="shared" si="11"/>
        <v>111</v>
      </c>
      <c r="R27" s="699" t="s">
        <v>18</v>
      </c>
      <c r="S27" s="700">
        <f t="shared" si="12"/>
        <v>100</v>
      </c>
      <c r="T27" s="699" t="s">
        <v>18</v>
      </c>
      <c r="U27" s="700">
        <f t="shared" si="13"/>
        <v>100</v>
      </c>
      <c r="V27" s="699" t="s">
        <v>18</v>
      </c>
      <c r="W27" s="700">
        <f t="shared" si="14"/>
        <v>100</v>
      </c>
      <c r="X27" s="701"/>
      <c r="Y27" s="367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8"/>
      <c r="Q28" s="1350">
        <f t="shared" si="11"/>
        <v>111</v>
      </c>
      <c r="R28" s="703" t="s">
        <v>18</v>
      </c>
      <c r="S28" s="704">
        <f t="shared" si="12"/>
        <v>100</v>
      </c>
      <c r="T28" s="703" t="s">
        <v>18</v>
      </c>
      <c r="U28" s="704">
        <f t="shared" si="13"/>
        <v>100</v>
      </c>
      <c r="V28" s="703" t="s">
        <v>18</v>
      </c>
      <c r="W28" s="704">
        <f t="shared" si="14"/>
        <v>100</v>
      </c>
      <c r="X28" s="1353"/>
      <c r="Y28" s="367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8"/>
      <c r="Q29" s="1350">
        <f t="shared" si="11"/>
        <v>111</v>
      </c>
      <c r="R29" s="703" t="s">
        <v>18</v>
      </c>
      <c r="S29" s="704">
        <f t="shared" si="12"/>
        <v>100</v>
      </c>
      <c r="T29" s="703" t="s">
        <v>18</v>
      </c>
      <c r="U29" s="704">
        <f t="shared" si="13"/>
        <v>100</v>
      </c>
      <c r="V29" s="703" t="s">
        <v>18</v>
      </c>
      <c r="W29" s="704">
        <f t="shared" si="14"/>
        <v>100</v>
      </c>
      <c r="X29" s="1353"/>
      <c r="Y29" s="367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8"/>
      <c r="Q30" s="1350">
        <f t="shared" si="11"/>
        <v>111</v>
      </c>
      <c r="R30" s="703" t="s">
        <v>18</v>
      </c>
      <c r="S30" s="704">
        <f t="shared" si="12"/>
        <v>100</v>
      </c>
      <c r="T30" s="703" t="s">
        <v>18</v>
      </c>
      <c r="U30" s="704">
        <f t="shared" si="13"/>
        <v>100</v>
      </c>
      <c r="V30" s="703" t="s">
        <v>18</v>
      </c>
      <c r="W30" s="704">
        <f t="shared" si="14"/>
        <v>100</v>
      </c>
      <c r="X30" s="1353"/>
      <c r="Y30" s="367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8"/>
      <c r="Q31" s="1350">
        <f t="shared" si="11"/>
        <v>111</v>
      </c>
      <c r="R31" s="703" t="s">
        <v>18</v>
      </c>
      <c r="S31" s="704">
        <f t="shared" si="12"/>
        <v>100</v>
      </c>
      <c r="T31" s="703" t="s">
        <v>18</v>
      </c>
      <c r="U31" s="704">
        <f t="shared" si="13"/>
        <v>100</v>
      </c>
      <c r="V31" s="703" t="s">
        <v>18</v>
      </c>
      <c r="W31" s="704">
        <f t="shared" si="14"/>
        <v>100</v>
      </c>
      <c r="X31" s="1353"/>
      <c r="Y31" s="367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2" t="s">
        <v>1696</v>
      </c>
      <c r="Q32" s="1350" t="str">
        <f t="shared" si="11"/>
        <v>建筑类型</v>
      </c>
      <c r="R32" s="703" t="s">
        <v>18</v>
      </c>
      <c r="S32" s="704">
        <f t="shared" si="12"/>
        <v>100</v>
      </c>
      <c r="T32" s="703" t="s">
        <v>18</v>
      </c>
      <c r="U32" s="704">
        <f t="shared" si="13"/>
        <v>100</v>
      </c>
      <c r="V32" s="703" t="s">
        <v>18</v>
      </c>
      <c r="W32" s="704">
        <f t="shared" si="14"/>
        <v>100</v>
      </c>
      <c r="X32" s="1353"/>
      <c r="Y32" s="367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3"/>
      <c r="Q33" s="705" t="str">
        <f t="shared" si="11"/>
        <v>项目建筑规模</v>
      </c>
      <c r="R33" s="706" t="s">
        <v>18</v>
      </c>
      <c r="S33" s="707" t="e">
        <f t="shared" si="12"/>
        <v>#N/A</v>
      </c>
      <c r="T33" s="706" t="s">
        <v>18</v>
      </c>
      <c r="U33" s="707" t="e">
        <f t="shared" si="13"/>
        <v>#N/A</v>
      </c>
      <c r="V33" s="706" t="s">
        <v>18</v>
      </c>
      <c r="W33" s="707" t="e">
        <f t="shared" si="14"/>
        <v>#N/A</v>
      </c>
      <c r="X33" s="708"/>
      <c r="Y33" s="367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3"/>
      <c r="Q34" s="1350" t="str">
        <f t="shared" si="11"/>
        <v>建筑结构</v>
      </c>
      <c r="R34" s="703" t="s">
        <v>18</v>
      </c>
      <c r="S34" s="704">
        <f t="shared" si="12"/>
        <v>100</v>
      </c>
      <c r="T34" s="703" t="s">
        <v>18</v>
      </c>
      <c r="U34" s="704">
        <f t="shared" si="13"/>
        <v>100</v>
      </c>
      <c r="V34" s="703" t="s">
        <v>18</v>
      </c>
      <c r="W34" s="704">
        <f t="shared" si="14"/>
        <v>100</v>
      </c>
      <c r="X34" s="1353"/>
      <c r="Y34" s="367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3"/>
      <c r="Q35" s="1350" t="str">
        <f t="shared" si="11"/>
        <v>建筑品质</v>
      </c>
      <c r="R35" s="703" t="s">
        <v>18</v>
      </c>
      <c r="S35" s="704">
        <f t="shared" si="12"/>
        <v>100</v>
      </c>
      <c r="T35" s="703" t="s">
        <v>18</v>
      </c>
      <c r="U35" s="704">
        <f t="shared" si="13"/>
        <v>100</v>
      </c>
      <c r="V35" s="703" t="s">
        <v>18</v>
      </c>
      <c r="W35" s="704">
        <f t="shared" si="14"/>
        <v>100</v>
      </c>
      <c r="X35" s="1353"/>
      <c r="Y35" s="367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3"/>
      <c r="Q36" s="1350" t="str">
        <f t="shared" si="11"/>
        <v>公共部分装修</v>
      </c>
      <c r="R36" s="703" t="s">
        <v>18</v>
      </c>
      <c r="S36" s="704">
        <f t="shared" si="12"/>
        <v>100</v>
      </c>
      <c r="T36" s="703" t="s">
        <v>18</v>
      </c>
      <c r="U36" s="704">
        <f t="shared" si="13"/>
        <v>100</v>
      </c>
      <c r="V36" s="703" t="s">
        <v>18</v>
      </c>
      <c r="W36" s="704">
        <f t="shared" si="14"/>
        <v>100</v>
      </c>
      <c r="X36" s="1353"/>
      <c r="Y36" s="367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3"/>
      <c r="Q37" s="1341" t="str">
        <f t="shared" si="11"/>
        <v>成新度</v>
      </c>
      <c r="R37" s="699" t="s">
        <v>18</v>
      </c>
      <c r="S37" s="700" t="e">
        <f t="shared" si="12"/>
        <v>#N/A</v>
      </c>
      <c r="T37" s="699" t="s">
        <v>18</v>
      </c>
      <c r="U37" s="700" t="e">
        <f t="shared" si="13"/>
        <v>#N/A</v>
      </c>
      <c r="V37" s="699" t="s">
        <v>18</v>
      </c>
      <c r="W37" s="700" t="e">
        <f t="shared" si="14"/>
        <v>#N/A</v>
      </c>
      <c r="X37" s="701"/>
      <c r="Y37" s="367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3" t="s">
        <v>1696</v>
      </c>
      <c r="Q38" s="1350" t="str">
        <f t="shared" si="11"/>
        <v>物业管理</v>
      </c>
      <c r="R38" s="703" t="s">
        <v>18</v>
      </c>
      <c r="S38" s="704">
        <f t="shared" si="12"/>
        <v>100</v>
      </c>
      <c r="T38" s="703" t="s">
        <v>18</v>
      </c>
      <c r="U38" s="704">
        <f t="shared" si="13"/>
        <v>100</v>
      </c>
      <c r="V38" s="703" t="s">
        <v>18</v>
      </c>
      <c r="W38" s="704">
        <f t="shared" si="14"/>
        <v>100</v>
      </c>
      <c r="X38" s="1353"/>
      <c r="Y38" s="367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3"/>
      <c r="Q39" s="1350" t="str">
        <f t="shared" si="11"/>
        <v>市政基础设施</v>
      </c>
      <c r="R39" s="703" t="s">
        <v>18</v>
      </c>
      <c r="S39" s="704">
        <f t="shared" si="12"/>
        <v>100</v>
      </c>
      <c r="T39" s="703" t="s">
        <v>18</v>
      </c>
      <c r="U39" s="704">
        <f t="shared" si="13"/>
        <v>100</v>
      </c>
      <c r="V39" s="703" t="s">
        <v>18</v>
      </c>
      <c r="W39" s="704">
        <f t="shared" si="14"/>
        <v>100</v>
      </c>
      <c r="X39" s="1353"/>
      <c r="Y39" s="367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3"/>
      <c r="Q40" s="1350" t="str">
        <f t="shared" si="11"/>
        <v>房型</v>
      </c>
      <c r="R40" s="703" t="s">
        <v>18</v>
      </c>
      <c r="S40" s="704">
        <f t="shared" si="12"/>
        <v>100</v>
      </c>
      <c r="T40" s="703" t="s">
        <v>18</v>
      </c>
      <c r="U40" s="704">
        <f t="shared" si="13"/>
        <v>100</v>
      </c>
      <c r="V40" s="703" t="s">
        <v>18</v>
      </c>
      <c r="W40" s="704">
        <f t="shared" si="14"/>
        <v>100</v>
      </c>
      <c r="X40" s="1353"/>
      <c r="Y40" s="367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3"/>
      <c r="Q41" s="705" t="str">
        <f t="shared" si="11"/>
        <v>单套/主力户型建筑面积</v>
      </c>
      <c r="R41" s="706" t="s">
        <v>18</v>
      </c>
      <c r="S41" s="707">
        <f t="shared" si="12"/>
        <v>100</v>
      </c>
      <c r="T41" s="706" t="s">
        <v>18</v>
      </c>
      <c r="U41" s="707">
        <f t="shared" si="13"/>
        <v>100</v>
      </c>
      <c r="V41" s="706" t="s">
        <v>18</v>
      </c>
      <c r="W41" s="707">
        <f t="shared" si="14"/>
        <v>100</v>
      </c>
      <c r="X41" s="708"/>
      <c r="Y41" s="367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3"/>
      <c r="Q42" s="1350" t="str">
        <f t="shared" si="11"/>
        <v>内部装修</v>
      </c>
      <c r="R42" s="703" t="s">
        <v>18</v>
      </c>
      <c r="S42" s="704">
        <f t="shared" si="12"/>
        <v>100</v>
      </c>
      <c r="T42" s="703" t="s">
        <v>18</v>
      </c>
      <c r="U42" s="704">
        <f t="shared" si="13"/>
        <v>100</v>
      </c>
      <c r="V42" s="703" t="s">
        <v>18</v>
      </c>
      <c r="W42" s="704">
        <f t="shared" si="14"/>
        <v>100</v>
      </c>
      <c r="X42" s="1353"/>
      <c r="Y42" s="367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3"/>
      <c r="Q43" s="1350" t="str">
        <f t="shared" si="11"/>
        <v>内部装修维护情况</v>
      </c>
      <c r="R43" s="703" t="s">
        <v>18</v>
      </c>
      <c r="S43" s="704">
        <f t="shared" si="12"/>
        <v>100</v>
      </c>
      <c r="T43" s="703" t="s">
        <v>18</v>
      </c>
      <c r="U43" s="704">
        <f t="shared" si="13"/>
        <v>100</v>
      </c>
      <c r="V43" s="703" t="s">
        <v>18</v>
      </c>
      <c r="W43" s="704">
        <f t="shared" si="14"/>
        <v>100</v>
      </c>
      <c r="X43" s="1353"/>
      <c r="Y43" s="367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3"/>
      <c r="Q44" s="1341">
        <f t="shared" si="11"/>
        <v>111</v>
      </c>
      <c r="R44" s="699" t="s">
        <v>18</v>
      </c>
      <c r="S44" s="700">
        <f t="shared" si="12"/>
        <v>100</v>
      </c>
      <c r="T44" s="699" t="s">
        <v>18</v>
      </c>
      <c r="U44" s="700">
        <f t="shared" si="13"/>
        <v>100</v>
      </c>
      <c r="V44" s="699" t="s">
        <v>18</v>
      </c>
      <c r="W44" s="700">
        <f t="shared" si="14"/>
        <v>100</v>
      </c>
      <c r="X44" s="701"/>
      <c r="Y44" s="367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3"/>
      <c r="Q45" s="1350">
        <f t="shared" si="11"/>
        <v>111</v>
      </c>
      <c r="R45" s="703" t="s">
        <v>18</v>
      </c>
      <c r="S45" s="704">
        <f t="shared" si="12"/>
        <v>100</v>
      </c>
      <c r="T45" s="703" t="s">
        <v>18</v>
      </c>
      <c r="U45" s="704">
        <f t="shared" si="13"/>
        <v>100</v>
      </c>
      <c r="V45" s="703" t="s">
        <v>18</v>
      </c>
      <c r="W45" s="704">
        <f t="shared" si="14"/>
        <v>100</v>
      </c>
      <c r="X45" s="1353"/>
      <c r="Y45" s="367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4"/>
      <c r="Q46" s="1350">
        <f t="shared" si="11"/>
        <v>111</v>
      </c>
      <c r="R46" s="703" t="s">
        <v>17</v>
      </c>
      <c r="S46" s="704">
        <f t="shared" si="12"/>
        <v>100</v>
      </c>
      <c r="T46" s="703" t="s">
        <v>17</v>
      </c>
      <c r="U46" s="704">
        <f t="shared" si="13"/>
        <v>100</v>
      </c>
      <c r="V46" s="703" t="s">
        <v>17</v>
      </c>
      <c r="W46" s="704">
        <f t="shared" si="14"/>
        <v>100</v>
      </c>
      <c r="X46" s="1353"/>
      <c r="Y46" s="367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8" t="str">
        <f>A47</f>
        <v>成交单价（元/平方米）</v>
      </c>
      <c r="Q47" s="3668"/>
      <c r="R47" s="3669">
        <f>E47</f>
        <v>0</v>
      </c>
      <c r="S47" s="3669"/>
      <c r="T47" s="3669">
        <f>G47</f>
        <v>0</v>
      </c>
      <c r="U47" s="3669"/>
      <c r="V47" s="3669">
        <f>I47</f>
        <v>0</v>
      </c>
      <c r="W47" s="366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36157.11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99"/>
      <c r="AC6" s="3682"/>
    </row>
    <row r="7" spans="1:29" s="108" customFormat="1" ht="15.75" thickBot="1">
      <c r="A7" s="362" t="s">
        <v>1679</v>
      </c>
      <c r="B7" s="363"/>
      <c r="C7" s="364">
        <f>'数据-取费表'!B2</f>
        <v>45236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9"/>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7" t="s">
        <v>1691</v>
      </c>
      <c r="Q15" s="1350" t="str">
        <f t="shared" si="6"/>
        <v>商业繁华度</v>
      </c>
      <c r="R15" s="703" t="s">
        <v>14</v>
      </c>
      <c r="S15" s="704">
        <f t="shared" si="0"/>
        <v>100</v>
      </c>
      <c r="T15" s="703" t="s">
        <v>14</v>
      </c>
      <c r="U15" s="704">
        <f t="shared" si="1"/>
        <v>100</v>
      </c>
      <c r="V15" s="703" t="s">
        <v>14</v>
      </c>
      <c r="W15" s="704">
        <f t="shared" si="2"/>
        <v>100</v>
      </c>
      <c r="X15" s="1353"/>
      <c r="Y15" s="367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8"/>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8"/>
      <c r="Q18" s="1350"/>
      <c r="R18" s="703"/>
      <c r="S18" s="704"/>
      <c r="T18" s="703"/>
      <c r="U18" s="704"/>
      <c r="V18" s="703"/>
      <c r="W18" s="704"/>
      <c r="X18" s="1353"/>
      <c r="Y18" s="367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8"/>
      <c r="Q20" s="1350"/>
      <c r="R20" s="703"/>
      <c r="S20" s="704"/>
      <c r="T20" s="703"/>
      <c r="U20" s="704"/>
      <c r="V20" s="703"/>
      <c r="W20" s="704"/>
      <c r="X20" s="1353"/>
      <c r="Y20" s="367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8"/>
      <c r="Q22" s="1350"/>
      <c r="R22" s="703"/>
      <c r="S22" s="704"/>
      <c r="T22" s="703"/>
      <c r="U22" s="704"/>
      <c r="V22" s="703"/>
      <c r="W22" s="704"/>
      <c r="X22" s="1353"/>
      <c r="Y22" s="367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8"/>
      <c r="Q23" s="1350" t="str">
        <f>B23</f>
        <v>自然及人文环境</v>
      </c>
      <c r="R23" s="703" t="s">
        <v>14</v>
      </c>
      <c r="S23" s="704">
        <f>F23</f>
        <v>100</v>
      </c>
      <c r="T23" s="703" t="s">
        <v>14</v>
      </c>
      <c r="U23" s="704">
        <f>H23</f>
        <v>100</v>
      </c>
      <c r="V23" s="703" t="s">
        <v>14</v>
      </c>
      <c r="W23" s="704">
        <f>J23</f>
        <v>100</v>
      </c>
      <c r="X23" s="1353"/>
      <c r="Y23" s="367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8"/>
      <c r="Q24" s="1350"/>
      <c r="R24" s="703"/>
      <c r="S24" s="704"/>
      <c r="T24" s="703"/>
      <c r="U24" s="704"/>
      <c r="V24" s="703"/>
      <c r="W24" s="704"/>
      <c r="X24" s="1353"/>
      <c r="Y24" s="367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8"/>
      <c r="Q25" s="1350" t="str">
        <f t="shared" ref="Q25:Q46" si="11">B25</f>
        <v>临街状况</v>
      </c>
      <c r="R25" s="703" t="s">
        <v>14</v>
      </c>
      <c r="S25" s="704">
        <f>F25</f>
        <v>100</v>
      </c>
      <c r="T25" s="703" t="s">
        <v>14</v>
      </c>
      <c r="U25" s="704">
        <f>H25</f>
        <v>100</v>
      </c>
      <c r="V25" s="703" t="s">
        <v>14</v>
      </c>
      <c r="W25" s="704">
        <f>J25</f>
        <v>100</v>
      </c>
      <c r="X25" s="1353"/>
      <c r="Y25" s="367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8"/>
      <c r="Q26" s="1350" t="str">
        <f t="shared" si="11"/>
        <v>平面位置/可视性</v>
      </c>
      <c r="R26" s="703" t="s">
        <v>14</v>
      </c>
      <c r="S26" s="704">
        <f>F26</f>
        <v>100</v>
      </c>
      <c r="T26" s="703" t="s">
        <v>14</v>
      </c>
      <c r="U26" s="704">
        <f>H26</f>
        <v>100</v>
      </c>
      <c r="V26" s="703" t="s">
        <v>14</v>
      </c>
      <c r="W26" s="704">
        <f>J26</f>
        <v>100</v>
      </c>
      <c r="X26" s="1353"/>
      <c r="Y26" s="367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8"/>
      <c r="Q27" s="1341" t="str">
        <f t="shared" si="11"/>
        <v>人流量</v>
      </c>
      <c r="R27" s="699" t="s">
        <v>14</v>
      </c>
      <c r="S27" s="700">
        <f>F27</f>
        <v>100</v>
      </c>
      <c r="T27" s="699" t="s">
        <v>14</v>
      </c>
      <c r="U27" s="700">
        <f>H27</f>
        <v>100</v>
      </c>
      <c r="V27" s="699" t="s">
        <v>14</v>
      </c>
      <c r="W27" s="700">
        <f>J27</f>
        <v>100</v>
      </c>
      <c r="X27" s="701"/>
      <c r="Y27" s="367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8"/>
      <c r="Q29" s="1350">
        <f t="shared" si="11"/>
        <v>111</v>
      </c>
      <c r="R29" s="703" t="s">
        <v>14</v>
      </c>
      <c r="S29" s="704">
        <f t="shared" si="12"/>
        <v>100</v>
      </c>
      <c r="T29" s="703" t="s">
        <v>14</v>
      </c>
      <c r="U29" s="704">
        <f t="shared" si="13"/>
        <v>100</v>
      </c>
      <c r="V29" s="703" t="s">
        <v>14</v>
      </c>
      <c r="W29" s="704">
        <f t="shared" si="14"/>
        <v>100</v>
      </c>
      <c r="X29" s="1353"/>
      <c r="Y29" s="367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2" t="s">
        <v>1696</v>
      </c>
      <c r="Q32" s="1350" t="str">
        <f t="shared" si="11"/>
        <v>商业类型</v>
      </c>
      <c r="R32" s="703" t="s">
        <v>14</v>
      </c>
      <c r="S32" s="704">
        <f t="shared" si="12"/>
        <v>100</v>
      </c>
      <c r="T32" s="703" t="s">
        <v>14</v>
      </c>
      <c r="U32" s="704">
        <f t="shared" si="13"/>
        <v>100</v>
      </c>
      <c r="V32" s="703" t="s">
        <v>14</v>
      </c>
      <c r="W32" s="704">
        <f t="shared" si="14"/>
        <v>100</v>
      </c>
      <c r="X32" s="1353"/>
      <c r="Y32" s="367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3"/>
      <c r="Q33" s="705" t="str">
        <f t="shared" si="11"/>
        <v>项目建筑规模</v>
      </c>
      <c r="R33" s="706" t="s">
        <v>14</v>
      </c>
      <c r="S33" s="707" t="e">
        <f t="shared" si="12"/>
        <v>#N/A</v>
      </c>
      <c r="T33" s="706" t="s">
        <v>14</v>
      </c>
      <c r="U33" s="707" t="e">
        <f t="shared" si="13"/>
        <v>#N/A</v>
      </c>
      <c r="V33" s="706" t="s">
        <v>14</v>
      </c>
      <c r="W33" s="707" t="e">
        <f t="shared" si="14"/>
        <v>#N/A</v>
      </c>
      <c r="X33" s="708"/>
      <c r="Y33" s="367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3"/>
      <c r="Q34" s="1350" t="str">
        <f t="shared" si="11"/>
        <v>建筑结构</v>
      </c>
      <c r="R34" s="703" t="s">
        <v>14</v>
      </c>
      <c r="S34" s="704">
        <f t="shared" si="12"/>
        <v>100</v>
      </c>
      <c r="T34" s="703" t="s">
        <v>14</v>
      </c>
      <c r="U34" s="704">
        <f t="shared" si="13"/>
        <v>100</v>
      </c>
      <c r="V34" s="703" t="s">
        <v>14</v>
      </c>
      <c r="W34" s="704">
        <f t="shared" si="14"/>
        <v>100</v>
      </c>
      <c r="X34" s="1353"/>
      <c r="Y34" s="367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3"/>
      <c r="Q35" s="1350" t="str">
        <f t="shared" si="11"/>
        <v>公共部分装修</v>
      </c>
      <c r="R35" s="703" t="s">
        <v>14</v>
      </c>
      <c r="S35" s="704">
        <f t="shared" si="12"/>
        <v>100</v>
      </c>
      <c r="T35" s="703" t="s">
        <v>14</v>
      </c>
      <c r="U35" s="704">
        <f t="shared" si="13"/>
        <v>100</v>
      </c>
      <c r="V35" s="703" t="s">
        <v>14</v>
      </c>
      <c r="W35" s="704">
        <f t="shared" si="14"/>
        <v>100</v>
      </c>
      <c r="X35" s="1353"/>
      <c r="Y35" s="367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3"/>
      <c r="Q36" s="1350" t="str">
        <f t="shared" si="11"/>
        <v>成新度</v>
      </c>
      <c r="R36" s="703" t="s">
        <v>14</v>
      </c>
      <c r="S36" s="704" t="e">
        <f t="shared" si="12"/>
        <v>#N/A</v>
      </c>
      <c r="T36" s="703" t="s">
        <v>14</v>
      </c>
      <c r="U36" s="704" t="e">
        <f t="shared" si="13"/>
        <v>#N/A</v>
      </c>
      <c r="V36" s="703" t="s">
        <v>14</v>
      </c>
      <c r="W36" s="704" t="e">
        <f t="shared" si="14"/>
        <v>#N/A</v>
      </c>
      <c r="X36" s="1353"/>
      <c r="Y36" s="367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3"/>
      <c r="Q37" s="1341" t="str">
        <f t="shared" si="11"/>
        <v>市政基础设施</v>
      </c>
      <c r="R37" s="699" t="s">
        <v>14</v>
      </c>
      <c r="S37" s="700">
        <f t="shared" si="12"/>
        <v>100</v>
      </c>
      <c r="T37" s="699" t="s">
        <v>14</v>
      </c>
      <c r="U37" s="700">
        <f t="shared" si="13"/>
        <v>100</v>
      </c>
      <c r="V37" s="699" t="s">
        <v>14</v>
      </c>
      <c r="W37" s="700">
        <f t="shared" si="14"/>
        <v>100</v>
      </c>
      <c r="X37" s="701"/>
      <c r="Y37" s="367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3" t="s">
        <v>1696</v>
      </c>
      <c r="Q38" s="1350" t="str">
        <f t="shared" si="11"/>
        <v>业态</v>
      </c>
      <c r="R38" s="703" t="s">
        <v>14</v>
      </c>
      <c r="S38" s="704">
        <f t="shared" si="12"/>
        <v>100</v>
      </c>
      <c r="T38" s="703" t="s">
        <v>14</v>
      </c>
      <c r="U38" s="704">
        <f t="shared" si="13"/>
        <v>100</v>
      </c>
      <c r="V38" s="703" t="s">
        <v>14</v>
      </c>
      <c r="W38" s="704">
        <f t="shared" si="14"/>
        <v>100</v>
      </c>
      <c r="X38" s="1353"/>
      <c r="Y38" s="367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3"/>
      <c r="Q39" s="1350" t="str">
        <f t="shared" si="11"/>
        <v>层高</v>
      </c>
      <c r="R39" s="703" t="s">
        <v>14</v>
      </c>
      <c r="S39" s="704">
        <f t="shared" si="12"/>
        <v>100</v>
      </c>
      <c r="T39" s="703" t="s">
        <v>14</v>
      </c>
      <c r="U39" s="704">
        <f t="shared" si="13"/>
        <v>100</v>
      </c>
      <c r="V39" s="703" t="s">
        <v>14</v>
      </c>
      <c r="W39" s="704">
        <f t="shared" si="14"/>
        <v>100</v>
      </c>
      <c r="X39" s="1353"/>
      <c r="Y39" s="367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3"/>
      <c r="Q40" s="1350" t="str">
        <f t="shared" si="11"/>
        <v>单套建筑面积</v>
      </c>
      <c r="R40" s="703" t="s">
        <v>14</v>
      </c>
      <c r="S40" s="704">
        <f t="shared" si="12"/>
        <v>100</v>
      </c>
      <c r="T40" s="703" t="s">
        <v>14</v>
      </c>
      <c r="U40" s="704">
        <f t="shared" si="13"/>
        <v>100</v>
      </c>
      <c r="V40" s="703" t="s">
        <v>14</v>
      </c>
      <c r="W40" s="704">
        <f t="shared" si="14"/>
        <v>100</v>
      </c>
      <c r="X40" s="1353"/>
      <c r="Y40" s="367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3"/>
      <c r="Q41" s="705" t="str">
        <f t="shared" si="11"/>
        <v>进深比</v>
      </c>
      <c r="R41" s="706" t="s">
        <v>14</v>
      </c>
      <c r="S41" s="707">
        <f t="shared" si="12"/>
        <v>100</v>
      </c>
      <c r="T41" s="706" t="s">
        <v>14</v>
      </c>
      <c r="U41" s="707">
        <f t="shared" si="13"/>
        <v>100</v>
      </c>
      <c r="V41" s="706" t="s">
        <v>14</v>
      </c>
      <c r="W41" s="707">
        <f t="shared" si="14"/>
        <v>100</v>
      </c>
      <c r="X41" s="708"/>
      <c r="Y41" s="367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3"/>
      <c r="Q42" s="1350" t="str">
        <f t="shared" si="11"/>
        <v>内部装修</v>
      </c>
      <c r="R42" s="703" t="s">
        <v>14</v>
      </c>
      <c r="S42" s="704">
        <f t="shared" si="12"/>
        <v>100</v>
      </c>
      <c r="T42" s="703" t="s">
        <v>14</v>
      </c>
      <c r="U42" s="704">
        <f t="shared" si="13"/>
        <v>100</v>
      </c>
      <c r="V42" s="703" t="s">
        <v>14</v>
      </c>
      <c r="W42" s="704">
        <f t="shared" si="14"/>
        <v>100</v>
      </c>
      <c r="X42" s="1353"/>
      <c r="Y42" s="367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3"/>
      <c r="Q43" s="1350" t="str">
        <f t="shared" si="11"/>
        <v>内部装修维护情况</v>
      </c>
      <c r="R43" s="703" t="s">
        <v>14</v>
      </c>
      <c r="S43" s="704">
        <f t="shared" si="12"/>
        <v>100</v>
      </c>
      <c r="T43" s="703" t="s">
        <v>14</v>
      </c>
      <c r="U43" s="704">
        <f t="shared" si="13"/>
        <v>100</v>
      </c>
      <c r="V43" s="703" t="s">
        <v>14</v>
      </c>
      <c r="W43" s="704">
        <f t="shared" si="14"/>
        <v>100</v>
      </c>
      <c r="X43" s="1353"/>
      <c r="Y43" s="367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3"/>
      <c r="Q44" s="1341">
        <f t="shared" si="11"/>
        <v>111</v>
      </c>
      <c r="R44" s="699" t="s">
        <v>14</v>
      </c>
      <c r="S44" s="700">
        <f t="shared" si="12"/>
        <v>100</v>
      </c>
      <c r="T44" s="699" t="s">
        <v>14</v>
      </c>
      <c r="U44" s="700">
        <f t="shared" si="13"/>
        <v>100</v>
      </c>
      <c r="V44" s="699" t="s">
        <v>14</v>
      </c>
      <c r="W44" s="700">
        <f t="shared" si="14"/>
        <v>100</v>
      </c>
      <c r="X44" s="701"/>
      <c r="Y44" s="367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3"/>
      <c r="Q45" s="1350">
        <f t="shared" si="11"/>
        <v>111</v>
      </c>
      <c r="R45" s="703" t="s">
        <v>14</v>
      </c>
      <c r="S45" s="704">
        <f t="shared" si="12"/>
        <v>100</v>
      </c>
      <c r="T45" s="703" t="s">
        <v>14</v>
      </c>
      <c r="U45" s="704">
        <f t="shared" si="13"/>
        <v>100</v>
      </c>
      <c r="V45" s="703" t="s">
        <v>14</v>
      </c>
      <c r="W45" s="704">
        <f t="shared" si="14"/>
        <v>100</v>
      </c>
      <c r="X45" s="1353"/>
      <c r="Y45" s="367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4"/>
      <c r="Q46" s="1350">
        <f t="shared" si="11"/>
        <v>111</v>
      </c>
      <c r="R46" s="703" t="s">
        <v>14</v>
      </c>
      <c r="S46" s="704">
        <f t="shared" si="12"/>
        <v>100</v>
      </c>
      <c r="T46" s="703" t="s">
        <v>14</v>
      </c>
      <c r="U46" s="704">
        <f t="shared" si="13"/>
        <v>100</v>
      </c>
      <c r="V46" s="703" t="s">
        <v>14</v>
      </c>
      <c r="W46" s="704">
        <f t="shared" si="14"/>
        <v>100</v>
      </c>
      <c r="X46" s="1353"/>
      <c r="Y46" s="367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8" t="str">
        <f>A47</f>
        <v>成交单价（元/平方米）</v>
      </c>
      <c r="Q47" s="3668"/>
      <c r="R47" s="3699">
        <f>E47</f>
        <v>0</v>
      </c>
      <c r="S47" s="3699"/>
      <c r="T47" s="3699">
        <f>G47</f>
        <v>0</v>
      </c>
      <c r="U47" s="3699"/>
      <c r="V47" s="3699">
        <f>I47</f>
        <v>0</v>
      </c>
      <c r="W47" s="3699"/>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3426</v>
      </c>
      <c r="F1" s="1877" t="s">
        <v>3427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IF(C2="——",C50,ROUND(B2*10000/D3,0))</f>
        <v>#DIV/0!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7" t="s">
        <v>1775</v>
      </c>
      <c r="Q4" s="3718"/>
      <c r="R4" s="3721" t="s">
        <v>1771</v>
      </c>
      <c r="S4" s="3722"/>
      <c r="T4" s="3721" t="s">
        <v>1772</v>
      </c>
      <c r="U4" s="3722"/>
      <c r="V4" s="3723" t="s">
        <v>1773</v>
      </c>
      <c r="W4" s="3723"/>
      <c r="X4" s="1956"/>
      <c r="Y4" s="3721" t="s">
        <v>1775</v>
      </c>
      <c r="Z4" s="3722"/>
      <c r="AA4" s="3726" t="s">
        <v>1771</v>
      </c>
      <c r="AB4" s="3726" t="s">
        <v>1772</v>
      </c>
      <c r="AC4" s="3714" t="s">
        <v>1773</v>
      </c>
    </row>
    <row r="5" spans="1:29" ht="15">
      <c r="A5" s="358"/>
      <c r="B5" s="359"/>
      <c r="C5" s="3702" t="s">
        <v>1673</v>
      </c>
      <c r="D5" s="3703"/>
      <c r="E5" s="3727" t="s">
        <v>3458</v>
      </c>
      <c r="F5" s="3710"/>
      <c r="G5" s="3724" t="s">
        <v>3458</v>
      </c>
      <c r="H5" s="3703"/>
      <c r="I5" s="3724" t="s">
        <v>3461</v>
      </c>
      <c r="J5" s="3703"/>
      <c r="K5" s="559"/>
      <c r="L5" s="2713"/>
      <c r="M5" s="2714"/>
      <c r="N5" s="2714"/>
      <c r="O5" s="2714"/>
      <c r="P5" s="3719"/>
      <c r="Q5" s="3690"/>
      <c r="R5" s="3695"/>
      <c r="S5" s="3696"/>
      <c r="T5" s="3695"/>
      <c r="U5" s="3696"/>
      <c r="V5" s="3699"/>
      <c r="W5" s="3699"/>
      <c r="X5" s="1353"/>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720"/>
      <c r="Q6" s="3692"/>
      <c r="R6" s="3695"/>
      <c r="S6" s="3696"/>
      <c r="T6" s="3697"/>
      <c r="U6" s="3698"/>
      <c r="V6" s="3699"/>
      <c r="W6" s="3699"/>
      <c r="X6" s="1353"/>
      <c r="Y6" s="3697"/>
      <c r="Z6" s="3698"/>
      <c r="AA6" s="3682"/>
      <c r="AB6" s="3682"/>
      <c r="AC6" s="3716"/>
    </row>
    <row r="7" spans="1:29" s="108" customFormat="1" ht="15.75" thickBot="1">
      <c r="A7" s="362" t="s">
        <v>1679</v>
      </c>
      <c r="B7" s="363"/>
      <c r="C7" s="364">
        <f>'数据-取费表'!B2</f>
        <v>45236</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25"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1957" t="e">
        <f>D7/J7</f>
        <v>#DIV/0!</v>
      </c>
    </row>
    <row r="8" spans="1:29" s="108" customFormat="1" ht="15.75" thickBot="1">
      <c r="A8" s="362" t="s">
        <v>1681</v>
      </c>
      <c r="B8" s="363"/>
      <c r="C8" s="368" t="s">
        <v>3428</v>
      </c>
      <c r="D8" s="365">
        <v>100</v>
      </c>
      <c r="E8" s="368" t="s">
        <v>3430</v>
      </c>
      <c r="F8" s="367">
        <f>SUMIF(62:62,E8,63:63)-SUMIF(62:62,C8,63:63)+100</f>
        <v>103</v>
      </c>
      <c r="G8" s="368" t="s">
        <v>3430</v>
      </c>
      <c r="H8" s="365">
        <f>SUMIF(62:62,G8,63:63)-SUMIF(62:62,C8,63:63)+100</f>
        <v>103</v>
      </c>
      <c r="I8" s="368" t="s">
        <v>3430</v>
      </c>
      <c r="J8" s="365">
        <f>SUMIF(62:62,I8,63:63)-SUMIF(62:62,C8,63:63)+100</f>
        <v>103</v>
      </c>
      <c r="K8" s="560"/>
      <c r="L8" s="2715"/>
      <c r="M8" s="2716"/>
      <c r="N8" s="2716"/>
      <c r="O8" s="2716"/>
      <c r="P8" s="3725" t="s">
        <v>1683</v>
      </c>
      <c r="Q8" s="3705"/>
      <c r="R8" s="699" t="s">
        <v>14</v>
      </c>
      <c r="S8" s="700">
        <f t="shared" si="0"/>
        <v>103</v>
      </c>
      <c r="T8" s="699" t="s">
        <v>14</v>
      </c>
      <c r="U8" s="700">
        <f t="shared" si="1"/>
        <v>103</v>
      </c>
      <c r="V8" s="699" t="s">
        <v>14</v>
      </c>
      <c r="W8" s="700">
        <f t="shared" si="2"/>
        <v>103</v>
      </c>
      <c r="X8" s="701"/>
      <c r="Y8" s="3704" t="s">
        <v>1683</v>
      </c>
      <c r="Z8" s="3705"/>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3429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9"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9"/>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9"/>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9"/>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9"/>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9"/>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7" t="s">
        <v>1691</v>
      </c>
      <c r="Q15" s="1350" t="str">
        <f t="shared" si="6"/>
        <v>办公集聚程度</v>
      </c>
      <c r="R15" s="703" t="s">
        <v>14</v>
      </c>
      <c r="S15" s="704">
        <f t="shared" si="0"/>
        <v>100</v>
      </c>
      <c r="T15" s="703" t="s">
        <v>14</v>
      </c>
      <c r="U15" s="704">
        <f t="shared" si="1"/>
        <v>100</v>
      </c>
      <c r="V15" s="703" t="s">
        <v>14</v>
      </c>
      <c r="W15" s="704">
        <f t="shared" si="2"/>
        <v>100</v>
      </c>
      <c r="X15" s="1353"/>
      <c r="Y15" s="3670" t="s">
        <v>1691</v>
      </c>
      <c r="Z15" s="1354" t="str">
        <f t="shared" si="7"/>
        <v>办公集聚程度</v>
      </c>
      <c r="AA15" s="1351">
        <f t="shared" si="3"/>
        <v>1</v>
      </c>
      <c r="AB15" s="1351">
        <f t="shared" si="4"/>
        <v>1</v>
      </c>
      <c r="AC15" s="1960">
        <f t="shared" si="5"/>
        <v>1</v>
      </c>
    </row>
    <row r="16" spans="1:29" ht="15">
      <c r="A16" s="379"/>
      <c r="B16" s="578"/>
      <c r="C16" s="1902" t="s">
        <v>3456</v>
      </c>
      <c r="D16" s="399"/>
      <c r="E16" s="398" t="s">
        <v>3456</v>
      </c>
      <c r="F16" s="399"/>
      <c r="G16" s="398" t="s">
        <v>3456</v>
      </c>
      <c r="H16" s="401"/>
      <c r="I16" s="398" t="s">
        <v>3456</v>
      </c>
      <c r="J16" s="399"/>
      <c r="K16" s="564"/>
      <c r="L16" s="2720"/>
      <c r="M16" s="2714"/>
      <c r="N16" s="2714"/>
      <c r="O16" s="2714"/>
      <c r="P16" s="3678"/>
      <c r="Q16" s="1350"/>
      <c r="R16" s="703"/>
      <c r="S16" s="704"/>
      <c r="T16" s="703"/>
      <c r="U16" s="704"/>
      <c r="V16" s="703"/>
      <c r="W16" s="704"/>
      <c r="X16" s="1353"/>
      <c r="Y16" s="367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8"/>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960">
        <f t="shared" si="5"/>
        <v>1</v>
      </c>
    </row>
    <row r="18" spans="1:29" ht="15">
      <c r="A18" s="379"/>
      <c r="B18" s="580"/>
      <c r="C18" s="1962" t="s">
        <v>3456</v>
      </c>
      <c r="D18" s="401"/>
      <c r="E18" s="398" t="s">
        <v>3456</v>
      </c>
      <c r="F18" s="401"/>
      <c r="G18" s="398" t="s">
        <v>3456</v>
      </c>
      <c r="H18" s="399"/>
      <c r="I18" s="398" t="s">
        <v>3456</v>
      </c>
      <c r="J18" s="399"/>
      <c r="K18" s="564"/>
      <c r="L18" s="2720"/>
      <c r="M18" s="2714"/>
      <c r="N18" s="2714"/>
      <c r="O18" s="2714"/>
      <c r="P18" s="3678"/>
      <c r="Q18" s="1350"/>
      <c r="R18" s="703"/>
      <c r="S18" s="704"/>
      <c r="T18" s="703"/>
      <c r="U18" s="704"/>
      <c r="V18" s="703"/>
      <c r="W18" s="704"/>
      <c r="X18" s="1353"/>
      <c r="Y18" s="367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8"/>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960">
        <f t="shared" si="5"/>
        <v>1</v>
      </c>
    </row>
    <row r="20" spans="1:29" ht="15">
      <c r="A20" s="379"/>
      <c r="B20" s="580"/>
      <c r="C20" s="1902" t="s">
        <v>3456</v>
      </c>
      <c r="D20" s="399"/>
      <c r="E20" s="398" t="s">
        <v>3456</v>
      </c>
      <c r="F20" s="399"/>
      <c r="G20" s="398" t="s">
        <v>3456</v>
      </c>
      <c r="H20" s="399"/>
      <c r="I20" s="398" t="s">
        <v>3456</v>
      </c>
      <c r="J20" s="399"/>
      <c r="K20" s="564"/>
      <c r="L20" s="2720"/>
      <c r="M20" s="2714"/>
      <c r="N20" s="2714"/>
      <c r="O20" s="2714"/>
      <c r="P20" s="3678"/>
      <c r="Q20" s="1350"/>
      <c r="R20" s="703"/>
      <c r="S20" s="704"/>
      <c r="T20" s="703"/>
      <c r="U20" s="704"/>
      <c r="V20" s="703"/>
      <c r="W20" s="704"/>
      <c r="X20" s="1353"/>
      <c r="Y20" s="367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8"/>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960">
        <f t="shared" ref="AC21" si="10">D21/J21</f>
        <v>1</v>
      </c>
    </row>
    <row r="22" spans="1:29" ht="15">
      <c r="A22" s="379"/>
      <c r="B22" s="581"/>
      <c r="C22" s="1962" t="s">
        <v>3457</v>
      </c>
      <c r="D22" s="399"/>
      <c r="E22" s="1962" t="s">
        <v>3457</v>
      </c>
      <c r="F22" s="399"/>
      <c r="G22" s="1962" t="s">
        <v>3457</v>
      </c>
      <c r="H22" s="399"/>
      <c r="I22" s="1962" t="s">
        <v>3457</v>
      </c>
      <c r="J22" s="399"/>
      <c r="K22" s="1128"/>
      <c r="L22" s="2720"/>
      <c r="M22" s="2714"/>
      <c r="N22" s="2714"/>
      <c r="O22" s="2714"/>
      <c r="P22" s="3678"/>
      <c r="Q22" s="1350"/>
      <c r="R22" s="703"/>
      <c r="S22" s="704"/>
      <c r="T22" s="703"/>
      <c r="U22" s="704"/>
      <c r="V22" s="703"/>
      <c r="W22" s="704"/>
      <c r="X22" s="1353"/>
      <c r="Y22" s="367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8"/>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960">
        <f t="shared" si="5"/>
        <v>1</v>
      </c>
    </row>
    <row r="24" spans="1:29" ht="15">
      <c r="A24" s="379"/>
      <c r="B24" s="581"/>
      <c r="C24" s="1902" t="s">
        <v>3456</v>
      </c>
      <c r="D24" s="399"/>
      <c r="E24" s="1902" t="s">
        <v>3456</v>
      </c>
      <c r="F24" s="399"/>
      <c r="G24" s="1902" t="s">
        <v>3456</v>
      </c>
      <c r="H24" s="399"/>
      <c r="I24" s="1902" t="s">
        <v>3456</v>
      </c>
      <c r="J24" s="399"/>
      <c r="K24" s="564"/>
      <c r="L24" s="2720"/>
      <c r="M24" s="2714"/>
      <c r="N24" s="2714"/>
      <c r="O24" s="2714"/>
      <c r="P24" s="3678"/>
      <c r="Q24" s="1350"/>
      <c r="R24" s="703"/>
      <c r="S24" s="704"/>
      <c r="T24" s="703"/>
      <c r="U24" s="704"/>
      <c r="V24" s="703"/>
      <c r="W24" s="704"/>
      <c r="X24" s="1353"/>
      <c r="Y24" s="367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8"/>
      <c r="Q25" s="1350" t="str">
        <f>B25</f>
        <v>毗邻道路的类型与等级</v>
      </c>
      <c r="R25" s="703" t="s">
        <v>14</v>
      </c>
      <c r="S25" s="704">
        <f>F25</f>
        <v>100</v>
      </c>
      <c r="T25" s="703" t="s">
        <v>14</v>
      </c>
      <c r="U25" s="704">
        <f>H25</f>
        <v>100</v>
      </c>
      <c r="V25" s="703" t="s">
        <v>14</v>
      </c>
      <c r="W25" s="704">
        <f>J25</f>
        <v>100</v>
      </c>
      <c r="X25" s="1353"/>
      <c r="Y25" s="3671"/>
      <c r="Z25" s="1354" t="str">
        <f>Q25</f>
        <v>毗邻道路的类型与等级</v>
      </c>
      <c r="AA25" s="1351">
        <f t="shared" si="3"/>
        <v>1</v>
      </c>
      <c r="AB25" s="1351">
        <f t="shared" si="4"/>
        <v>1</v>
      </c>
      <c r="AC25" s="1960">
        <f t="shared" si="5"/>
        <v>1</v>
      </c>
    </row>
    <row r="26" spans="1:29" ht="15">
      <c r="A26" s="358"/>
      <c r="B26" s="580"/>
      <c r="C26" s="582" t="s">
        <v>3433</v>
      </c>
      <c r="D26" s="386"/>
      <c r="E26" s="582" t="s">
        <v>3433</v>
      </c>
      <c r="F26" s="386"/>
      <c r="G26" s="582" t="s">
        <v>3433</v>
      </c>
      <c r="H26" s="386"/>
      <c r="I26" s="582" t="s">
        <v>3433</v>
      </c>
      <c r="J26" s="386"/>
      <c r="K26" s="564"/>
      <c r="L26" s="2720"/>
      <c r="M26" s="2714"/>
      <c r="N26" s="2714"/>
      <c r="O26" s="2714"/>
      <c r="P26" s="3678"/>
      <c r="Q26" s="1350"/>
      <c r="R26" s="703"/>
      <c r="S26" s="704"/>
      <c r="T26" s="703"/>
      <c r="U26" s="704"/>
      <c r="V26" s="703"/>
      <c r="W26" s="704"/>
      <c r="X26" s="1353"/>
      <c r="Y26" s="3671"/>
      <c r="Z26" s="1354"/>
      <c r="AA26" s="1351">
        <v>1</v>
      </c>
      <c r="AB26" s="1351">
        <v>1</v>
      </c>
      <c r="AC26" s="1960">
        <v>1</v>
      </c>
    </row>
    <row r="27" spans="1:29" ht="15.75" thickBot="1">
      <c r="A27" s="379"/>
      <c r="B27" s="580" t="s">
        <v>1783</v>
      </c>
      <c r="C27" s="582" t="s">
        <v>3438</v>
      </c>
      <c r="D27" s="386">
        <v>100</v>
      </c>
      <c r="E27" s="582" t="s">
        <v>3441</v>
      </c>
      <c r="F27" s="386">
        <f>SUMIF(89:89,E27,90:90)-SUMIF(89:89,C27,90:90)+100</f>
        <v>96</v>
      </c>
      <c r="G27" s="582" t="s">
        <v>3441</v>
      </c>
      <c r="H27" s="386">
        <f>SUMIF(89:89,G27,90:90)-SUMIF(89:89,C27,90:90)+100</f>
        <v>96</v>
      </c>
      <c r="I27" s="582" t="s">
        <v>3438</v>
      </c>
      <c r="J27" s="386">
        <f>SUMIF(89:89,I27,90:90)-SUMIF(89:89,C27,90:90)+100</f>
        <v>100</v>
      </c>
      <c r="K27" s="561">
        <v>2</v>
      </c>
      <c r="L27" s="2720"/>
      <c r="M27" s="2714"/>
      <c r="N27" s="2714"/>
      <c r="O27" s="2714"/>
      <c r="P27" s="3678"/>
      <c r="Q27" s="1350" t="str">
        <f t="shared" ref="Q27:Q47" si="11">B27</f>
        <v>楼层</v>
      </c>
      <c r="R27" s="703" t="s">
        <v>14</v>
      </c>
      <c r="S27" s="704">
        <f>F27</f>
        <v>96</v>
      </c>
      <c r="T27" s="703" t="s">
        <v>14</v>
      </c>
      <c r="U27" s="704">
        <f>H27</f>
        <v>96</v>
      </c>
      <c r="V27" s="703" t="s">
        <v>14</v>
      </c>
      <c r="W27" s="704">
        <f>J27</f>
        <v>100</v>
      </c>
      <c r="X27" s="1353"/>
      <c r="Y27" s="3671"/>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8"/>
      <c r="Q28" s="1341" t="str">
        <f t="shared" si="11"/>
        <v>朝向</v>
      </c>
      <c r="R28" s="699" t="s">
        <v>14</v>
      </c>
      <c r="S28" s="700">
        <f>F28</f>
        <v>100</v>
      </c>
      <c r="T28" s="699" t="s">
        <v>14</v>
      </c>
      <c r="U28" s="700">
        <f>H28</f>
        <v>100</v>
      </c>
      <c r="V28" s="699" t="s">
        <v>14</v>
      </c>
      <c r="W28" s="700">
        <f>J28</f>
        <v>100</v>
      </c>
      <c r="X28" s="701"/>
      <c r="Y28" s="367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8"/>
      <c r="Q29" s="1350">
        <f t="shared" si="11"/>
        <v>111</v>
      </c>
      <c r="R29" s="703" t="s">
        <v>14</v>
      </c>
      <c r="S29" s="704">
        <f t="shared" ref="S29:S47" si="12">F29</f>
        <v>100</v>
      </c>
      <c r="T29" s="703" t="s">
        <v>14</v>
      </c>
      <c r="U29" s="704">
        <f t="shared" ref="U29:U47" si="13">H29</f>
        <v>100</v>
      </c>
      <c r="V29" s="703" t="s">
        <v>14</v>
      </c>
      <c r="W29" s="704">
        <f t="shared" ref="W29:W47" si="14">J29</f>
        <v>100</v>
      </c>
      <c r="X29" s="1353"/>
      <c r="Y29" s="367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8"/>
      <c r="Q30" s="1350">
        <f t="shared" si="11"/>
        <v>111</v>
      </c>
      <c r="R30" s="703" t="s">
        <v>14</v>
      </c>
      <c r="S30" s="704">
        <f t="shared" si="12"/>
        <v>100</v>
      </c>
      <c r="T30" s="703" t="s">
        <v>14</v>
      </c>
      <c r="U30" s="704">
        <f t="shared" si="13"/>
        <v>100</v>
      </c>
      <c r="V30" s="703" t="s">
        <v>14</v>
      </c>
      <c r="W30" s="704">
        <f t="shared" si="14"/>
        <v>100</v>
      </c>
      <c r="X30" s="1353"/>
      <c r="Y30" s="367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8"/>
      <c r="Q31" s="1350">
        <f t="shared" si="11"/>
        <v>111</v>
      </c>
      <c r="R31" s="703" t="s">
        <v>14</v>
      </c>
      <c r="S31" s="704">
        <f t="shared" si="12"/>
        <v>100</v>
      </c>
      <c r="T31" s="703" t="s">
        <v>14</v>
      </c>
      <c r="U31" s="704">
        <f t="shared" si="13"/>
        <v>100</v>
      </c>
      <c r="V31" s="703" t="s">
        <v>14</v>
      </c>
      <c r="W31" s="704">
        <f t="shared" si="14"/>
        <v>100</v>
      </c>
      <c r="X31" s="1353"/>
      <c r="Y31" s="367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8"/>
      <c r="Q32" s="1350">
        <f t="shared" si="11"/>
        <v>111</v>
      </c>
      <c r="R32" s="703" t="s">
        <v>14</v>
      </c>
      <c r="S32" s="704">
        <f t="shared" si="12"/>
        <v>100</v>
      </c>
      <c r="T32" s="703" t="s">
        <v>14</v>
      </c>
      <c r="U32" s="704">
        <f t="shared" si="13"/>
        <v>100</v>
      </c>
      <c r="V32" s="703" t="s">
        <v>14</v>
      </c>
      <c r="W32" s="704">
        <f t="shared" si="14"/>
        <v>100</v>
      </c>
      <c r="X32" s="1353"/>
      <c r="Y32" s="3671"/>
      <c r="Z32" s="1354">
        <f t="shared" si="15"/>
        <v>111</v>
      </c>
      <c r="AA32" s="1351">
        <f t="shared" si="3"/>
        <v>1</v>
      </c>
      <c r="AB32" s="1351">
        <f t="shared" si="4"/>
        <v>1</v>
      </c>
      <c r="AC32" s="1960">
        <f t="shared" si="5"/>
        <v>1</v>
      </c>
    </row>
    <row r="33" spans="1:29" ht="15">
      <c r="A33" s="391" t="s">
        <v>1694</v>
      </c>
      <c r="B33" s="63" t="s">
        <v>1817</v>
      </c>
      <c r="C33" s="1965" t="s">
        <v>3443</v>
      </c>
      <c r="D33" s="418">
        <v>100</v>
      </c>
      <c r="E33" s="1965" t="s">
        <v>3443</v>
      </c>
      <c r="F33" s="412">
        <f>SUMIF(101:101,E33,102:102)-SUMIF(101:101,C33,102:102)+100</f>
        <v>100</v>
      </c>
      <c r="G33" s="1965" t="s">
        <v>3443</v>
      </c>
      <c r="H33" s="386">
        <f>SUMIF(101:101,G33,102:102)-SUMIF(101:101,C33,102:102)+100</f>
        <v>100</v>
      </c>
      <c r="I33" s="1965" t="s">
        <v>3443</v>
      </c>
      <c r="J33" s="418">
        <f>SUMIF(101:101,I33,102:102)-SUMIF(101:101,C33,102:102)+100</f>
        <v>100</v>
      </c>
      <c r="K33" s="561"/>
      <c r="L33" s="2720"/>
      <c r="M33" s="2714"/>
      <c r="N33" s="2714"/>
      <c r="O33" s="2714"/>
      <c r="P33" s="3672" t="s">
        <v>1696</v>
      </c>
      <c r="Q33" s="1350" t="str">
        <f t="shared" si="11"/>
        <v>建筑类型</v>
      </c>
      <c r="R33" s="703" t="s">
        <v>14</v>
      </c>
      <c r="S33" s="704">
        <f t="shared" si="12"/>
        <v>100</v>
      </c>
      <c r="T33" s="703" t="s">
        <v>14</v>
      </c>
      <c r="U33" s="704">
        <f t="shared" si="13"/>
        <v>100</v>
      </c>
      <c r="V33" s="703" t="s">
        <v>14</v>
      </c>
      <c r="W33" s="704">
        <f t="shared" si="14"/>
        <v>100</v>
      </c>
      <c r="X33" s="1353"/>
      <c r="Y33" s="367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31701.279999999999</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73"/>
      <c r="Q34" s="705" t="str">
        <f t="shared" si="11"/>
        <v>项目建筑规模</v>
      </c>
      <c r="R34" s="706" t="s">
        <v>14</v>
      </c>
      <c r="S34" s="707">
        <f t="shared" si="12"/>
        <v>100</v>
      </c>
      <c r="T34" s="706" t="s">
        <v>14</v>
      </c>
      <c r="U34" s="707">
        <f t="shared" si="13"/>
        <v>100</v>
      </c>
      <c r="V34" s="706" t="s">
        <v>14</v>
      </c>
      <c r="W34" s="707">
        <f t="shared" si="14"/>
        <v>100</v>
      </c>
      <c r="X34" s="708"/>
      <c r="Y34" s="3675"/>
      <c r="Z34" s="709" t="str">
        <f t="shared" si="15"/>
        <v>项目建筑规模</v>
      </c>
      <c r="AA34" s="1351">
        <f t="shared" si="3"/>
        <v>1</v>
      </c>
      <c r="AB34" s="1351">
        <f t="shared" si="4"/>
        <v>1</v>
      </c>
      <c r="AC34" s="1960">
        <f t="shared" si="5"/>
        <v>1</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673"/>
      <c r="Q35" s="1350" t="str">
        <f t="shared" si="11"/>
        <v>建筑结构</v>
      </c>
      <c r="R35" s="703" t="s">
        <v>14</v>
      </c>
      <c r="S35" s="704">
        <f t="shared" si="12"/>
        <v>100</v>
      </c>
      <c r="T35" s="703" t="s">
        <v>14</v>
      </c>
      <c r="U35" s="704">
        <f t="shared" si="13"/>
        <v>100</v>
      </c>
      <c r="V35" s="703" t="s">
        <v>14</v>
      </c>
      <c r="W35" s="704">
        <f t="shared" si="14"/>
        <v>100</v>
      </c>
      <c r="X35" s="1353"/>
      <c r="Y35" s="3675"/>
      <c r="Z35" s="1354" t="str">
        <f t="shared" si="15"/>
        <v>建筑结构</v>
      </c>
      <c r="AA35" s="1351">
        <f t="shared" si="3"/>
        <v>1</v>
      </c>
      <c r="AB35" s="1351">
        <f t="shared" si="4"/>
        <v>1</v>
      </c>
      <c r="AC35" s="1960">
        <f t="shared" si="5"/>
        <v>1</v>
      </c>
    </row>
    <row r="36" spans="1:29" ht="15">
      <c r="A36" s="423"/>
      <c r="B36" s="375" t="s">
        <v>1785</v>
      </c>
      <c r="C36" s="411" t="s">
        <v>3446</v>
      </c>
      <c r="D36" s="386">
        <v>100</v>
      </c>
      <c r="E36" s="411" t="s">
        <v>3446</v>
      </c>
      <c r="F36" s="412">
        <f>SUMIF(108:108,E36,109:109)-SUMIF(108:108,C36,109:109)+100</f>
        <v>100</v>
      </c>
      <c r="G36" s="3451" t="s">
        <v>3447</v>
      </c>
      <c r="H36" s="386">
        <f>SUMIF(108:108,G36,109:109)-SUMIF(108:108,C36,109:109)+100</f>
        <v>100</v>
      </c>
      <c r="I36" s="411" t="s">
        <v>3446</v>
      </c>
      <c r="J36" s="386">
        <f>SUMIF(108:108,I36,109:109)-SUMIF(108:108,C36,109:109)+100</f>
        <v>100</v>
      </c>
      <c r="K36" s="561">
        <v>1</v>
      </c>
      <c r="L36" s="2720"/>
      <c r="M36" s="2714"/>
      <c r="N36" s="2714"/>
      <c r="O36" s="2714"/>
      <c r="P36" s="3673"/>
      <c r="Q36" s="1350" t="str">
        <f t="shared" si="11"/>
        <v>公共部分装修</v>
      </c>
      <c r="R36" s="703" t="s">
        <v>14</v>
      </c>
      <c r="S36" s="704">
        <f t="shared" si="12"/>
        <v>100</v>
      </c>
      <c r="T36" s="703" t="s">
        <v>14</v>
      </c>
      <c r="U36" s="704">
        <f t="shared" si="13"/>
        <v>100</v>
      </c>
      <c r="V36" s="703" t="s">
        <v>14</v>
      </c>
      <c r="W36" s="704">
        <f t="shared" si="14"/>
        <v>100</v>
      </c>
      <c r="X36" s="1353"/>
      <c r="Y36" s="3675"/>
      <c r="Z36" s="1354" t="str">
        <f t="shared" si="15"/>
        <v>公共部分装修</v>
      </c>
      <c r="AA36" s="1351">
        <f t="shared" si="3"/>
        <v>1</v>
      </c>
      <c r="AB36" s="1351">
        <f t="shared" si="4"/>
        <v>1</v>
      </c>
      <c r="AC36" s="1960">
        <f t="shared" si="5"/>
        <v>1</v>
      </c>
    </row>
    <row r="37" spans="1:29" ht="15">
      <c r="A37" s="423"/>
      <c r="B37" s="375" t="s">
        <v>1786</v>
      </c>
      <c r="C37" s="425">
        <f>'数据-取费表'!N6</f>
        <v>0.84</v>
      </c>
      <c r="D37" s="386">
        <v>100</v>
      </c>
      <c r="E37" s="425">
        <f>C37</f>
        <v>0.84</v>
      </c>
      <c r="F37" s="412">
        <f>LOOKUP(E37,111:111,112:112)-LOOKUP(C37,111:111,112:112)+100</f>
        <v>100</v>
      </c>
      <c r="G37" s="425">
        <f>E37</f>
        <v>0.84</v>
      </c>
      <c r="H37" s="412">
        <f>LOOKUP(G37,111:111,112:112)-LOOKUP(C37,111:111,112:112)+100</f>
        <v>100</v>
      </c>
      <c r="I37" s="425">
        <f>G37</f>
        <v>0.84</v>
      </c>
      <c r="J37" s="386">
        <f>LOOKUP(I37,111:111,112:112)-LOOKUP(C37,111:111,112:112)+100</f>
        <v>100</v>
      </c>
      <c r="K37" s="561">
        <v>1</v>
      </c>
      <c r="L37" s="2720"/>
      <c r="M37" s="2714"/>
      <c r="N37" s="2714"/>
      <c r="O37" s="2714"/>
      <c r="P37" s="3673"/>
      <c r="Q37" s="1350" t="str">
        <f t="shared" si="11"/>
        <v>成新度</v>
      </c>
      <c r="R37" s="703" t="s">
        <v>14</v>
      </c>
      <c r="S37" s="704">
        <f t="shared" si="12"/>
        <v>100</v>
      </c>
      <c r="T37" s="703" t="s">
        <v>14</v>
      </c>
      <c r="U37" s="704">
        <f t="shared" si="13"/>
        <v>100</v>
      </c>
      <c r="V37" s="703" t="s">
        <v>14</v>
      </c>
      <c r="W37" s="704">
        <f t="shared" si="14"/>
        <v>100</v>
      </c>
      <c r="X37" s="1353"/>
      <c r="Y37" s="3675"/>
      <c r="Z37" s="1354" t="str">
        <f t="shared" si="15"/>
        <v>成新度</v>
      </c>
      <c r="AA37" s="1351">
        <f t="shared" si="3"/>
        <v>1</v>
      </c>
      <c r="AB37" s="1351">
        <f t="shared" si="4"/>
        <v>1</v>
      </c>
      <c r="AC37" s="1960">
        <f t="shared" si="5"/>
        <v>1</v>
      </c>
    </row>
    <row r="38" spans="1:29" s="108" customFormat="1" ht="15">
      <c r="A38" s="424"/>
      <c r="B38" s="375" t="s">
        <v>1818</v>
      </c>
      <c r="C38" s="411" t="s">
        <v>3448</v>
      </c>
      <c r="D38" s="127">
        <v>100</v>
      </c>
      <c r="E38" s="411" t="s">
        <v>3448</v>
      </c>
      <c r="F38" s="412">
        <f>SUMIF(113:113,E38,114:114)-SUMIF(113:113,C38,114:114)+100</f>
        <v>100</v>
      </c>
      <c r="G38" s="411" t="s">
        <v>3448</v>
      </c>
      <c r="H38" s="386">
        <f>SUMIF(113:113,G38,114:114)-SUMIF(113:113,C38,114:114)+100</f>
        <v>100</v>
      </c>
      <c r="I38" s="411" t="s">
        <v>3448</v>
      </c>
      <c r="J38" s="386">
        <f>SUMIF(113:113,I38,114:114)-SUMIF(113:113,C38,114:114)+100</f>
        <v>100</v>
      </c>
      <c r="K38" s="561">
        <v>1</v>
      </c>
      <c r="L38" s="2715"/>
      <c r="M38" s="2716"/>
      <c r="N38" s="2716"/>
      <c r="O38" s="2716"/>
      <c r="P38" s="3673"/>
      <c r="Q38" s="1341" t="str">
        <f t="shared" si="11"/>
        <v>写字楼等级</v>
      </c>
      <c r="R38" s="699" t="s">
        <v>14</v>
      </c>
      <c r="S38" s="700">
        <f t="shared" si="12"/>
        <v>100</v>
      </c>
      <c r="T38" s="699" t="s">
        <v>14</v>
      </c>
      <c r="U38" s="700">
        <f t="shared" si="13"/>
        <v>100</v>
      </c>
      <c r="V38" s="699" t="s">
        <v>14</v>
      </c>
      <c r="W38" s="700">
        <f t="shared" si="14"/>
        <v>100</v>
      </c>
      <c r="X38" s="701"/>
      <c r="Y38" s="3675"/>
      <c r="Z38" s="52" t="str">
        <f t="shared" si="15"/>
        <v>写字楼等级</v>
      </c>
      <c r="AA38" s="702">
        <f t="shared" si="3"/>
        <v>1</v>
      </c>
      <c r="AB38" s="702">
        <f t="shared" si="4"/>
        <v>1</v>
      </c>
      <c r="AC38" s="1957">
        <f t="shared" si="5"/>
        <v>1</v>
      </c>
    </row>
    <row r="39" spans="1:29" ht="15">
      <c r="A39" s="423"/>
      <c r="B39" s="375" t="s">
        <v>1819</v>
      </c>
      <c r="C39" s="411" t="s">
        <v>3450</v>
      </c>
      <c r="D39" s="386">
        <v>100</v>
      </c>
      <c r="E39" s="411" t="s">
        <v>3450</v>
      </c>
      <c r="F39" s="412">
        <f>SUMIF(115:115,E39,116:116)-SUMIF(115:115,C39,116:116)+100</f>
        <v>100</v>
      </c>
      <c r="G39" s="411" t="s">
        <v>3450</v>
      </c>
      <c r="H39" s="386">
        <f>SUMIF(115:115,G39,116:116)-SUMIF(115:115,C39,116:116)+100</f>
        <v>100</v>
      </c>
      <c r="I39" s="411" t="s">
        <v>3450</v>
      </c>
      <c r="J39" s="386">
        <f>SUMIF(115:115,I39,116:116)-SUMIF(115:115,C39,116:116)+100</f>
        <v>100</v>
      </c>
      <c r="K39" s="561">
        <v>1</v>
      </c>
      <c r="L39" s="2720"/>
      <c r="M39" s="2714"/>
      <c r="N39" s="2714"/>
      <c r="O39" s="2714"/>
      <c r="P39" s="3673" t="s">
        <v>1696</v>
      </c>
      <c r="Q39" s="1350" t="str">
        <f t="shared" si="11"/>
        <v>物业管理</v>
      </c>
      <c r="R39" s="703" t="s">
        <v>14</v>
      </c>
      <c r="S39" s="704">
        <f t="shared" si="12"/>
        <v>100</v>
      </c>
      <c r="T39" s="703" t="s">
        <v>14</v>
      </c>
      <c r="U39" s="704">
        <f t="shared" si="13"/>
        <v>100</v>
      </c>
      <c r="V39" s="703" t="s">
        <v>14</v>
      </c>
      <c r="W39" s="704">
        <f t="shared" si="14"/>
        <v>100</v>
      </c>
      <c r="X39" s="1353"/>
      <c r="Y39" s="3675" t="s">
        <v>1696</v>
      </c>
      <c r="Z39" s="1354" t="str">
        <f t="shared" si="15"/>
        <v>物业管理</v>
      </c>
      <c r="AA39" s="1351">
        <f t="shared" si="3"/>
        <v>1</v>
      </c>
      <c r="AB39" s="1351">
        <f t="shared" si="4"/>
        <v>1</v>
      </c>
      <c r="AC39" s="1960">
        <f t="shared" si="5"/>
        <v>1</v>
      </c>
    </row>
    <row r="40" spans="1:29" ht="15">
      <c r="A40" s="423"/>
      <c r="B40" s="375" t="s">
        <v>1787</v>
      </c>
      <c r="C40" s="411" t="s">
        <v>3452</v>
      </c>
      <c r="D40" s="386">
        <v>100</v>
      </c>
      <c r="E40" s="411" t="s">
        <v>3452</v>
      </c>
      <c r="F40" s="412">
        <f>SUMIF(117:117,E40,118:118)-SUMIF(117:117,C40,118:118)+100</f>
        <v>100</v>
      </c>
      <c r="G40" s="411" t="s">
        <v>3452</v>
      </c>
      <c r="H40" s="386">
        <f>SUMIF(117:117,G40,118:118)-SUMIF(117:117,C40,118:118)+100</f>
        <v>100</v>
      </c>
      <c r="I40" s="411" t="s">
        <v>3452</v>
      </c>
      <c r="J40" s="386">
        <f>SUMIF(117:117,I40,118:118)-SUMIF(117:117,C40,118:118)+100</f>
        <v>100</v>
      </c>
      <c r="K40" s="561">
        <v>1</v>
      </c>
      <c r="L40" s="2720"/>
      <c r="M40" s="2714"/>
      <c r="N40" s="2714"/>
      <c r="O40" s="2714"/>
      <c r="P40" s="3673"/>
      <c r="Q40" s="1350" t="str">
        <f t="shared" si="11"/>
        <v>市政基础设施</v>
      </c>
      <c r="R40" s="703" t="s">
        <v>14</v>
      </c>
      <c r="S40" s="704">
        <f t="shared" si="12"/>
        <v>100</v>
      </c>
      <c r="T40" s="703" t="s">
        <v>14</v>
      </c>
      <c r="U40" s="704">
        <f t="shared" si="13"/>
        <v>100</v>
      </c>
      <c r="V40" s="703" t="s">
        <v>14</v>
      </c>
      <c r="W40" s="704">
        <f t="shared" si="14"/>
        <v>100</v>
      </c>
      <c r="X40" s="1353"/>
      <c r="Y40" s="367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3"/>
      <c r="Q41" s="1350" t="str">
        <f t="shared" si="11"/>
        <v>层高</v>
      </c>
      <c r="R41" s="703" t="s">
        <v>14</v>
      </c>
      <c r="S41" s="704">
        <f t="shared" si="12"/>
        <v>100</v>
      </c>
      <c r="T41" s="703" t="s">
        <v>14</v>
      </c>
      <c r="U41" s="704">
        <f t="shared" si="13"/>
        <v>100</v>
      </c>
      <c r="V41" s="703" t="s">
        <v>14</v>
      </c>
      <c r="W41" s="704">
        <f t="shared" si="14"/>
        <v>100</v>
      </c>
      <c r="X41" s="1353"/>
      <c r="Y41" s="367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3"/>
      <c r="Q42" s="705" t="str">
        <f t="shared" si="11"/>
        <v>单套建筑面积</v>
      </c>
      <c r="R42" s="706" t="s">
        <v>14</v>
      </c>
      <c r="S42" s="707">
        <f t="shared" si="12"/>
        <v>100</v>
      </c>
      <c r="T42" s="706" t="s">
        <v>14</v>
      </c>
      <c r="U42" s="707">
        <f t="shared" si="13"/>
        <v>100</v>
      </c>
      <c r="V42" s="706" t="s">
        <v>14</v>
      </c>
      <c r="W42" s="707">
        <f t="shared" si="14"/>
        <v>100</v>
      </c>
      <c r="X42" s="708"/>
      <c r="Y42" s="3675"/>
      <c r="Z42" s="709" t="str">
        <f t="shared" si="15"/>
        <v>单套建筑面积</v>
      </c>
      <c r="AA42" s="1351">
        <f t="shared" si="3"/>
        <v>1</v>
      </c>
      <c r="AB42" s="1351">
        <f t="shared" si="4"/>
        <v>1</v>
      </c>
      <c r="AC42" s="1960">
        <f t="shared" si="5"/>
        <v>1</v>
      </c>
    </row>
    <row r="43" spans="1:29" ht="15">
      <c r="A43" s="423"/>
      <c r="B43" s="375" t="s">
        <v>1792</v>
      </c>
      <c r="C43" s="411" t="s">
        <v>3446</v>
      </c>
      <c r="D43" s="386">
        <v>100</v>
      </c>
      <c r="E43" s="411" t="s">
        <v>3453</v>
      </c>
      <c r="F43" s="412">
        <f>SUMIF(123:123,E43,124:124)-SUMIF(123:123,C43,124:124)+100</f>
        <v>98</v>
      </c>
      <c r="G43" s="411" t="s">
        <v>3453</v>
      </c>
      <c r="H43" s="386">
        <f>SUMIF(123:123,G43,124:124)-SUMIF(123:123,C43,124:124)+100</f>
        <v>98</v>
      </c>
      <c r="I43" s="411" t="s">
        <v>3446</v>
      </c>
      <c r="J43" s="386">
        <f>SUMIF(123:123,I43,124:124)-SUMIF(123:123,C43,124:124)+100</f>
        <v>100</v>
      </c>
      <c r="K43" s="561">
        <v>2</v>
      </c>
      <c r="L43" s="2720"/>
      <c r="M43" s="2714"/>
      <c r="N43" s="2714"/>
      <c r="O43" s="2714"/>
      <c r="P43" s="3673"/>
      <c r="Q43" s="1350" t="str">
        <f t="shared" si="11"/>
        <v>内部装修</v>
      </c>
      <c r="R43" s="703" t="s">
        <v>14</v>
      </c>
      <c r="S43" s="704">
        <f t="shared" si="12"/>
        <v>98</v>
      </c>
      <c r="T43" s="703" t="s">
        <v>14</v>
      </c>
      <c r="U43" s="704">
        <f t="shared" si="13"/>
        <v>98</v>
      </c>
      <c r="V43" s="703" t="s">
        <v>14</v>
      </c>
      <c r="W43" s="704">
        <f t="shared" si="14"/>
        <v>100</v>
      </c>
      <c r="X43" s="1353"/>
      <c r="Y43" s="3675"/>
      <c r="Z43" s="1354" t="str">
        <f t="shared" si="15"/>
        <v>内部装修</v>
      </c>
      <c r="AA43" s="1351">
        <f t="shared" si="3"/>
        <v>1.0204081632653061</v>
      </c>
      <c r="AB43" s="1351">
        <f t="shared" si="4"/>
        <v>1.0204081632653061</v>
      </c>
      <c r="AC43" s="1960">
        <f t="shared" si="5"/>
        <v>1</v>
      </c>
    </row>
    <row r="44" spans="1:29" ht="15.75" thickBot="1">
      <c r="A44" s="423"/>
      <c r="B44" s="375" t="s">
        <v>1707</v>
      </c>
      <c r="C44" s="411" t="s">
        <v>3456</v>
      </c>
      <c r="D44" s="386">
        <v>100</v>
      </c>
      <c r="E44" s="411" t="s">
        <v>3456</v>
      </c>
      <c r="F44" s="412">
        <f>SUMIF(125:125,E44,126:126)-SUMIF(125:125,C44,126:126)+100</f>
        <v>100</v>
      </c>
      <c r="G44" s="411" t="s">
        <v>3456</v>
      </c>
      <c r="H44" s="386">
        <f>SUMIF(125:125,G44,126:126)-SUMIF(125:125,C44,126:126)+100</f>
        <v>100</v>
      </c>
      <c r="I44" s="411" t="s">
        <v>3456</v>
      </c>
      <c r="J44" s="386">
        <f>SUMIF(125:125,I44,126:126)-SUMIF(125:125,C44,126:126)+100</f>
        <v>100</v>
      </c>
      <c r="K44" s="561">
        <v>1</v>
      </c>
      <c r="L44" s="2720"/>
      <c r="M44" s="2714"/>
      <c r="N44" s="2714"/>
      <c r="O44" s="2714"/>
      <c r="P44" s="3673"/>
      <c r="Q44" s="1350" t="str">
        <f t="shared" si="11"/>
        <v>内部装修维护情况</v>
      </c>
      <c r="R44" s="703" t="s">
        <v>14</v>
      </c>
      <c r="S44" s="704">
        <f t="shared" si="12"/>
        <v>100</v>
      </c>
      <c r="T44" s="703" t="s">
        <v>14</v>
      </c>
      <c r="U44" s="704">
        <f t="shared" si="13"/>
        <v>100</v>
      </c>
      <c r="V44" s="703" t="s">
        <v>14</v>
      </c>
      <c r="W44" s="704">
        <f t="shared" si="14"/>
        <v>100</v>
      </c>
      <c r="X44" s="1353"/>
      <c r="Y44" s="367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3"/>
      <c r="Q45" s="1341">
        <f t="shared" si="11"/>
        <v>111</v>
      </c>
      <c r="R45" s="699" t="s">
        <v>14</v>
      </c>
      <c r="S45" s="700">
        <f t="shared" si="12"/>
        <v>100</v>
      </c>
      <c r="T45" s="699" t="s">
        <v>14</v>
      </c>
      <c r="U45" s="700">
        <f t="shared" si="13"/>
        <v>100</v>
      </c>
      <c r="V45" s="699" t="s">
        <v>14</v>
      </c>
      <c r="W45" s="700">
        <f t="shared" si="14"/>
        <v>100</v>
      </c>
      <c r="X45" s="701"/>
      <c r="Y45" s="367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3"/>
      <c r="Q46" s="1350">
        <f t="shared" si="11"/>
        <v>111</v>
      </c>
      <c r="R46" s="703" t="s">
        <v>14</v>
      </c>
      <c r="S46" s="704">
        <f t="shared" si="12"/>
        <v>100</v>
      </c>
      <c r="T46" s="703" t="s">
        <v>14</v>
      </c>
      <c r="U46" s="704">
        <f t="shared" si="13"/>
        <v>100</v>
      </c>
      <c r="V46" s="703" t="s">
        <v>14</v>
      </c>
      <c r="W46" s="704">
        <f t="shared" si="14"/>
        <v>100</v>
      </c>
      <c r="X46" s="1353"/>
      <c r="Y46" s="367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4"/>
      <c r="Q47" s="1350">
        <f t="shared" si="11"/>
        <v>111</v>
      </c>
      <c r="R47" s="703" t="s">
        <v>14</v>
      </c>
      <c r="S47" s="704">
        <f t="shared" si="12"/>
        <v>100</v>
      </c>
      <c r="T47" s="703" t="s">
        <v>14</v>
      </c>
      <c r="U47" s="704">
        <f t="shared" si="13"/>
        <v>100</v>
      </c>
      <c r="V47" s="703" t="s">
        <v>14</v>
      </c>
      <c r="W47" s="704">
        <f t="shared" si="14"/>
        <v>100</v>
      </c>
      <c r="X47" s="1353"/>
      <c r="Y47" s="3676"/>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79" t="str">
        <f>A48</f>
        <v>成交单价（元/平方米）</v>
      </c>
      <c r="Q48" s="3668"/>
      <c r="R48" s="3669">
        <f>E48</f>
        <v>40004</v>
      </c>
      <c r="S48" s="3669"/>
      <c r="T48" s="3669">
        <f>G48</f>
        <v>40000</v>
      </c>
      <c r="U48" s="3669"/>
      <c r="V48" s="3669">
        <f>I48</f>
        <v>49943</v>
      </c>
      <c r="W48" s="366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3432</v>
      </c>
      <c r="D87" s="3449" t="s">
        <v>3434</v>
      </c>
      <c r="E87" s="3449" t="s">
        <v>3435</v>
      </c>
      <c r="F87" s="3449" t="s">
        <v>3436</v>
      </c>
      <c r="G87" s="3449" t="s">
        <v>3437</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3439</v>
      </c>
      <c r="D89" s="3449" t="s">
        <v>3440</v>
      </c>
      <c r="E89" s="3449" t="s">
        <v>3442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3447</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3449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3452</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3447</v>
      </c>
      <c r="D123" s="3449" t="s">
        <v>3454</v>
      </c>
      <c r="E123" s="3449" t="s">
        <v>3455</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36157.11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1"/>
      <c r="M5" s="912"/>
      <c r="N5" s="912"/>
      <c r="O5" s="912"/>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1"/>
      <c r="M6" s="912"/>
      <c r="N6" s="912"/>
      <c r="O6" s="912"/>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45236</v>
      </c>
      <c r="D7" s="365">
        <v>100</v>
      </c>
      <c r="E7" s="366"/>
      <c r="F7" s="367">
        <f>SUMIF(52:52,YEAR(E7)&amp;"-"&amp;MONTH(E7),53:53)</f>
        <v>0</v>
      </c>
      <c r="G7" s="366"/>
      <c r="H7" s="365">
        <f>SUMIF(52:52,YEAR(G7)&amp;"-"&amp;MONTH(G7),53:53)</f>
        <v>0</v>
      </c>
      <c r="I7" s="366"/>
      <c r="J7" s="365">
        <f>SUMIF(52:52,YEAR(I7)&amp;"-"&amp;MONTH(I7),53:53)</f>
        <v>0</v>
      </c>
      <c r="K7" s="560"/>
      <c r="L7" s="913"/>
      <c r="M7" s="914"/>
      <c r="N7" s="914"/>
      <c r="O7" s="914"/>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4" t="s">
        <v>1683</v>
      </c>
      <c r="Q8" s="3705"/>
      <c r="R8" s="699" t="s">
        <v>14</v>
      </c>
      <c r="S8" s="700">
        <f t="shared" si="0"/>
        <v>100</v>
      </c>
      <c r="T8" s="699" t="s">
        <v>14</v>
      </c>
      <c r="U8" s="700">
        <f t="shared" si="1"/>
        <v>100</v>
      </c>
      <c r="V8" s="699" t="s">
        <v>14</v>
      </c>
      <c r="W8" s="700">
        <f t="shared" si="2"/>
        <v>100</v>
      </c>
      <c r="X8" s="701"/>
      <c r="Y8" s="3704" t="s">
        <v>1683</v>
      </c>
      <c r="Z8" s="370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8"/>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1"/>
      <c r="Q16" s="1350"/>
      <c r="R16" s="703"/>
      <c r="S16" s="704"/>
      <c r="T16" s="703"/>
      <c r="U16" s="704"/>
      <c r="V16" s="703"/>
      <c r="W16" s="704"/>
      <c r="X16" s="1353"/>
      <c r="Y16" s="367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1"/>
      <c r="Q18" s="1350"/>
      <c r="R18" s="703"/>
      <c r="S18" s="704"/>
      <c r="T18" s="703"/>
      <c r="U18" s="704"/>
      <c r="V18" s="703"/>
      <c r="W18" s="704"/>
      <c r="X18" s="1353"/>
      <c r="Y18" s="367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1"/>
      <c r="Q19" s="1350" t="str">
        <f>B19</f>
        <v>公共配套设施</v>
      </c>
      <c r="R19" s="703" t="s">
        <v>14</v>
      </c>
      <c r="S19" s="704">
        <f>F19</f>
        <v>100</v>
      </c>
      <c r="T19" s="703" t="s">
        <v>14</v>
      </c>
      <c r="U19" s="704">
        <f>H19</f>
        <v>100</v>
      </c>
      <c r="V19" s="703" t="s">
        <v>14</v>
      </c>
      <c r="W19" s="704">
        <f>J19</f>
        <v>100</v>
      </c>
      <c r="X19" s="1353"/>
      <c r="Y19" s="367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1"/>
      <c r="Q20" s="1350"/>
      <c r="R20" s="703"/>
      <c r="S20" s="704"/>
      <c r="T20" s="703"/>
      <c r="U20" s="704"/>
      <c r="V20" s="703"/>
      <c r="W20" s="704"/>
      <c r="X20" s="1353"/>
      <c r="Y20" s="367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1"/>
      <c r="Q21" s="1350" t="str">
        <f>B21</f>
        <v>基础设施水平</v>
      </c>
      <c r="R21" s="703" t="s">
        <v>14</v>
      </c>
      <c r="S21" s="704">
        <f>F21</f>
        <v>100</v>
      </c>
      <c r="T21" s="703" t="s">
        <v>14</v>
      </c>
      <c r="U21" s="704">
        <f>H21</f>
        <v>100</v>
      </c>
      <c r="V21" s="703" t="s">
        <v>14</v>
      </c>
      <c r="W21" s="704">
        <f>J21</f>
        <v>100</v>
      </c>
      <c r="X21" s="1353"/>
      <c r="Y21" s="367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1"/>
      <c r="Q22" s="1350"/>
      <c r="R22" s="703"/>
      <c r="S22" s="704"/>
      <c r="T22" s="703"/>
      <c r="U22" s="704"/>
      <c r="V22" s="703"/>
      <c r="W22" s="704"/>
      <c r="X22" s="1353"/>
      <c r="Y22" s="367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1"/>
      <c r="Q23" s="1350" t="str">
        <f>B23</f>
        <v>环境质量</v>
      </c>
      <c r="R23" s="703" t="s">
        <v>14</v>
      </c>
      <c r="S23" s="704">
        <f>F23</f>
        <v>100</v>
      </c>
      <c r="T23" s="703" t="s">
        <v>14</v>
      </c>
      <c r="U23" s="704">
        <f>H23</f>
        <v>100</v>
      </c>
      <c r="V23" s="703" t="s">
        <v>14</v>
      </c>
      <c r="W23" s="704">
        <f>J23</f>
        <v>100</v>
      </c>
      <c r="X23" s="1353"/>
      <c r="Y23" s="367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1"/>
      <c r="Q24" s="1350"/>
      <c r="R24" s="703"/>
      <c r="S24" s="704"/>
      <c r="T24" s="703"/>
      <c r="U24" s="704"/>
      <c r="V24" s="703"/>
      <c r="W24" s="704"/>
      <c r="X24" s="1353"/>
      <c r="Y24" s="367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1"/>
      <c r="Q25" s="1350">
        <f>B25</f>
        <v>111</v>
      </c>
      <c r="R25" s="703" t="s">
        <v>14</v>
      </c>
      <c r="S25" s="704">
        <f>F25</f>
        <v>100</v>
      </c>
      <c r="T25" s="703" t="s">
        <v>14</v>
      </c>
      <c r="U25" s="704">
        <f>H25</f>
        <v>100</v>
      </c>
      <c r="V25" s="703" t="s">
        <v>14</v>
      </c>
      <c r="W25" s="704">
        <f>J25</f>
        <v>100</v>
      </c>
      <c r="X25" s="1353"/>
      <c r="Y25" s="367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1"/>
      <c r="Q26" s="1350">
        <f t="shared" ref="Q26:Q40" si="11">B26</f>
        <v>111</v>
      </c>
      <c r="R26" s="703" t="s">
        <v>14</v>
      </c>
      <c r="S26" s="704">
        <f>F26</f>
        <v>100</v>
      </c>
      <c r="T26" s="703" t="s">
        <v>14</v>
      </c>
      <c r="U26" s="704">
        <f>H26</f>
        <v>100</v>
      </c>
      <c r="V26" s="703" t="s">
        <v>14</v>
      </c>
      <c r="W26" s="704">
        <f>J26</f>
        <v>100</v>
      </c>
      <c r="X26" s="1353"/>
      <c r="Y26" s="367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1"/>
      <c r="Q27" s="1341">
        <f t="shared" si="11"/>
        <v>111</v>
      </c>
      <c r="R27" s="699" t="s">
        <v>14</v>
      </c>
      <c r="S27" s="700">
        <f>F27</f>
        <v>100</v>
      </c>
      <c r="T27" s="699" t="s">
        <v>14</v>
      </c>
      <c r="U27" s="700">
        <f>H27</f>
        <v>100</v>
      </c>
      <c r="V27" s="699" t="s">
        <v>14</v>
      </c>
      <c r="W27" s="700">
        <f>J27</f>
        <v>100</v>
      </c>
      <c r="X27" s="701"/>
      <c r="Y27" s="367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1"/>
      <c r="Q28" s="1350">
        <f t="shared" si="11"/>
        <v>111</v>
      </c>
      <c r="R28" s="703" t="s">
        <v>14</v>
      </c>
      <c r="S28" s="704">
        <f t="shared" ref="S28:S40" si="12">F28</f>
        <v>100</v>
      </c>
      <c r="T28" s="703" t="s">
        <v>14</v>
      </c>
      <c r="U28" s="704">
        <f t="shared" ref="U28:U40" si="13">H28</f>
        <v>100</v>
      </c>
      <c r="V28" s="703" t="s">
        <v>14</v>
      </c>
      <c r="W28" s="704">
        <f t="shared" ref="W28:W40" si="14">J28</f>
        <v>100</v>
      </c>
      <c r="X28" s="1353"/>
      <c r="Y28" s="367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8" t="s">
        <v>1696</v>
      </c>
      <c r="Q29" s="1350" t="str">
        <f t="shared" si="11"/>
        <v>建筑类型</v>
      </c>
      <c r="R29" s="703" t="s">
        <v>14</v>
      </c>
      <c r="S29" s="704">
        <f t="shared" si="12"/>
        <v>100</v>
      </c>
      <c r="T29" s="703" t="s">
        <v>14</v>
      </c>
      <c r="U29" s="704">
        <f t="shared" si="13"/>
        <v>100</v>
      </c>
      <c r="V29" s="703" t="s">
        <v>14</v>
      </c>
      <c r="W29" s="704">
        <f t="shared" si="14"/>
        <v>100</v>
      </c>
      <c r="X29" s="1353"/>
      <c r="Y29" s="367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5"/>
      <c r="Q30" s="705" t="str">
        <f t="shared" si="11"/>
        <v>项目建筑规模</v>
      </c>
      <c r="R30" s="706" t="s">
        <v>14</v>
      </c>
      <c r="S30" s="707" t="e">
        <f t="shared" si="12"/>
        <v>#N/A</v>
      </c>
      <c r="T30" s="706" t="s">
        <v>14</v>
      </c>
      <c r="U30" s="707" t="e">
        <f t="shared" si="13"/>
        <v>#N/A</v>
      </c>
      <c r="V30" s="706" t="s">
        <v>14</v>
      </c>
      <c r="W30" s="707" t="e">
        <f t="shared" si="14"/>
        <v>#N/A</v>
      </c>
      <c r="X30" s="708"/>
      <c r="Y30" s="367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5"/>
      <c r="Q31" s="1350" t="str">
        <f t="shared" si="11"/>
        <v>建筑结构</v>
      </c>
      <c r="R31" s="703" t="s">
        <v>14</v>
      </c>
      <c r="S31" s="704">
        <f t="shared" si="12"/>
        <v>100</v>
      </c>
      <c r="T31" s="703" t="s">
        <v>14</v>
      </c>
      <c r="U31" s="704">
        <f t="shared" si="13"/>
        <v>100</v>
      </c>
      <c r="V31" s="703" t="s">
        <v>14</v>
      </c>
      <c r="W31" s="704">
        <f t="shared" si="14"/>
        <v>100</v>
      </c>
      <c r="X31" s="1353"/>
      <c r="Y31" s="367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5"/>
      <c r="Q32" s="1350" t="str">
        <f t="shared" si="11"/>
        <v>公共部分装修</v>
      </c>
      <c r="R32" s="703" t="s">
        <v>14</v>
      </c>
      <c r="S32" s="704">
        <f t="shared" si="12"/>
        <v>100</v>
      </c>
      <c r="T32" s="703" t="s">
        <v>14</v>
      </c>
      <c r="U32" s="704">
        <f t="shared" si="13"/>
        <v>100</v>
      </c>
      <c r="V32" s="703" t="s">
        <v>14</v>
      </c>
      <c r="W32" s="704">
        <f t="shared" si="14"/>
        <v>100</v>
      </c>
      <c r="X32" s="1353"/>
      <c r="Y32" s="367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5"/>
      <c r="Q33" s="1350" t="str">
        <f t="shared" si="11"/>
        <v>成新度</v>
      </c>
      <c r="R33" s="703" t="s">
        <v>14</v>
      </c>
      <c r="S33" s="704" t="e">
        <f t="shared" si="12"/>
        <v>#N/A</v>
      </c>
      <c r="T33" s="703" t="s">
        <v>14</v>
      </c>
      <c r="U33" s="704" t="e">
        <f t="shared" si="13"/>
        <v>#N/A</v>
      </c>
      <c r="V33" s="703" t="s">
        <v>14</v>
      </c>
      <c r="W33" s="704" t="e">
        <f t="shared" si="14"/>
        <v>#N/A</v>
      </c>
      <c r="X33" s="1353"/>
      <c r="Y33" s="367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5"/>
      <c r="Q34" s="1341" t="str">
        <f t="shared" si="11"/>
        <v>物业管理</v>
      </c>
      <c r="R34" s="699" t="s">
        <v>14</v>
      </c>
      <c r="S34" s="700">
        <f t="shared" si="12"/>
        <v>100</v>
      </c>
      <c r="T34" s="699" t="s">
        <v>14</v>
      </c>
      <c r="U34" s="700">
        <f t="shared" si="13"/>
        <v>100</v>
      </c>
      <c r="V34" s="699" t="s">
        <v>14</v>
      </c>
      <c r="W34" s="700">
        <f t="shared" si="14"/>
        <v>100</v>
      </c>
      <c r="X34" s="701"/>
      <c r="Y34" s="367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5" t="s">
        <v>1696</v>
      </c>
      <c r="Q35" s="1350" t="str">
        <f t="shared" si="11"/>
        <v>市政基础设施</v>
      </c>
      <c r="R35" s="703" t="s">
        <v>14</v>
      </c>
      <c r="S35" s="704">
        <f t="shared" si="12"/>
        <v>100</v>
      </c>
      <c r="T35" s="703" t="s">
        <v>14</v>
      </c>
      <c r="U35" s="704">
        <f t="shared" si="13"/>
        <v>100</v>
      </c>
      <c r="V35" s="703" t="s">
        <v>14</v>
      </c>
      <c r="W35" s="704">
        <f t="shared" si="14"/>
        <v>100</v>
      </c>
      <c r="X35" s="1353"/>
      <c r="Y35" s="367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5"/>
      <c r="Q36" s="1350" t="str">
        <f t="shared" si="11"/>
        <v>内部装修</v>
      </c>
      <c r="R36" s="703" t="s">
        <v>14</v>
      </c>
      <c r="S36" s="704">
        <f t="shared" si="12"/>
        <v>100</v>
      </c>
      <c r="T36" s="703" t="s">
        <v>14</v>
      </c>
      <c r="U36" s="704">
        <f t="shared" si="13"/>
        <v>100</v>
      </c>
      <c r="V36" s="703" t="s">
        <v>14</v>
      </c>
      <c r="W36" s="704">
        <f t="shared" si="14"/>
        <v>100</v>
      </c>
      <c r="X36" s="1353"/>
      <c r="Y36" s="367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5"/>
      <c r="Q37" s="1350" t="str">
        <f t="shared" si="11"/>
        <v>内部装修状况</v>
      </c>
      <c r="R37" s="703" t="s">
        <v>14</v>
      </c>
      <c r="S37" s="704">
        <f t="shared" si="12"/>
        <v>100</v>
      </c>
      <c r="T37" s="703" t="s">
        <v>14</v>
      </c>
      <c r="U37" s="704">
        <f t="shared" si="13"/>
        <v>100</v>
      </c>
      <c r="V37" s="703" t="s">
        <v>14</v>
      </c>
      <c r="W37" s="704">
        <f t="shared" si="14"/>
        <v>100</v>
      </c>
      <c r="X37" s="1353"/>
      <c r="Y37" s="367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5"/>
      <c r="Q38" s="705">
        <f t="shared" si="11"/>
        <v>111</v>
      </c>
      <c r="R38" s="706" t="s">
        <v>14</v>
      </c>
      <c r="S38" s="707">
        <f t="shared" si="12"/>
        <v>100</v>
      </c>
      <c r="T38" s="706" t="s">
        <v>14</v>
      </c>
      <c r="U38" s="707">
        <f t="shared" si="13"/>
        <v>100</v>
      </c>
      <c r="V38" s="706" t="s">
        <v>14</v>
      </c>
      <c r="W38" s="707">
        <f t="shared" si="14"/>
        <v>100</v>
      </c>
      <c r="X38" s="708"/>
      <c r="Y38" s="367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5"/>
      <c r="Q39" s="1350">
        <f t="shared" si="11"/>
        <v>111</v>
      </c>
      <c r="R39" s="703" t="s">
        <v>14</v>
      </c>
      <c r="S39" s="704">
        <f t="shared" si="12"/>
        <v>100</v>
      </c>
      <c r="T39" s="703" t="s">
        <v>14</v>
      </c>
      <c r="U39" s="704">
        <f t="shared" si="13"/>
        <v>100</v>
      </c>
      <c r="V39" s="703" t="s">
        <v>14</v>
      </c>
      <c r="W39" s="704">
        <f t="shared" si="14"/>
        <v>100</v>
      </c>
      <c r="X39" s="1353"/>
      <c r="Y39" s="367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6"/>
      <c r="Q40" s="1350">
        <f t="shared" si="11"/>
        <v>111</v>
      </c>
      <c r="R40" s="703" t="s">
        <v>14</v>
      </c>
      <c r="S40" s="704">
        <f t="shared" si="12"/>
        <v>100</v>
      </c>
      <c r="T40" s="703" t="s">
        <v>14</v>
      </c>
      <c r="U40" s="704">
        <f t="shared" si="13"/>
        <v>100</v>
      </c>
      <c r="V40" s="703" t="s">
        <v>14</v>
      </c>
      <c r="W40" s="704">
        <f t="shared" si="14"/>
        <v>100</v>
      </c>
      <c r="X40" s="1353"/>
      <c r="Y40" s="367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8" t="str">
        <f>A41</f>
        <v>成交单价（元/平方米）</v>
      </c>
      <c r="Q41" s="3668"/>
      <c r="R41" s="3669">
        <f>E41</f>
        <v>0</v>
      </c>
      <c r="S41" s="3669"/>
      <c r="T41" s="3669">
        <f>G41</f>
        <v>0</v>
      </c>
      <c r="U41" s="3669"/>
      <c r="V41" s="3669">
        <f>I41</f>
        <v>0</v>
      </c>
      <c r="W41" s="366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估价对象为北京市房地产，为所有。根据《国有土地使用证》[]，估价对象（分摊）出让国有建设用地使用权面积为25572.42平方米，建筑面积为36157.11平方米。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估价对象为北京市房地产,属开发建设的工业项目，该项目尚在开发建设中。根据《国有土地使用证》[]，估价对象（分摊）出让国有建设用地使用权面积为25572.42平方米，规划建筑面积为36157.11平方米。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45236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1"/>
      <c r="Q15" s="1350"/>
      <c r="R15" s="703"/>
      <c r="S15" s="704"/>
      <c r="T15" s="703"/>
      <c r="U15" s="704"/>
      <c r="V15" s="703"/>
      <c r="W15" s="704"/>
      <c r="X15" s="1353"/>
      <c r="Y15" s="367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1"/>
      <c r="Q17" s="1350"/>
      <c r="R17" s="703"/>
      <c r="S17" s="704"/>
      <c r="T17" s="703"/>
      <c r="U17" s="704"/>
      <c r="V17" s="703"/>
      <c r="W17" s="704"/>
      <c r="X17" s="1353"/>
      <c r="Y17" s="367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1"/>
      <c r="Q19" s="1350"/>
      <c r="R19" s="703"/>
      <c r="S19" s="704"/>
      <c r="T19" s="703"/>
      <c r="U19" s="704"/>
      <c r="V19" s="703"/>
      <c r="W19" s="704"/>
      <c r="X19" s="1353"/>
      <c r="Y19" s="367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1"/>
      <c r="Q21" s="1350"/>
      <c r="R21" s="703"/>
      <c r="S21" s="704"/>
      <c r="T21" s="703"/>
      <c r="U21" s="704"/>
      <c r="V21" s="703"/>
      <c r="W21" s="704"/>
      <c r="X21" s="1353"/>
      <c r="Y21" s="367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1"/>
      <c r="Q24" s="1350">
        <f t="shared" ref="Q24:Q36"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5"/>
      <c r="Q27" s="705" t="str">
        <f t="shared" si="11"/>
        <v>项目停车位配比</v>
      </c>
      <c r="R27" s="706" t="s">
        <v>14</v>
      </c>
      <c r="S27" s="707">
        <f t="shared" si="12"/>
        <v>100</v>
      </c>
      <c r="T27" s="706" t="s">
        <v>14</v>
      </c>
      <c r="U27" s="707">
        <f t="shared" si="13"/>
        <v>100</v>
      </c>
      <c r="V27" s="706" t="s">
        <v>14</v>
      </c>
      <c r="W27" s="707">
        <f t="shared" si="14"/>
        <v>100</v>
      </c>
      <c r="X27" s="708"/>
      <c r="Y27" s="367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5"/>
      <c r="Q28" s="1350" t="str">
        <f t="shared" si="11"/>
        <v>公共部分装修</v>
      </c>
      <c r="R28" s="703" t="s">
        <v>14</v>
      </c>
      <c r="S28" s="704">
        <f t="shared" si="12"/>
        <v>100</v>
      </c>
      <c r="T28" s="703" t="s">
        <v>14</v>
      </c>
      <c r="U28" s="704">
        <f t="shared" si="13"/>
        <v>100</v>
      </c>
      <c r="V28" s="703" t="s">
        <v>14</v>
      </c>
      <c r="W28" s="704">
        <f t="shared" si="14"/>
        <v>100</v>
      </c>
      <c r="X28" s="1353"/>
      <c r="Y28" s="367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5"/>
      <c r="Q29" s="1350" t="str">
        <f t="shared" si="11"/>
        <v>成新率</v>
      </c>
      <c r="R29" s="703" t="s">
        <v>14</v>
      </c>
      <c r="S29" s="704" t="e">
        <f t="shared" si="12"/>
        <v>#N/A</v>
      </c>
      <c r="T29" s="703" t="s">
        <v>14</v>
      </c>
      <c r="U29" s="704" t="e">
        <f t="shared" si="13"/>
        <v>#N/A</v>
      </c>
      <c r="V29" s="703" t="s">
        <v>14</v>
      </c>
      <c r="W29" s="704" t="e">
        <f t="shared" si="14"/>
        <v>#N/A</v>
      </c>
      <c r="X29" s="1353"/>
      <c r="Y29" s="367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5"/>
      <c r="Q30" s="1350" t="str">
        <f t="shared" si="11"/>
        <v>物业等级</v>
      </c>
      <c r="R30" s="703" t="s">
        <v>14</v>
      </c>
      <c r="S30" s="704">
        <f t="shared" si="12"/>
        <v>100</v>
      </c>
      <c r="T30" s="703" t="s">
        <v>14</v>
      </c>
      <c r="U30" s="704">
        <f t="shared" si="13"/>
        <v>100</v>
      </c>
      <c r="V30" s="703" t="s">
        <v>14</v>
      </c>
      <c r="W30" s="704">
        <f t="shared" si="14"/>
        <v>100</v>
      </c>
      <c r="X30" s="1353"/>
      <c r="Y30" s="367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5"/>
      <c r="Q31" s="1341" t="str">
        <f t="shared" si="11"/>
        <v>停车位面积</v>
      </c>
      <c r="R31" s="699" t="s">
        <v>14</v>
      </c>
      <c r="S31" s="700" t="e">
        <f t="shared" si="12"/>
        <v>#N/A</v>
      </c>
      <c r="T31" s="699" t="s">
        <v>14</v>
      </c>
      <c r="U31" s="700" t="e">
        <f t="shared" si="13"/>
        <v>#N/A</v>
      </c>
      <c r="V31" s="699" t="s">
        <v>14</v>
      </c>
      <c r="W31" s="700" t="e">
        <f t="shared" si="14"/>
        <v>#N/A</v>
      </c>
      <c r="X31" s="701"/>
      <c r="Y31" s="367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5" t="s">
        <v>1696</v>
      </c>
      <c r="Q32" s="1350" t="str">
        <f t="shared" si="11"/>
        <v>车位类型</v>
      </c>
      <c r="R32" s="703" t="s">
        <v>14</v>
      </c>
      <c r="S32" s="704">
        <f t="shared" si="12"/>
        <v>100</v>
      </c>
      <c r="T32" s="703" t="s">
        <v>14</v>
      </c>
      <c r="U32" s="704">
        <f t="shared" si="13"/>
        <v>100</v>
      </c>
      <c r="V32" s="703" t="s">
        <v>14</v>
      </c>
      <c r="W32" s="704">
        <f t="shared" si="14"/>
        <v>100</v>
      </c>
      <c r="X32" s="1353"/>
      <c r="Y32" s="367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5"/>
      <c r="Q33" s="1350" t="str">
        <f t="shared" si="11"/>
        <v>是否直接入户</v>
      </c>
      <c r="R33" s="703" t="s">
        <v>14</v>
      </c>
      <c r="S33" s="704">
        <f t="shared" si="12"/>
        <v>100</v>
      </c>
      <c r="T33" s="703" t="s">
        <v>14</v>
      </c>
      <c r="U33" s="704">
        <f t="shared" si="13"/>
        <v>100</v>
      </c>
      <c r="V33" s="703" t="s">
        <v>14</v>
      </c>
      <c r="W33" s="704">
        <f t="shared" si="14"/>
        <v>100</v>
      </c>
      <c r="X33" s="1353"/>
      <c r="Y33" s="367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5"/>
      <c r="Q35" s="705">
        <f t="shared" si="11"/>
        <v>111</v>
      </c>
      <c r="R35" s="706" t="s">
        <v>14</v>
      </c>
      <c r="S35" s="707">
        <f t="shared" si="12"/>
        <v>100</v>
      </c>
      <c r="T35" s="706" t="s">
        <v>14</v>
      </c>
      <c r="U35" s="707">
        <f t="shared" si="13"/>
        <v>100</v>
      </c>
      <c r="V35" s="706" t="s">
        <v>14</v>
      </c>
      <c r="W35" s="707">
        <f t="shared" si="14"/>
        <v>100</v>
      </c>
      <c r="X35" s="708"/>
      <c r="Y35" s="367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5"/>
      <c r="Q36" s="1350">
        <f t="shared" si="11"/>
        <v>111</v>
      </c>
      <c r="R36" s="703" t="s">
        <v>14</v>
      </c>
      <c r="S36" s="704">
        <f t="shared" si="12"/>
        <v>100</v>
      </c>
      <c r="T36" s="703" t="s">
        <v>14</v>
      </c>
      <c r="U36" s="704">
        <f t="shared" si="13"/>
        <v>100</v>
      </c>
      <c r="V36" s="703" t="s">
        <v>14</v>
      </c>
      <c r="W36" s="704">
        <f t="shared" si="14"/>
        <v>100</v>
      </c>
      <c r="X36" s="1353"/>
      <c r="Y36" s="3675"/>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668" t="str">
        <f>A37</f>
        <v>成交单价</v>
      </c>
      <c r="Q37" s="3668"/>
      <c r="R37" s="3669">
        <f>E37</f>
        <v>0</v>
      </c>
      <c r="S37" s="3669"/>
      <c r="T37" s="3669">
        <f>G37</f>
        <v>0</v>
      </c>
      <c r="U37" s="3669"/>
      <c r="V37" s="3669">
        <f>I37</f>
        <v>0</v>
      </c>
      <c r="W37" s="366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5" t="str">
        <f>A39</f>
        <v>估价对象XX用房的比较价值（楼面单价，元/平方米）</v>
      </c>
      <c r="Q39" s="3666"/>
      <c r="R39" s="3729" t="e">
        <f>IF(F1="售价",ROUND(IF(D38="简单平均",AVERAGE(R38:W38),R38*F38+T38*H38+V38*J38),0),ROUND(IF(D38="简单平均",AVERAGE(R38:V38),R38*F38+T38*H38+V38*J38),1))</f>
        <v>#DIV/0!</v>
      </c>
      <c r="S39" s="3729"/>
      <c r="T39" s="3729"/>
      <c r="U39" s="3729"/>
      <c r="V39" s="3729"/>
      <c r="W39" s="372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45236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4" t="s">
        <v>1680</v>
      </c>
      <c r="Q7" s="3706"/>
      <c r="R7" s="699" t="s">
        <v>14</v>
      </c>
      <c r="S7" s="700">
        <f t="shared" ref="S7:S14" si="0">F7</f>
        <v>0</v>
      </c>
      <c r="T7" s="699" t="s">
        <v>14</v>
      </c>
      <c r="U7" s="700">
        <f t="shared" ref="U7:U14" si="1">H7</f>
        <v>0</v>
      </c>
      <c r="V7" s="699" t="s">
        <v>14</v>
      </c>
      <c r="W7" s="700">
        <f t="shared" ref="W7:W14" si="2">J7</f>
        <v>0</v>
      </c>
      <c r="X7" s="701"/>
      <c r="Y7" s="3704" t="s">
        <v>1680</v>
      </c>
      <c r="Z7" s="370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4" t="s">
        <v>1683</v>
      </c>
      <c r="Q8" s="3705"/>
      <c r="R8" s="699" t="s">
        <v>14</v>
      </c>
      <c r="S8" s="700">
        <f t="shared" si="0"/>
        <v>100</v>
      </c>
      <c r="T8" s="699" t="s">
        <v>14</v>
      </c>
      <c r="U8" s="700">
        <f t="shared" si="1"/>
        <v>100</v>
      </c>
      <c r="V8" s="699" t="s">
        <v>14</v>
      </c>
      <c r="W8" s="700">
        <f t="shared" si="2"/>
        <v>100</v>
      </c>
      <c r="X8" s="701"/>
      <c r="Y8" s="3704" t="s">
        <v>1683</v>
      </c>
      <c r="Z8" s="370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8"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8"/>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8"/>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0" t="s">
        <v>1691</v>
      </c>
      <c r="Q14" s="1350" t="str">
        <f t="shared" si="6"/>
        <v>交通便捷度</v>
      </c>
      <c r="R14" s="703" t="s">
        <v>14</v>
      </c>
      <c r="S14" s="704">
        <f t="shared" si="0"/>
        <v>100</v>
      </c>
      <c r="T14" s="703" t="s">
        <v>14</v>
      </c>
      <c r="U14" s="704">
        <f t="shared" si="1"/>
        <v>100</v>
      </c>
      <c r="V14" s="703" t="s">
        <v>14</v>
      </c>
      <c r="W14" s="704">
        <f t="shared" si="2"/>
        <v>100</v>
      </c>
      <c r="X14" s="1353"/>
      <c r="Y14" s="367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1"/>
      <c r="Q15" s="1350"/>
      <c r="R15" s="703"/>
      <c r="S15" s="704"/>
      <c r="T15" s="703"/>
      <c r="U15" s="704"/>
      <c r="V15" s="703"/>
      <c r="W15" s="704"/>
      <c r="X15" s="1353"/>
      <c r="Y15" s="367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1"/>
      <c r="Q16" s="1350" t="str">
        <f>B16</f>
        <v>公共配套设施</v>
      </c>
      <c r="R16" s="703" t="s">
        <v>14</v>
      </c>
      <c r="S16" s="704">
        <f>F16</f>
        <v>100</v>
      </c>
      <c r="T16" s="703" t="s">
        <v>14</v>
      </c>
      <c r="U16" s="704">
        <f>H16</f>
        <v>100</v>
      </c>
      <c r="V16" s="703" t="s">
        <v>14</v>
      </c>
      <c r="W16" s="704">
        <f>J16</f>
        <v>100</v>
      </c>
      <c r="X16" s="1353"/>
      <c r="Y16" s="367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1"/>
      <c r="Q17" s="1350"/>
      <c r="R17" s="703"/>
      <c r="S17" s="704"/>
      <c r="T17" s="703"/>
      <c r="U17" s="704"/>
      <c r="V17" s="703"/>
      <c r="W17" s="704"/>
      <c r="X17" s="1353"/>
      <c r="Y17" s="367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1"/>
      <c r="Q18" s="1350" t="str">
        <f>B18</f>
        <v>基础设施水平</v>
      </c>
      <c r="R18" s="703" t="s">
        <v>14</v>
      </c>
      <c r="S18" s="704">
        <f>F18</f>
        <v>100</v>
      </c>
      <c r="T18" s="703" t="s">
        <v>14</v>
      </c>
      <c r="U18" s="704">
        <f>H18</f>
        <v>100</v>
      </c>
      <c r="V18" s="703" t="s">
        <v>14</v>
      </c>
      <c r="W18" s="704">
        <f>J18</f>
        <v>100</v>
      </c>
      <c r="X18" s="1353"/>
      <c r="Y18" s="367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1"/>
      <c r="Q19" s="1350"/>
      <c r="R19" s="703"/>
      <c r="S19" s="704"/>
      <c r="T19" s="703"/>
      <c r="U19" s="704"/>
      <c r="V19" s="703"/>
      <c r="W19" s="704"/>
      <c r="X19" s="1353"/>
      <c r="Y19" s="367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1"/>
      <c r="Q20" s="1350" t="str">
        <f>B20</f>
        <v>自然及人文环境</v>
      </c>
      <c r="R20" s="703" t="s">
        <v>14</v>
      </c>
      <c r="S20" s="704">
        <f>F20</f>
        <v>100</v>
      </c>
      <c r="T20" s="703" t="s">
        <v>14</v>
      </c>
      <c r="U20" s="704">
        <f>H20</f>
        <v>100</v>
      </c>
      <c r="V20" s="703" t="s">
        <v>14</v>
      </c>
      <c r="W20" s="704">
        <f>J20</f>
        <v>100</v>
      </c>
      <c r="X20" s="1353"/>
      <c r="Y20" s="367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1"/>
      <c r="Q21" s="1350"/>
      <c r="R21" s="703"/>
      <c r="S21" s="704"/>
      <c r="T21" s="703"/>
      <c r="U21" s="704"/>
      <c r="V21" s="703"/>
      <c r="W21" s="704"/>
      <c r="X21" s="1353"/>
      <c r="Y21" s="367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1"/>
      <c r="Q22" s="1350" t="str">
        <f>B22</f>
        <v>楼层</v>
      </c>
      <c r="R22" s="703" t="s">
        <v>14</v>
      </c>
      <c r="S22" s="704">
        <f>F22</f>
        <v>100</v>
      </c>
      <c r="T22" s="703" t="s">
        <v>14</v>
      </c>
      <c r="U22" s="704">
        <f>H22</f>
        <v>100</v>
      </c>
      <c r="V22" s="703" t="s">
        <v>14</v>
      </c>
      <c r="W22" s="704">
        <f>J22</f>
        <v>100</v>
      </c>
      <c r="X22" s="1353"/>
      <c r="Y22" s="367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1"/>
      <c r="Q23" s="1350">
        <f>B23</f>
        <v>111</v>
      </c>
      <c r="R23" s="703" t="s">
        <v>14</v>
      </c>
      <c r="S23" s="704">
        <f>F23</f>
        <v>100</v>
      </c>
      <c r="T23" s="703" t="s">
        <v>14</v>
      </c>
      <c r="U23" s="704">
        <f>H23</f>
        <v>100</v>
      </c>
      <c r="V23" s="703" t="s">
        <v>14</v>
      </c>
      <c r="W23" s="704">
        <f>J23</f>
        <v>100</v>
      </c>
      <c r="X23" s="1353"/>
      <c r="Y23" s="367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1"/>
      <c r="Q24" s="1350">
        <f t="shared" ref="Q24:Q34" si="11">B24</f>
        <v>111</v>
      </c>
      <c r="R24" s="703" t="s">
        <v>14</v>
      </c>
      <c r="S24" s="704">
        <f>F24</f>
        <v>100</v>
      </c>
      <c r="T24" s="703" t="s">
        <v>14</v>
      </c>
      <c r="U24" s="704">
        <f>H24</f>
        <v>100</v>
      </c>
      <c r="V24" s="703" t="s">
        <v>14</v>
      </c>
      <c r="W24" s="704">
        <f>J24</f>
        <v>100</v>
      </c>
      <c r="X24" s="1353"/>
      <c r="Y24" s="367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1"/>
      <c r="Q25" s="1341">
        <f t="shared" si="11"/>
        <v>111</v>
      </c>
      <c r="R25" s="699" t="s">
        <v>14</v>
      </c>
      <c r="S25" s="700">
        <f>F25</f>
        <v>100</v>
      </c>
      <c r="T25" s="699" t="s">
        <v>14</v>
      </c>
      <c r="U25" s="700">
        <f>H25</f>
        <v>100</v>
      </c>
      <c r="V25" s="699" t="s">
        <v>14</v>
      </c>
      <c r="W25" s="700">
        <f>J25</f>
        <v>100</v>
      </c>
      <c r="X25" s="701"/>
      <c r="Y25" s="367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5"/>
      <c r="Q27" s="705" t="str">
        <f t="shared" si="11"/>
        <v>成新率</v>
      </c>
      <c r="R27" s="706" t="s">
        <v>14</v>
      </c>
      <c r="S27" s="707" t="e">
        <f t="shared" si="12"/>
        <v>#N/A</v>
      </c>
      <c r="T27" s="706" t="s">
        <v>14</v>
      </c>
      <c r="U27" s="707" t="e">
        <f t="shared" si="13"/>
        <v>#N/A</v>
      </c>
      <c r="V27" s="706" t="s">
        <v>14</v>
      </c>
      <c r="W27" s="707" t="e">
        <f t="shared" si="14"/>
        <v>#N/A</v>
      </c>
      <c r="X27" s="708"/>
      <c r="Y27" s="367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5"/>
      <c r="Q28" s="1350" t="str">
        <f t="shared" si="11"/>
        <v>物业等级</v>
      </c>
      <c r="R28" s="703" t="s">
        <v>14</v>
      </c>
      <c r="S28" s="704">
        <f t="shared" si="12"/>
        <v>100</v>
      </c>
      <c r="T28" s="703" t="s">
        <v>14</v>
      </c>
      <c r="U28" s="704">
        <f t="shared" si="13"/>
        <v>100</v>
      </c>
      <c r="V28" s="703" t="s">
        <v>14</v>
      </c>
      <c r="W28" s="704">
        <f t="shared" si="14"/>
        <v>100</v>
      </c>
      <c r="X28" s="1353"/>
      <c r="Y28" s="367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5"/>
      <c r="Q29" s="1350" t="str">
        <f t="shared" si="11"/>
        <v>有无电梯</v>
      </c>
      <c r="R29" s="703" t="s">
        <v>14</v>
      </c>
      <c r="S29" s="704">
        <f t="shared" si="12"/>
        <v>100</v>
      </c>
      <c r="T29" s="703" t="s">
        <v>14</v>
      </c>
      <c r="U29" s="704">
        <f t="shared" si="13"/>
        <v>100</v>
      </c>
      <c r="V29" s="703" t="s">
        <v>14</v>
      </c>
      <c r="W29" s="704">
        <f t="shared" si="14"/>
        <v>100</v>
      </c>
      <c r="X29" s="1353"/>
      <c r="Y29" s="367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5"/>
      <c r="Q30" s="1350" t="str">
        <f t="shared" si="11"/>
        <v>建筑面积</v>
      </c>
      <c r="R30" s="703" t="s">
        <v>14</v>
      </c>
      <c r="S30" s="704" t="e">
        <f t="shared" si="12"/>
        <v>#N/A</v>
      </c>
      <c r="T30" s="703" t="s">
        <v>14</v>
      </c>
      <c r="U30" s="704" t="e">
        <f t="shared" si="13"/>
        <v>#N/A</v>
      </c>
      <c r="V30" s="703" t="s">
        <v>14</v>
      </c>
      <c r="W30" s="704" t="e">
        <f t="shared" si="14"/>
        <v>#N/A</v>
      </c>
      <c r="X30" s="1353"/>
      <c r="Y30" s="367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5"/>
      <c r="Q31" s="1341" t="str">
        <f t="shared" si="11"/>
        <v>是否封闭</v>
      </c>
      <c r="R31" s="699" t="s">
        <v>14</v>
      </c>
      <c r="S31" s="700">
        <f t="shared" si="12"/>
        <v>100</v>
      </c>
      <c r="T31" s="699" t="s">
        <v>14</v>
      </c>
      <c r="U31" s="700">
        <f t="shared" si="13"/>
        <v>100</v>
      </c>
      <c r="V31" s="699" t="s">
        <v>14</v>
      </c>
      <c r="W31" s="700">
        <f t="shared" si="14"/>
        <v>100</v>
      </c>
      <c r="X31" s="701"/>
      <c r="Y31" s="367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5" t="s">
        <v>1696</v>
      </c>
      <c r="Q32" s="1350">
        <f t="shared" si="11"/>
        <v>111</v>
      </c>
      <c r="R32" s="703" t="s">
        <v>14</v>
      </c>
      <c r="S32" s="704">
        <f t="shared" si="12"/>
        <v>100</v>
      </c>
      <c r="T32" s="703" t="s">
        <v>14</v>
      </c>
      <c r="U32" s="704">
        <f t="shared" si="13"/>
        <v>100</v>
      </c>
      <c r="V32" s="703" t="s">
        <v>14</v>
      </c>
      <c r="W32" s="704">
        <f t="shared" si="14"/>
        <v>100</v>
      </c>
      <c r="X32" s="1353"/>
      <c r="Y32" s="367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5"/>
      <c r="Q33" s="1350">
        <f t="shared" si="11"/>
        <v>111</v>
      </c>
      <c r="R33" s="703" t="s">
        <v>14</v>
      </c>
      <c r="S33" s="704">
        <f t="shared" si="12"/>
        <v>100</v>
      </c>
      <c r="T33" s="703" t="s">
        <v>14</v>
      </c>
      <c r="U33" s="704">
        <f t="shared" si="13"/>
        <v>100</v>
      </c>
      <c r="V33" s="703" t="s">
        <v>14</v>
      </c>
      <c r="W33" s="704">
        <f t="shared" si="14"/>
        <v>100</v>
      </c>
      <c r="X33" s="1353"/>
      <c r="Y33" s="367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5"/>
      <c r="Q34" s="1350">
        <f t="shared" si="11"/>
        <v>111</v>
      </c>
      <c r="R34" s="703" t="s">
        <v>14</v>
      </c>
      <c r="S34" s="704">
        <f t="shared" si="12"/>
        <v>100</v>
      </c>
      <c r="T34" s="703" t="s">
        <v>14</v>
      </c>
      <c r="U34" s="704">
        <f t="shared" si="13"/>
        <v>100</v>
      </c>
      <c r="V34" s="703" t="s">
        <v>14</v>
      </c>
      <c r="W34" s="704">
        <f t="shared" si="14"/>
        <v>100</v>
      </c>
      <c r="X34" s="1353"/>
      <c r="Y34" s="367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8" t="str">
        <f>A35</f>
        <v>成交单价（元/平方米）</v>
      </c>
      <c r="Q35" s="3668"/>
      <c r="R35" s="3669">
        <f>E35</f>
        <v>0</v>
      </c>
      <c r="S35" s="3669"/>
      <c r="T35" s="3669">
        <f>G35</f>
        <v>0</v>
      </c>
      <c r="U35" s="3669"/>
      <c r="V35" s="3669">
        <f>I35</f>
        <v>0</v>
      </c>
      <c r="W35" s="366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5" t="str">
        <f>A37</f>
        <v>估价对象XX用房的比较价值（楼面单价，元/平方米）</v>
      </c>
      <c r="Q37" s="3666"/>
      <c r="R37" s="3729" t="e">
        <f>IF(F1="售价",ROUND(IF(D36="简单平均",AVERAGE(R36:W36),R36*F36+T36*H36+V36*J36),0),ROUND(IF(D36="简单平均",AVERAGE(R36:V36),R36*F36+T36*H36+V36*J36),1))</f>
        <v>#DIV/0!</v>
      </c>
      <c r="S37" s="3729"/>
      <c r="T37" s="3729"/>
      <c r="U37" s="3729"/>
      <c r="V37" s="3729"/>
      <c r="W37" s="372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3"/>
      <c r="M6" s="2714"/>
      <c r="N6" s="2714"/>
      <c r="O6" s="2714"/>
      <c r="P6" s="3691"/>
      <c r="Q6" s="3692"/>
      <c r="R6" s="3695"/>
      <c r="S6" s="3696"/>
      <c r="T6" s="3697"/>
      <c r="U6" s="3698"/>
      <c r="V6" s="3699"/>
      <c r="W6" s="3699"/>
      <c r="X6" s="1353"/>
      <c r="Y6" s="3697"/>
      <c r="Z6" s="3698"/>
      <c r="AA6" s="3682"/>
      <c r="AB6" s="3682"/>
      <c r="AC6" s="3682"/>
    </row>
    <row r="7" spans="1:30" s="108" customFormat="1" ht="15.75" thickBot="1">
      <c r="A7" s="362" t="s">
        <v>1679</v>
      </c>
      <c r="B7" s="363"/>
      <c r="C7" s="364">
        <f>'数据-取费表'!B2</f>
        <v>45236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7"/>
      <c r="M10" s="2718"/>
      <c r="N10" s="2718"/>
      <c r="O10" s="2771"/>
      <c r="P10" s="3668"/>
      <c r="Q10" s="1341" t="str">
        <f t="shared" si="6"/>
        <v>土地使用年限（年）</v>
      </c>
      <c r="R10" s="699" t="s">
        <v>14</v>
      </c>
      <c r="S10" s="700">
        <f t="shared" si="0"/>
        <v>120</v>
      </c>
      <c r="T10" s="699" t="s">
        <v>14</v>
      </c>
      <c r="U10" s="700">
        <f t="shared" si="1"/>
        <v>120</v>
      </c>
      <c r="V10" s="699" t="s">
        <v>14</v>
      </c>
      <c r="W10" s="700">
        <f t="shared" si="2"/>
        <v>120</v>
      </c>
      <c r="X10" s="701"/>
      <c r="Y10" s="3543"/>
      <c r="Z10" s="52" t="str">
        <f t="shared" si="7"/>
        <v>土地使用年限（年）</v>
      </c>
      <c r="AA10" s="702">
        <f t="shared" si="3"/>
        <v>0.83333333333333337</v>
      </c>
      <c r="AB10" s="702">
        <f t="shared" si="4"/>
        <v>0.83333333333333337</v>
      </c>
      <c r="AC10" s="702">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8"/>
      <c r="Q12" s="1341"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0" t="s">
        <v>1691</v>
      </c>
      <c r="Q15" s="1350" t="str">
        <f t="shared" si="6"/>
        <v>居住社区成熟度</v>
      </c>
      <c r="R15" s="703" t="s">
        <v>14</v>
      </c>
      <c r="S15" s="704">
        <f t="shared" si="0"/>
        <v>100</v>
      </c>
      <c r="T15" s="703" t="s">
        <v>14</v>
      </c>
      <c r="U15" s="704">
        <f t="shared" si="1"/>
        <v>100</v>
      </c>
      <c r="V15" s="703" t="s">
        <v>14</v>
      </c>
      <c r="W15" s="704">
        <f t="shared" si="2"/>
        <v>100</v>
      </c>
      <c r="X15" s="1353"/>
      <c r="Y15" s="367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1"/>
      <c r="Q17" s="1350" t="str">
        <f>B17</f>
        <v>商业繁华度</v>
      </c>
      <c r="R17" s="703" t="s">
        <v>14</v>
      </c>
      <c r="S17" s="704">
        <f>F17</f>
        <v>100</v>
      </c>
      <c r="T17" s="703" t="s">
        <v>14</v>
      </c>
      <c r="U17" s="704">
        <f>H17</f>
        <v>100</v>
      </c>
      <c r="V17" s="703" t="s">
        <v>14</v>
      </c>
      <c r="W17" s="704">
        <f>J17</f>
        <v>100</v>
      </c>
      <c r="X17" s="1353"/>
      <c r="Y17" s="367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1"/>
      <c r="Q19" s="1350" t="str">
        <f>B19</f>
        <v>办公集聚程度</v>
      </c>
      <c r="R19" s="703" t="s">
        <v>14</v>
      </c>
      <c r="S19" s="704">
        <f>F19</f>
        <v>100</v>
      </c>
      <c r="T19" s="703" t="s">
        <v>14</v>
      </c>
      <c r="U19" s="704">
        <f>H19</f>
        <v>100</v>
      </c>
      <c r="V19" s="703" t="s">
        <v>14</v>
      </c>
      <c r="W19" s="704">
        <f>J19</f>
        <v>100</v>
      </c>
      <c r="X19" s="1353"/>
      <c r="Y19" s="367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1"/>
      <c r="Q20" s="1350"/>
      <c r="R20" s="703"/>
      <c r="S20" s="704"/>
      <c r="T20" s="703"/>
      <c r="U20" s="704"/>
      <c r="V20" s="703"/>
      <c r="W20" s="704"/>
      <c r="X20" s="1353"/>
      <c r="Y20" s="367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1"/>
      <c r="Q21" s="1350" t="str">
        <f>B21</f>
        <v>交通便捷度</v>
      </c>
      <c r="R21" s="703" t="s">
        <v>14</v>
      </c>
      <c r="S21" s="704">
        <f>F21</f>
        <v>100</v>
      </c>
      <c r="T21" s="703" t="s">
        <v>14</v>
      </c>
      <c r="U21" s="704">
        <f>H21</f>
        <v>100</v>
      </c>
      <c r="V21" s="703" t="s">
        <v>14</v>
      </c>
      <c r="W21" s="704">
        <f>J21</f>
        <v>100</v>
      </c>
      <c r="X21" s="1353"/>
      <c r="Y21" s="367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1"/>
      <c r="Q23" s="1350" t="str">
        <f t="shared" ref="Q23:Q37" si="8">B23</f>
        <v>区域土地利用方向</v>
      </c>
      <c r="R23" s="703" t="s">
        <v>14</v>
      </c>
      <c r="S23" s="704">
        <f>F23</f>
        <v>100</v>
      </c>
      <c r="T23" s="703" t="s">
        <v>14</v>
      </c>
      <c r="U23" s="704">
        <f>H23</f>
        <v>100</v>
      </c>
      <c r="V23" s="703" t="s">
        <v>14</v>
      </c>
      <c r="W23" s="704">
        <f>J23</f>
        <v>100</v>
      </c>
      <c r="X23" s="1353"/>
      <c r="Y23" s="367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1"/>
      <c r="Q24" s="1350"/>
      <c r="R24" s="703"/>
      <c r="S24" s="704"/>
      <c r="T24" s="703"/>
      <c r="U24" s="704"/>
      <c r="V24" s="703"/>
      <c r="W24" s="704"/>
      <c r="X24" s="1353"/>
      <c r="Y24" s="367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1"/>
      <c r="Q25" s="1350" t="str">
        <f t="shared" si="8"/>
        <v>自然及人文环境状况</v>
      </c>
      <c r="R25" s="703" t="s">
        <v>14</v>
      </c>
      <c r="S25" s="704">
        <f>F25</f>
        <v>100</v>
      </c>
      <c r="T25" s="703" t="s">
        <v>14</v>
      </c>
      <c r="U25" s="704">
        <f>H25</f>
        <v>100</v>
      </c>
      <c r="V25" s="703" t="s">
        <v>14</v>
      </c>
      <c r="W25" s="704">
        <f>J25</f>
        <v>100</v>
      </c>
      <c r="X25" s="1353"/>
      <c r="Y25" s="367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1"/>
      <c r="Q26" s="1350"/>
      <c r="R26" s="703"/>
      <c r="S26" s="704"/>
      <c r="T26" s="703"/>
      <c r="U26" s="704"/>
      <c r="V26" s="703"/>
      <c r="W26" s="704"/>
      <c r="X26" s="1353"/>
      <c r="Y26" s="367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1"/>
      <c r="Q27" s="1341" t="str">
        <f t="shared" si="8"/>
        <v>公共配套设施</v>
      </c>
      <c r="R27" s="699" t="s">
        <v>14</v>
      </c>
      <c r="S27" s="700">
        <f>F27</f>
        <v>100</v>
      </c>
      <c r="T27" s="699" t="s">
        <v>14</v>
      </c>
      <c r="U27" s="700">
        <f>H27</f>
        <v>100</v>
      </c>
      <c r="V27" s="699" t="s">
        <v>14</v>
      </c>
      <c r="W27" s="700">
        <f>J27</f>
        <v>100</v>
      </c>
      <c r="X27" s="701"/>
      <c r="Y27" s="367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1"/>
      <c r="Q28" s="1341"/>
      <c r="R28" s="699"/>
      <c r="S28" s="700"/>
      <c r="T28" s="699"/>
      <c r="U28" s="700"/>
      <c r="V28" s="699"/>
      <c r="W28" s="700"/>
      <c r="X28" s="701"/>
      <c r="Y28" s="367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1"/>
      <c r="Q29" s="1341" t="str">
        <f t="shared" ref="Q29" si="9">B29</f>
        <v>基础设施水平</v>
      </c>
      <c r="R29" s="699" t="s">
        <v>14</v>
      </c>
      <c r="S29" s="700">
        <f>F29</f>
        <v>100</v>
      </c>
      <c r="T29" s="699" t="s">
        <v>14</v>
      </c>
      <c r="U29" s="700">
        <f>H29</f>
        <v>100</v>
      </c>
      <c r="V29" s="699" t="s">
        <v>14</v>
      </c>
      <c r="W29" s="700">
        <f>J29</f>
        <v>100</v>
      </c>
      <c r="X29" s="701"/>
      <c r="Y29" s="367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1"/>
      <c r="Q30" s="1341"/>
      <c r="R30" s="699"/>
      <c r="S30" s="700"/>
      <c r="T30" s="699"/>
      <c r="U30" s="700"/>
      <c r="V30" s="699"/>
      <c r="W30" s="700"/>
      <c r="X30" s="701"/>
      <c r="Y30" s="367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1"/>
      <c r="Q32" s="1350" t="str">
        <f t="shared" si="8"/>
        <v>毗邻道路的类型与等级</v>
      </c>
      <c r="R32" s="703" t="s">
        <v>14</v>
      </c>
      <c r="S32" s="704">
        <f t="shared" si="10"/>
        <v>100</v>
      </c>
      <c r="T32" s="703" t="s">
        <v>14</v>
      </c>
      <c r="U32" s="704">
        <f t="shared" si="11"/>
        <v>100</v>
      </c>
      <c r="V32" s="703" t="s">
        <v>14</v>
      </c>
      <c r="W32" s="704">
        <f t="shared" si="12"/>
        <v>100</v>
      </c>
      <c r="X32" s="1353"/>
      <c r="Y32" s="367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1"/>
      <c r="Q33" s="1350"/>
      <c r="R33" s="703"/>
      <c r="S33" s="704"/>
      <c r="T33" s="703"/>
      <c r="U33" s="704"/>
      <c r="V33" s="703"/>
      <c r="W33" s="704"/>
      <c r="X33" s="1353"/>
      <c r="Y33" s="367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1"/>
      <c r="Q34" s="1350" t="str">
        <f t="shared" si="8"/>
        <v>土地级别</v>
      </c>
      <c r="R34" s="703" t="s">
        <v>14</v>
      </c>
      <c r="S34" s="704">
        <f t="shared" si="10"/>
        <v>100</v>
      </c>
      <c r="T34" s="703" t="s">
        <v>14</v>
      </c>
      <c r="U34" s="704">
        <f t="shared" si="11"/>
        <v>100</v>
      </c>
      <c r="V34" s="703" t="s">
        <v>14</v>
      </c>
      <c r="W34" s="704">
        <f t="shared" si="12"/>
        <v>100</v>
      </c>
      <c r="X34" s="1353"/>
      <c r="Y34" s="367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1"/>
      <c r="Q35" s="1350">
        <f t="shared" si="8"/>
        <v>111</v>
      </c>
      <c r="R35" s="703" t="s">
        <v>14</v>
      </c>
      <c r="S35" s="704">
        <f t="shared" si="10"/>
        <v>100</v>
      </c>
      <c r="T35" s="703" t="s">
        <v>14</v>
      </c>
      <c r="U35" s="704">
        <f t="shared" si="11"/>
        <v>100</v>
      </c>
      <c r="V35" s="703" t="s">
        <v>14</v>
      </c>
      <c r="W35" s="704">
        <f t="shared" si="12"/>
        <v>100</v>
      </c>
      <c r="X35" s="1353"/>
      <c r="Y35" s="367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8" t="s">
        <v>1696</v>
      </c>
      <c r="Q36" s="1350">
        <f t="shared" si="8"/>
        <v>111</v>
      </c>
      <c r="R36" s="703" t="s">
        <v>14</v>
      </c>
      <c r="S36" s="704">
        <f t="shared" si="10"/>
        <v>100</v>
      </c>
      <c r="T36" s="703" t="s">
        <v>14</v>
      </c>
      <c r="U36" s="704">
        <f t="shared" si="11"/>
        <v>100</v>
      </c>
      <c r="V36" s="703" t="s">
        <v>14</v>
      </c>
      <c r="W36" s="704">
        <f t="shared" si="12"/>
        <v>100</v>
      </c>
      <c r="X36" s="1353"/>
      <c r="Y36" s="367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5"/>
      <c r="Q37" s="1350">
        <f t="shared" si="8"/>
        <v>111</v>
      </c>
      <c r="R37" s="706" t="s">
        <v>14</v>
      </c>
      <c r="S37" s="707">
        <f t="shared" si="10"/>
        <v>100</v>
      </c>
      <c r="T37" s="706" t="s">
        <v>14</v>
      </c>
      <c r="U37" s="707">
        <f t="shared" si="11"/>
        <v>100</v>
      </c>
      <c r="V37" s="706" t="s">
        <v>14</v>
      </c>
      <c r="W37" s="707">
        <f t="shared" si="12"/>
        <v>100</v>
      </c>
      <c r="X37" s="708"/>
      <c r="Y37" s="367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5"/>
      <c r="Q38" s="1350" t="str">
        <f>B38</f>
        <v>宗地面积</v>
      </c>
      <c r="R38" s="703" t="s">
        <v>14</v>
      </c>
      <c r="S38" s="704" t="e">
        <f t="shared" si="10"/>
        <v>#N/A</v>
      </c>
      <c r="T38" s="703" t="s">
        <v>14</v>
      </c>
      <c r="U38" s="704" t="e">
        <f t="shared" si="11"/>
        <v>#N/A</v>
      </c>
      <c r="V38" s="703" t="s">
        <v>14</v>
      </c>
      <c r="W38" s="704" t="e">
        <f t="shared" si="12"/>
        <v>#N/A</v>
      </c>
      <c r="X38" s="1353"/>
      <c r="Y38" s="367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5"/>
      <c r="Q39" s="1350" t="str">
        <f t="shared" ref="Q39:Q45" si="14">B39</f>
        <v>宗地形状</v>
      </c>
      <c r="R39" s="703" t="s">
        <v>14</v>
      </c>
      <c r="S39" s="704">
        <f t="shared" si="10"/>
        <v>100</v>
      </c>
      <c r="T39" s="703" t="s">
        <v>14</v>
      </c>
      <c r="U39" s="704">
        <f t="shared" si="11"/>
        <v>100</v>
      </c>
      <c r="V39" s="703" t="s">
        <v>14</v>
      </c>
      <c r="W39" s="704">
        <f t="shared" si="12"/>
        <v>100</v>
      </c>
      <c r="X39" s="1353"/>
      <c r="Y39" s="367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5"/>
      <c r="Q40" s="1350" t="str">
        <f t="shared" si="14"/>
        <v>临街宽度及深度</v>
      </c>
      <c r="R40" s="703" t="s">
        <v>14</v>
      </c>
      <c r="S40" s="704">
        <f t="shared" si="10"/>
        <v>100</v>
      </c>
      <c r="T40" s="703" t="s">
        <v>14</v>
      </c>
      <c r="U40" s="704">
        <f t="shared" si="11"/>
        <v>100</v>
      </c>
      <c r="V40" s="703" t="s">
        <v>14</v>
      </c>
      <c r="W40" s="704">
        <f t="shared" si="12"/>
        <v>100</v>
      </c>
      <c r="X40" s="1353"/>
      <c r="Y40" s="367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5"/>
      <c r="Q41" s="1350" t="str">
        <f t="shared" si="14"/>
        <v>宗地开发程度</v>
      </c>
      <c r="R41" s="699" t="s">
        <v>14</v>
      </c>
      <c r="S41" s="700">
        <f t="shared" si="10"/>
        <v>100</v>
      </c>
      <c r="T41" s="699" t="s">
        <v>14</v>
      </c>
      <c r="U41" s="700">
        <f t="shared" si="11"/>
        <v>100</v>
      </c>
      <c r="V41" s="699" t="s">
        <v>14</v>
      </c>
      <c r="W41" s="700">
        <f t="shared" si="12"/>
        <v>100</v>
      </c>
      <c r="X41" s="701"/>
      <c r="Y41" s="367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5" t="s">
        <v>1696</v>
      </c>
      <c r="Q42" s="1350" t="str">
        <f t="shared" si="14"/>
        <v>工程地质条件</v>
      </c>
      <c r="R42" s="703" t="s">
        <v>14</v>
      </c>
      <c r="S42" s="704">
        <f t="shared" si="10"/>
        <v>100</v>
      </c>
      <c r="T42" s="703" t="s">
        <v>14</v>
      </c>
      <c r="U42" s="704">
        <f t="shared" si="11"/>
        <v>100</v>
      </c>
      <c r="V42" s="703" t="s">
        <v>14</v>
      </c>
      <c r="W42" s="704">
        <f t="shared" si="12"/>
        <v>100</v>
      </c>
      <c r="X42" s="1353"/>
      <c r="Y42" s="367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5"/>
      <c r="Q43" s="1350">
        <f t="shared" si="14"/>
        <v>111</v>
      </c>
      <c r="R43" s="703" t="s">
        <v>14</v>
      </c>
      <c r="S43" s="704">
        <f t="shared" si="10"/>
        <v>100</v>
      </c>
      <c r="T43" s="703" t="s">
        <v>14</v>
      </c>
      <c r="U43" s="704">
        <f t="shared" si="11"/>
        <v>100</v>
      </c>
      <c r="V43" s="703" t="s">
        <v>14</v>
      </c>
      <c r="W43" s="704">
        <f t="shared" si="12"/>
        <v>100</v>
      </c>
      <c r="X43" s="1353"/>
      <c r="Y43" s="367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5"/>
      <c r="Q44" s="1350">
        <f t="shared" si="14"/>
        <v>111</v>
      </c>
      <c r="R44" s="703" t="s">
        <v>14</v>
      </c>
      <c r="S44" s="704">
        <f t="shared" si="10"/>
        <v>100</v>
      </c>
      <c r="T44" s="703" t="s">
        <v>14</v>
      </c>
      <c r="U44" s="704">
        <f t="shared" si="11"/>
        <v>100</v>
      </c>
      <c r="V44" s="703" t="s">
        <v>14</v>
      </c>
      <c r="W44" s="704">
        <f t="shared" si="12"/>
        <v>100</v>
      </c>
      <c r="X44" s="1353"/>
      <c r="Y44" s="367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5"/>
      <c r="Q45" s="1350">
        <f t="shared" si="14"/>
        <v>111</v>
      </c>
      <c r="R45" s="706" t="s">
        <v>14</v>
      </c>
      <c r="S45" s="707">
        <f t="shared" si="10"/>
        <v>100</v>
      </c>
      <c r="T45" s="706" t="s">
        <v>14</v>
      </c>
      <c r="U45" s="707">
        <f t="shared" si="11"/>
        <v>100</v>
      </c>
      <c r="V45" s="706" t="s">
        <v>14</v>
      </c>
      <c r="W45" s="707">
        <f t="shared" si="12"/>
        <v>100</v>
      </c>
      <c r="X45" s="708"/>
      <c r="Y45" s="367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8" t="str">
        <f>A46</f>
        <v>成交单价</v>
      </c>
      <c r="Q46" s="3668"/>
      <c r="R46" s="3699">
        <f>E46</f>
        <v>0</v>
      </c>
      <c r="S46" s="3699"/>
      <c r="T46" s="3699">
        <f>G46</f>
        <v>0</v>
      </c>
      <c r="U46" s="3699"/>
      <c r="V46" s="3699">
        <f>I46</f>
        <v>0</v>
      </c>
      <c r="W46" s="3699"/>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8" t="str">
        <f>A47</f>
        <v>比较价值（元/平方米）</v>
      </c>
      <c r="Q47" s="3668"/>
      <c r="R47" s="3730" t="e">
        <f>ROUND(PRODUCT(R46,AA7:AA45),0)</f>
        <v>#DIV/0!</v>
      </c>
      <c r="S47" s="3730"/>
      <c r="T47" s="3730" t="e">
        <f>ROUND(PRODUCT(T46,AB7:AB45),0)</f>
        <v>#DIV/0!</v>
      </c>
      <c r="U47" s="3730"/>
      <c r="V47" s="3730" t="e">
        <f>ROUND(PRODUCT(V46,AC7:AC45),0)</f>
        <v>#DIV/0!</v>
      </c>
      <c r="W47" s="373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5" t="str">
        <f>A48</f>
        <v>估价对象XX用房的比较价值（楼面单价，元/平方米）</v>
      </c>
      <c r="Q48" s="3666"/>
      <c r="R48" s="3731" t="e">
        <f>ROUND(IF(D47="简单平均",AVERAGE(R47:W47),R47*F47+T47*H47+V47*J47),0)</f>
        <v>#DIV/0!</v>
      </c>
      <c r="S48" s="3731"/>
      <c r="T48" s="3731"/>
      <c r="U48" s="3731"/>
      <c r="V48" s="3731"/>
      <c r="W48" s="373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31701.279999999999</v>
      </c>
      <c r="F56" s="884" t="e">
        <f t="shared" ref="F56:F64" si="15">ROUND(B56*E56/10000,0)</f>
        <v>#DIV/0!</v>
      </c>
      <c r="G56" s="3679"/>
      <c r="H56" s="366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4455.83</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36157.11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93" t="s">
        <v>1771</v>
      </c>
      <c r="S4" s="3694"/>
      <c r="T4" s="3693" t="s">
        <v>1772</v>
      </c>
      <c r="U4" s="3694"/>
      <c r="V4" s="3699" t="s">
        <v>1773</v>
      </c>
      <c r="W4" s="3699"/>
      <c r="X4" s="1353"/>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3"/>
      <c r="M5" s="2714"/>
      <c r="N5" s="2714"/>
      <c r="O5" s="2714"/>
      <c r="P5" s="3689"/>
      <c r="Q5" s="3690"/>
      <c r="R5" s="3695"/>
      <c r="S5" s="3696"/>
      <c r="T5" s="3695"/>
      <c r="U5" s="3696"/>
      <c r="V5" s="3699"/>
      <c r="W5" s="3699"/>
      <c r="X5" s="1353"/>
      <c r="Y5" s="3695"/>
      <c r="Z5" s="3696"/>
      <c r="AA5" s="3681"/>
      <c r="AB5" s="3681"/>
      <c r="AC5" s="3681"/>
    </row>
    <row r="6" spans="1:29" ht="15.75" thickBot="1">
      <c r="A6" s="360"/>
      <c r="B6" s="361"/>
      <c r="C6" s="3733" t="s">
        <v>1919</v>
      </c>
      <c r="D6" s="3734"/>
      <c r="E6" s="3735" t="s">
        <v>1919</v>
      </c>
      <c r="F6" s="3736"/>
      <c r="G6" s="3733" t="s">
        <v>1919</v>
      </c>
      <c r="H6" s="3734"/>
      <c r="I6" s="3733" t="s">
        <v>1919</v>
      </c>
      <c r="J6" s="3734"/>
      <c r="K6" s="559" t="s">
        <v>1678</v>
      </c>
      <c r="L6" s="2713"/>
      <c r="M6" s="2714"/>
      <c r="N6" s="2714"/>
      <c r="O6" s="2714"/>
      <c r="P6" s="3691"/>
      <c r="Q6" s="3692"/>
      <c r="R6" s="3695"/>
      <c r="S6" s="3696"/>
      <c r="T6" s="3697"/>
      <c r="U6" s="3698"/>
      <c r="V6" s="3699"/>
      <c r="W6" s="3699"/>
      <c r="X6" s="1353"/>
      <c r="Y6" s="3697"/>
      <c r="Z6" s="3698"/>
      <c r="AA6" s="3682"/>
      <c r="AB6" s="3682"/>
      <c r="AC6" s="3682"/>
    </row>
    <row r="7" spans="1:29" s="108" customFormat="1" ht="15.75" thickBot="1">
      <c r="A7" s="362" t="s">
        <v>1679</v>
      </c>
      <c r="B7" s="363"/>
      <c r="C7" s="364">
        <f>'数据-取费表'!B2</f>
        <v>45236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4" t="s">
        <v>1680</v>
      </c>
      <c r="Q7" s="3706"/>
      <c r="R7" s="699" t="s">
        <v>14</v>
      </c>
      <c r="S7" s="700">
        <f t="shared" ref="S7:S15" si="0">F7</f>
        <v>0</v>
      </c>
      <c r="T7" s="699" t="s">
        <v>14</v>
      </c>
      <c r="U7" s="700">
        <f t="shared" ref="U7:U15" si="1">H7</f>
        <v>0</v>
      </c>
      <c r="V7" s="699" t="s">
        <v>14</v>
      </c>
      <c r="W7" s="700">
        <f t="shared" ref="W7:W15" si="2">J7</f>
        <v>0</v>
      </c>
      <c r="X7" s="701"/>
      <c r="Y7" s="3704" t="s">
        <v>1680</v>
      </c>
      <c r="Z7" s="370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4" t="s">
        <v>1683</v>
      </c>
      <c r="Q8" s="3705"/>
      <c r="R8" s="699" t="s">
        <v>14</v>
      </c>
      <c r="S8" s="700">
        <f t="shared" si="0"/>
        <v>0</v>
      </c>
      <c r="T8" s="699" t="s">
        <v>14</v>
      </c>
      <c r="U8" s="700">
        <f t="shared" si="1"/>
        <v>0</v>
      </c>
      <c r="V8" s="699" t="s">
        <v>14</v>
      </c>
      <c r="W8" s="700">
        <f t="shared" si="2"/>
        <v>0</v>
      </c>
      <c r="X8" s="701"/>
      <c r="Y8" s="3704" t="s">
        <v>1683</v>
      </c>
      <c r="Z8" s="370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8"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7"/>
      <c r="M10" s="2718"/>
      <c r="N10" s="2718"/>
      <c r="O10" s="2771"/>
      <c r="P10" s="3668"/>
      <c r="Q10" s="1341" t="str">
        <f t="shared" si="6"/>
        <v>土地使用年限（年）</v>
      </c>
      <c r="R10" s="699" t="s">
        <v>14</v>
      </c>
      <c r="S10" s="700">
        <f t="shared" si="0"/>
        <v>120</v>
      </c>
      <c r="T10" s="699" t="s">
        <v>14</v>
      </c>
      <c r="U10" s="700">
        <f t="shared" si="1"/>
        <v>120</v>
      </c>
      <c r="V10" s="699" t="s">
        <v>14</v>
      </c>
      <c r="W10" s="700">
        <f t="shared" si="2"/>
        <v>120</v>
      </c>
      <c r="X10" s="701"/>
      <c r="Y10" s="3543"/>
      <c r="Z10" s="52" t="str">
        <f t="shared" si="7"/>
        <v>土地使用年限（年）</v>
      </c>
      <c r="AA10" s="702">
        <f t="shared" si="3"/>
        <v>0.83333333333333337</v>
      </c>
      <c r="AB10" s="702">
        <f t="shared" si="4"/>
        <v>0.83333333333333337</v>
      </c>
      <c r="AC10" s="702">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8"/>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8"/>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8"/>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8"/>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0" t="s">
        <v>1691</v>
      </c>
      <c r="Q15" s="1350" t="str">
        <f t="shared" si="6"/>
        <v>产业集聚程度</v>
      </c>
      <c r="R15" s="703" t="s">
        <v>14</v>
      </c>
      <c r="S15" s="704">
        <f t="shared" si="0"/>
        <v>100</v>
      </c>
      <c r="T15" s="703" t="s">
        <v>14</v>
      </c>
      <c r="U15" s="704">
        <f t="shared" si="1"/>
        <v>100</v>
      </c>
      <c r="V15" s="703" t="s">
        <v>14</v>
      </c>
      <c r="W15" s="704">
        <f t="shared" si="2"/>
        <v>100</v>
      </c>
      <c r="X15" s="1353"/>
      <c r="Y15" s="367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1"/>
      <c r="Q16" s="1350"/>
      <c r="R16" s="703"/>
      <c r="S16" s="704"/>
      <c r="T16" s="703"/>
      <c r="U16" s="704"/>
      <c r="V16" s="703"/>
      <c r="W16" s="704"/>
      <c r="X16" s="1353"/>
      <c r="Y16" s="367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1"/>
      <c r="Q17" s="1350" t="str">
        <f>B17</f>
        <v>交通便捷度</v>
      </c>
      <c r="R17" s="703" t="s">
        <v>14</v>
      </c>
      <c r="S17" s="704">
        <f>F17</f>
        <v>100</v>
      </c>
      <c r="T17" s="703" t="s">
        <v>14</v>
      </c>
      <c r="U17" s="704">
        <f>H17</f>
        <v>100</v>
      </c>
      <c r="V17" s="703" t="s">
        <v>14</v>
      </c>
      <c r="W17" s="704">
        <f>J17</f>
        <v>100</v>
      </c>
      <c r="X17" s="1353"/>
      <c r="Y17" s="367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1"/>
      <c r="Q18" s="1350"/>
      <c r="R18" s="703"/>
      <c r="S18" s="704"/>
      <c r="T18" s="703"/>
      <c r="U18" s="704"/>
      <c r="V18" s="703"/>
      <c r="W18" s="704"/>
      <c r="X18" s="1353"/>
      <c r="Y18" s="367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1"/>
      <c r="Q19" s="1350" t="str">
        <f t="shared" ref="Q19:Q33" si="8">B19</f>
        <v>区域土地利用方向</v>
      </c>
      <c r="R19" s="703" t="s">
        <v>14</v>
      </c>
      <c r="S19" s="704">
        <f>F19</f>
        <v>100</v>
      </c>
      <c r="T19" s="703" t="s">
        <v>14</v>
      </c>
      <c r="U19" s="704">
        <f>H19</f>
        <v>100</v>
      </c>
      <c r="V19" s="703" t="s">
        <v>14</v>
      </c>
      <c r="W19" s="704">
        <f>J19</f>
        <v>100</v>
      </c>
      <c r="X19" s="1353"/>
      <c r="Y19" s="367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1"/>
      <c r="Q20" s="1350"/>
      <c r="R20" s="703"/>
      <c r="S20" s="704"/>
      <c r="T20" s="703"/>
      <c r="U20" s="704"/>
      <c r="V20" s="703"/>
      <c r="W20" s="704"/>
      <c r="X20" s="1353"/>
      <c r="Y20" s="367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1"/>
      <c r="Q21" s="1350" t="str">
        <f t="shared" si="8"/>
        <v>环境状况</v>
      </c>
      <c r="R21" s="703" t="s">
        <v>14</v>
      </c>
      <c r="S21" s="704">
        <f>F21</f>
        <v>100</v>
      </c>
      <c r="T21" s="703" t="s">
        <v>14</v>
      </c>
      <c r="U21" s="704">
        <f>H21</f>
        <v>100</v>
      </c>
      <c r="V21" s="703" t="s">
        <v>14</v>
      </c>
      <c r="W21" s="704">
        <f>J21</f>
        <v>100</v>
      </c>
      <c r="X21" s="1353"/>
      <c r="Y21" s="367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1"/>
      <c r="Q22" s="1350"/>
      <c r="R22" s="703"/>
      <c r="S22" s="704"/>
      <c r="T22" s="703"/>
      <c r="U22" s="704"/>
      <c r="V22" s="703"/>
      <c r="W22" s="704"/>
      <c r="X22" s="1353"/>
      <c r="Y22" s="367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1"/>
      <c r="Q23" s="1341" t="str">
        <f t="shared" si="8"/>
        <v>公共配套设施</v>
      </c>
      <c r="R23" s="699" t="s">
        <v>14</v>
      </c>
      <c r="S23" s="700">
        <f>F23</f>
        <v>100</v>
      </c>
      <c r="T23" s="699" t="s">
        <v>14</v>
      </c>
      <c r="U23" s="700">
        <f>H23</f>
        <v>100</v>
      </c>
      <c r="V23" s="699" t="s">
        <v>14</v>
      </c>
      <c r="W23" s="700">
        <f>J23</f>
        <v>100</v>
      </c>
      <c r="X23" s="701"/>
      <c r="Y23" s="367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1"/>
      <c r="Q24" s="1341"/>
      <c r="R24" s="699"/>
      <c r="S24" s="700"/>
      <c r="T24" s="699"/>
      <c r="U24" s="700"/>
      <c r="V24" s="699"/>
      <c r="W24" s="700"/>
      <c r="X24" s="701"/>
      <c r="Y24" s="367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1"/>
      <c r="Q25" s="1341" t="str">
        <f t="shared" ref="Q25" si="9">B25</f>
        <v>基础设施水平</v>
      </c>
      <c r="R25" s="699" t="s">
        <v>14</v>
      </c>
      <c r="S25" s="700">
        <f>F25</f>
        <v>100</v>
      </c>
      <c r="T25" s="699" t="s">
        <v>14</v>
      </c>
      <c r="U25" s="700">
        <f>H25</f>
        <v>100</v>
      </c>
      <c r="V25" s="699" t="s">
        <v>14</v>
      </c>
      <c r="W25" s="700">
        <f>J25</f>
        <v>100</v>
      </c>
      <c r="X25" s="701"/>
      <c r="Y25" s="367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1"/>
      <c r="Q26" s="1341"/>
      <c r="R26" s="699"/>
      <c r="S26" s="700"/>
      <c r="T26" s="699"/>
      <c r="U26" s="700"/>
      <c r="V26" s="699"/>
      <c r="W26" s="700"/>
      <c r="X26" s="701"/>
      <c r="Y26" s="367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1"/>
      <c r="Q28" s="1350" t="str">
        <f t="shared" si="8"/>
        <v>毗邻道路的类型与等级</v>
      </c>
      <c r="R28" s="703" t="s">
        <v>14</v>
      </c>
      <c r="S28" s="704">
        <f t="shared" si="10"/>
        <v>100</v>
      </c>
      <c r="T28" s="703" t="s">
        <v>14</v>
      </c>
      <c r="U28" s="704">
        <f t="shared" si="11"/>
        <v>100</v>
      </c>
      <c r="V28" s="703" t="s">
        <v>14</v>
      </c>
      <c r="W28" s="704">
        <f t="shared" si="12"/>
        <v>100</v>
      </c>
      <c r="X28" s="1353"/>
      <c r="Y28" s="367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1"/>
      <c r="Q29" s="1350"/>
      <c r="R29" s="703"/>
      <c r="S29" s="704"/>
      <c r="T29" s="703"/>
      <c r="U29" s="704"/>
      <c r="V29" s="703"/>
      <c r="W29" s="704"/>
      <c r="X29" s="1353"/>
      <c r="Y29" s="367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1"/>
      <c r="Q30" s="1350" t="str">
        <f t="shared" si="8"/>
        <v>土地级别</v>
      </c>
      <c r="R30" s="703" t="s">
        <v>14</v>
      </c>
      <c r="S30" s="704">
        <f t="shared" si="10"/>
        <v>100</v>
      </c>
      <c r="T30" s="703" t="s">
        <v>14</v>
      </c>
      <c r="U30" s="704">
        <f t="shared" si="11"/>
        <v>100</v>
      </c>
      <c r="V30" s="703" t="s">
        <v>14</v>
      </c>
      <c r="W30" s="704">
        <f t="shared" si="12"/>
        <v>100</v>
      </c>
      <c r="X30" s="1353"/>
      <c r="Y30" s="367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1"/>
      <c r="Q31" s="1350">
        <f t="shared" si="8"/>
        <v>111</v>
      </c>
      <c r="R31" s="703" t="s">
        <v>14</v>
      </c>
      <c r="S31" s="704">
        <f t="shared" si="10"/>
        <v>100</v>
      </c>
      <c r="T31" s="703" t="s">
        <v>14</v>
      </c>
      <c r="U31" s="704">
        <f t="shared" si="11"/>
        <v>100</v>
      </c>
      <c r="V31" s="703" t="s">
        <v>14</v>
      </c>
      <c r="W31" s="704">
        <f t="shared" si="12"/>
        <v>100</v>
      </c>
      <c r="X31" s="1353"/>
      <c r="Y31" s="367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8" t="s">
        <v>1696</v>
      </c>
      <c r="Q32" s="1350">
        <f t="shared" si="8"/>
        <v>111</v>
      </c>
      <c r="R32" s="703" t="s">
        <v>14</v>
      </c>
      <c r="S32" s="704">
        <f t="shared" si="10"/>
        <v>100</v>
      </c>
      <c r="T32" s="703" t="s">
        <v>14</v>
      </c>
      <c r="U32" s="704">
        <f t="shared" si="11"/>
        <v>100</v>
      </c>
      <c r="V32" s="703" t="s">
        <v>14</v>
      </c>
      <c r="W32" s="704">
        <f t="shared" si="12"/>
        <v>100</v>
      </c>
      <c r="X32" s="1353"/>
      <c r="Y32" s="367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5"/>
      <c r="Q33" s="1350">
        <f t="shared" si="8"/>
        <v>111</v>
      </c>
      <c r="R33" s="706" t="s">
        <v>14</v>
      </c>
      <c r="S33" s="707">
        <f t="shared" si="10"/>
        <v>100</v>
      </c>
      <c r="T33" s="706" t="s">
        <v>14</v>
      </c>
      <c r="U33" s="707">
        <f t="shared" si="11"/>
        <v>100</v>
      </c>
      <c r="V33" s="706" t="s">
        <v>14</v>
      </c>
      <c r="W33" s="707">
        <f t="shared" si="12"/>
        <v>100</v>
      </c>
      <c r="X33" s="708"/>
      <c r="Y33" s="367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5"/>
      <c r="Q34" s="1350" t="str">
        <f>B34</f>
        <v>宗地面积</v>
      </c>
      <c r="R34" s="703" t="s">
        <v>14</v>
      </c>
      <c r="S34" s="704" t="e">
        <f t="shared" si="10"/>
        <v>#N/A</v>
      </c>
      <c r="T34" s="703" t="s">
        <v>14</v>
      </c>
      <c r="U34" s="704" t="e">
        <f t="shared" si="11"/>
        <v>#N/A</v>
      </c>
      <c r="V34" s="703" t="s">
        <v>14</v>
      </c>
      <c r="W34" s="704" t="e">
        <f t="shared" si="12"/>
        <v>#N/A</v>
      </c>
      <c r="X34" s="1353"/>
      <c r="Y34" s="367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5"/>
      <c r="Q35" s="1350" t="str">
        <f t="shared" ref="Q35:Q40" si="14">B35</f>
        <v>宗地形状</v>
      </c>
      <c r="R35" s="703" t="s">
        <v>14</v>
      </c>
      <c r="S35" s="704">
        <f t="shared" si="10"/>
        <v>100</v>
      </c>
      <c r="T35" s="703" t="s">
        <v>14</v>
      </c>
      <c r="U35" s="704">
        <f t="shared" si="11"/>
        <v>100</v>
      </c>
      <c r="V35" s="703" t="s">
        <v>14</v>
      </c>
      <c r="W35" s="704">
        <f t="shared" si="12"/>
        <v>100</v>
      </c>
      <c r="X35" s="1353"/>
      <c r="Y35" s="367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5"/>
      <c r="Q36" s="1350" t="str">
        <f t="shared" si="14"/>
        <v>宗地开发程度</v>
      </c>
      <c r="R36" s="699" t="s">
        <v>14</v>
      </c>
      <c r="S36" s="700">
        <f t="shared" si="10"/>
        <v>100</v>
      </c>
      <c r="T36" s="699" t="s">
        <v>14</v>
      </c>
      <c r="U36" s="700">
        <f t="shared" si="11"/>
        <v>100</v>
      </c>
      <c r="V36" s="699" t="s">
        <v>14</v>
      </c>
      <c r="W36" s="700">
        <f t="shared" si="12"/>
        <v>100</v>
      </c>
      <c r="X36" s="701"/>
      <c r="Y36" s="367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5" t="s">
        <v>1696</v>
      </c>
      <c r="Q37" s="1350" t="str">
        <f t="shared" si="14"/>
        <v>工程地质条件</v>
      </c>
      <c r="R37" s="703" t="s">
        <v>14</v>
      </c>
      <c r="S37" s="704">
        <f t="shared" si="10"/>
        <v>100</v>
      </c>
      <c r="T37" s="703" t="s">
        <v>14</v>
      </c>
      <c r="U37" s="704">
        <f t="shared" si="11"/>
        <v>100</v>
      </c>
      <c r="V37" s="703" t="s">
        <v>14</v>
      </c>
      <c r="W37" s="704">
        <f t="shared" si="12"/>
        <v>100</v>
      </c>
      <c r="X37" s="1353"/>
      <c r="Y37" s="367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5"/>
      <c r="Q38" s="1350">
        <f t="shared" si="14"/>
        <v>111</v>
      </c>
      <c r="R38" s="703" t="s">
        <v>14</v>
      </c>
      <c r="S38" s="704">
        <f t="shared" si="10"/>
        <v>100</v>
      </c>
      <c r="T38" s="703" t="s">
        <v>14</v>
      </c>
      <c r="U38" s="704">
        <f t="shared" si="11"/>
        <v>100</v>
      </c>
      <c r="V38" s="703" t="s">
        <v>14</v>
      </c>
      <c r="W38" s="704">
        <f t="shared" si="12"/>
        <v>100</v>
      </c>
      <c r="X38" s="1353"/>
      <c r="Y38" s="367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5"/>
      <c r="Q39" s="1350">
        <f t="shared" si="14"/>
        <v>111</v>
      </c>
      <c r="R39" s="703" t="s">
        <v>14</v>
      </c>
      <c r="S39" s="704">
        <f t="shared" si="10"/>
        <v>100</v>
      </c>
      <c r="T39" s="703" t="s">
        <v>14</v>
      </c>
      <c r="U39" s="704">
        <f t="shared" si="11"/>
        <v>100</v>
      </c>
      <c r="V39" s="703" t="s">
        <v>14</v>
      </c>
      <c r="W39" s="704">
        <f t="shared" si="12"/>
        <v>100</v>
      </c>
      <c r="X39" s="1353"/>
      <c r="Y39" s="367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5"/>
      <c r="Q40" s="1350">
        <f t="shared" si="14"/>
        <v>111</v>
      </c>
      <c r="R40" s="706" t="s">
        <v>14</v>
      </c>
      <c r="S40" s="707">
        <f t="shared" si="10"/>
        <v>100</v>
      </c>
      <c r="T40" s="706" t="s">
        <v>14</v>
      </c>
      <c r="U40" s="707">
        <f t="shared" si="11"/>
        <v>100</v>
      </c>
      <c r="V40" s="706" t="s">
        <v>14</v>
      </c>
      <c r="W40" s="707">
        <f t="shared" si="12"/>
        <v>100</v>
      </c>
      <c r="X40" s="708"/>
      <c r="Y40" s="367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8" t="str">
        <f>A41</f>
        <v>成交单价</v>
      </c>
      <c r="Q41" s="3668"/>
      <c r="R41" s="3699">
        <f>E41</f>
        <v>0</v>
      </c>
      <c r="S41" s="3699"/>
      <c r="T41" s="3699">
        <f>G41</f>
        <v>0</v>
      </c>
      <c r="U41" s="3699"/>
      <c r="V41" s="3699">
        <f>I41</f>
        <v>0</v>
      </c>
      <c r="W41" s="3699"/>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8" t="str">
        <f>A42</f>
        <v>比较价值（元/平方米）</v>
      </c>
      <c r="Q42" s="3668"/>
      <c r="R42" s="3730" t="e">
        <f>ROUND(PRODUCT(R41,AA7:AA40),0)</f>
        <v>#DIV/0!</v>
      </c>
      <c r="S42" s="3730"/>
      <c r="T42" s="3730" t="e">
        <f>ROUND(PRODUCT(T41,AB7:AB40),0)</f>
        <v>#DIV/0!</v>
      </c>
      <c r="U42" s="3730"/>
      <c r="V42" s="3730" t="e">
        <f>ROUND(PRODUCT(V41,AC7:AC40),0)</f>
        <v>#DIV/0!</v>
      </c>
      <c r="W42" s="373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5" t="str">
        <f>A43</f>
        <v>估价对象XX用房的比较价值（楼面单价，元/平方米）</v>
      </c>
      <c r="Q43" s="3666"/>
      <c r="R43" s="3731" t="e">
        <f>ROUND(IF(D42="简单平均",AVERAGE(R42:W42),R42*F42+T42*H42+V42*J42),0)</f>
        <v>#DIV/0!</v>
      </c>
      <c r="S43" s="3731"/>
      <c r="T43" s="3731"/>
      <c r="U43" s="3731"/>
      <c r="V43" s="3731"/>
      <c r="W43" s="373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31701.279999999999</v>
      </c>
      <c r="F51" s="639" t="e">
        <f t="shared" ref="F51:F60" si="15">ROUND(B51*E51/10000,0)</f>
        <v>#DIV/0!</v>
      </c>
      <c r="G51" s="3679"/>
      <c r="H51" s="366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4455.83</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25572.42</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29.55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49302.647100000002</v>
      </c>
      <c r="C2" s="1385" t="s">
        <v>879</v>
      </c>
      <c r="D2" s="1469">
        <f ca="1">C40+J29+L46</f>
        <v>493026471</v>
      </c>
      <c r="E2" s="1386" t="s">
        <v>880</v>
      </c>
      <c r="F2" s="1387"/>
      <c r="G2" s="2704"/>
      <c r="H2" s="2693"/>
      <c r="I2" s="2693"/>
      <c r="J2" s="2693"/>
      <c r="K2" s="2694"/>
      <c r="L2" s="2693"/>
      <c r="M2" s="2693"/>
    </row>
    <row r="3" spans="1:37" ht="18" customHeight="1" thickBot="1">
      <c r="A3" s="1388" t="s">
        <v>881</v>
      </c>
      <c r="B3" s="1389">
        <f ca="1">IF(ISERROR(D2/F43),0,ROUND(D2/F43,0))</f>
        <v>13636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32109636</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32069549</v>
      </c>
      <c r="D6" s="155" t="s">
        <v>2105</v>
      </c>
      <c r="E6" s="302" t="s">
        <v>696</v>
      </c>
      <c r="F6" s="303">
        <f ca="1">INDIRECT("'数据-取费表'!u"&amp;$G$1)</f>
        <v>2.7</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36157.11</v>
      </c>
      <c r="G7" s="1382"/>
      <c r="H7" s="304"/>
      <c r="I7" s="3642"/>
      <c r="J7" s="306"/>
      <c r="K7" s="307"/>
      <c r="L7" s="302" t="s">
        <v>697</v>
      </c>
      <c r="M7" s="303">
        <f ca="1">F7</f>
        <v>36157.11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40087</v>
      </c>
      <c r="D10" s="1364" t="s">
        <v>2115</v>
      </c>
      <c r="E10" s="313" t="s">
        <v>701</v>
      </c>
      <c r="F10" s="1114" t="s">
        <v>3423</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194715656</v>
      </c>
      <c r="D13" s="1079" t="s">
        <v>705</v>
      </c>
      <c r="E13" s="1079" t="s">
        <v>706</v>
      </c>
      <c r="F13" s="1080">
        <f ca="1">INDIRECT("'数据-取费表'!y"&amp;$G$1)</f>
        <v>0.84</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162706995</v>
      </c>
      <c r="D14" s="1343" t="s">
        <v>708</v>
      </c>
      <c r="E14" s="1340"/>
      <c r="F14" s="319"/>
      <c r="G14" s="1382"/>
      <c r="H14" s="980" t="s">
        <v>398</v>
      </c>
      <c r="I14" s="302" t="s">
        <v>709</v>
      </c>
      <c r="J14" s="21">
        <f ca="1">C29</f>
        <v>231804352</v>
      </c>
      <c r="K14" s="12"/>
      <c r="L14" s="805"/>
      <c r="M14" s="806"/>
    </row>
    <row r="15" spans="1:37" s="1395" customFormat="1" ht="18" customHeight="1" thickBot="1">
      <c r="A15" s="980" t="s">
        <v>399</v>
      </c>
      <c r="B15" s="302" t="s">
        <v>710</v>
      </c>
      <c r="C15" s="21">
        <f ca="1">ROUND(C14*F15,0)</f>
        <v>4881210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1197381</v>
      </c>
      <c r="K16" s="1085" t="s">
        <v>715</v>
      </c>
      <c r="L16" s="1086"/>
      <c r="M16" s="1070"/>
    </row>
    <row r="17" spans="1:37" s="1395" customFormat="1" ht="18" customHeight="1">
      <c r="A17" s="980" t="s">
        <v>681</v>
      </c>
      <c r="B17" s="302" t="s">
        <v>716</v>
      </c>
      <c r="C17" s="21">
        <f ca="1">ROUND(F17*(F43+INDIRECT("'数据-取费表'!S"&amp;$G$1)),0)</f>
        <v>7231422</v>
      </c>
      <c r="D17" s="302" t="s">
        <v>717</v>
      </c>
      <c r="E17" s="302" t="s">
        <v>718</v>
      </c>
      <c r="F17" s="23">
        <f>'数据-取费表'!B35</f>
        <v>200</v>
      </c>
      <c r="G17" s="1394"/>
      <c r="H17" s="980" t="s">
        <v>398</v>
      </c>
      <c r="I17" s="302" t="s">
        <v>719</v>
      </c>
      <c r="J17" s="2314">
        <f ca="1">ROUND(IF(AND(项目基本情况!B11="自然人",项目基本情况!B10="北京市"),J6*M17/(1+'数据-取费表'!C42),J18+J19+J20),0)</f>
        <v>38359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2440605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177260232</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3545205</v>
      </c>
      <c r="D20" s="323" t="s">
        <v>729</v>
      </c>
      <c r="E20" s="302" t="s">
        <v>712</v>
      </c>
      <c r="F20" s="322">
        <f>'数据-取费表'!B37</f>
        <v>0.02</v>
      </c>
      <c r="G20" s="1394"/>
      <c r="H20" s="980" t="s">
        <v>680</v>
      </c>
      <c r="I20" s="155" t="s">
        <v>730</v>
      </c>
      <c r="J20" s="22">
        <f ca="1">ROUND(M20*M21,0)</f>
        <v>38359</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25572.42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1159022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6237788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-1197381</v>
      </c>
      <c r="K25" s="1093" t="s">
        <v>753</v>
      </c>
      <c r="L25" s="1094"/>
      <c r="M25" s="1095"/>
    </row>
    <row r="26" spans="1:37" ht="18" customHeight="1">
      <c r="A26" s="980" t="s">
        <v>397</v>
      </c>
      <c r="B26" s="302" t="s">
        <v>754</v>
      </c>
      <c r="C26" s="21">
        <f ca="1">ROUND((C19+C20)*F26,0)</f>
        <v>27120816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231804352</v>
      </c>
      <c r="D29" s="1090"/>
      <c r="E29" s="1088"/>
      <c r="F29" s="1091"/>
      <c r="G29" s="1394"/>
      <c r="H29" s="334" t="s">
        <v>396</v>
      </c>
      <c r="I29" s="335" t="s">
        <v>768</v>
      </c>
      <c r="J29" s="336">
        <f ca="1">ROUND(J26/(1+F40)^F41,0)</f>
        <v>0</v>
      </c>
      <c r="K29" s="337" t="s">
        <v>769</v>
      </c>
      <c r="L29" s="338"/>
      <c r="M29" s="339">
        <f ca="1">INDIRECT("'数据-取费表'!k"&amp;$G$1)</f>
        <v>36157.11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6897570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5383284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1679834</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3665091</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38359</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25572.42</v>
      </c>
      <c r="G35" s="1382"/>
      <c r="H35" s="2695"/>
      <c r="I35" s="1396"/>
      <c r="J35" s="1397"/>
      <c r="K35" s="2699"/>
      <c r="L35" s="2698"/>
      <c r="M35" s="2698"/>
    </row>
    <row r="36" spans="1:18" ht="18" customHeight="1">
      <c r="A36" s="1100" t="s">
        <v>402</v>
      </c>
      <c r="B36" s="302" t="s">
        <v>738</v>
      </c>
      <c r="C36" s="21">
        <f ca="1">ROUND(C29*F36,0)</f>
        <v>1159022</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194716</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160548</v>
      </c>
      <c r="D38" s="1090" t="s">
        <v>748</v>
      </c>
      <c r="E38" s="1088" t="s">
        <v>744</v>
      </c>
      <c r="F38" s="1084">
        <f ca="1">INDIRECT("'数据-取费表'!Am"&amp;$G$1)</f>
        <v>5.0000000000000001E-3</v>
      </c>
      <c r="G38" s="1382"/>
      <c r="H38" s="2698"/>
      <c r="I38" s="1396">
        <f ca="1">C39/C5</f>
        <v>0.7851869139843255</v>
      </c>
      <c r="J38" s="1397"/>
      <c r="K38" s="2702"/>
      <c r="L38" s="2698"/>
      <c r="M38" s="2698"/>
    </row>
    <row r="39" spans="1:18" ht="24.6" customHeight="1" thickTop="1">
      <c r="A39" s="1077" t="s">
        <v>394</v>
      </c>
      <c r="B39" s="1092" t="s">
        <v>772</v>
      </c>
      <c r="C39" s="310">
        <f ca="1">C5-C30</f>
        <v>25212066</v>
      </c>
      <c r="D39" s="1093" t="s">
        <v>773</v>
      </c>
      <c r="E39" s="1094"/>
      <c r="F39" s="1095"/>
      <c r="G39" s="1382"/>
      <c r="H39" s="2698"/>
      <c r="I39" s="1396"/>
      <c r="J39" s="1397"/>
      <c r="K39" s="2702"/>
      <c r="L39" s="2698"/>
      <c r="M39" s="2698"/>
    </row>
    <row r="40" spans="1:18" ht="18" customHeight="1">
      <c r="A40" s="299" t="s">
        <v>395</v>
      </c>
      <c r="B40" s="300" t="s">
        <v>774</v>
      </c>
      <c r="C40" s="301">
        <f ca="1">ROUND(C39*(1-((1+F42)/(1+F40))^F41)/(F40-F42),0)</f>
        <v>482085359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29.55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13333</v>
      </c>
      <c r="D43" s="337" t="s">
        <v>777</v>
      </c>
      <c r="E43" s="338" t="s">
        <v>778</v>
      </c>
      <c r="F43" s="339">
        <f ca="1">INDIRECT("'数据-取费表'!k"&amp;$G$1)</f>
        <v>36157.11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-50219.389900000002</v>
      </c>
      <c r="D45" s="3430" t="s">
        <v>3355</v>
      </c>
      <c r="E45" s="1398"/>
      <c r="F45" s="1398"/>
      <c r="O45" s="1401" t="s">
        <v>808</v>
      </c>
      <c r="P45" s="1459"/>
      <c r="Q45" s="1459"/>
      <c r="R45" s="1459"/>
    </row>
    <row r="46" spans="1:18" s="1382" customFormat="1" ht="13.5" thickBot="1">
      <c r="A46" s="1402" t="s">
        <v>809</v>
      </c>
      <c r="C46" s="1403">
        <f ca="1">ROUND(C45,0)</f>
        <v>-50219</v>
      </c>
      <c r="D46" s="1404" t="str">
        <f>C2</f>
        <v>万元</v>
      </c>
      <c r="I46" s="1405" t="s">
        <v>810</v>
      </c>
      <c r="J46" s="1406"/>
      <c r="K46" s="1407"/>
      <c r="L46" s="1408">
        <f ca="1">IF(M47="住宅",0,IF(L48&gt;J51,L60,J60))</f>
        <v>10941112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3424</v>
      </c>
      <c r="K47" s="1414" t="s">
        <v>816</v>
      </c>
      <c r="L47" s="1415">
        <f ca="1">INDIRECT("'数据-取费表'!d"&amp;$G$1)</f>
        <v>50</v>
      </c>
      <c r="M47" s="1378" t="str">
        <f>IF(ISNUMBER(FIND("住宅",C1)),"住宅","非住宅")</f>
        <v>非住宅</v>
      </c>
      <c r="O47" s="1416" t="s">
        <v>403</v>
      </c>
      <c r="P47" s="1417" t="s">
        <v>817</v>
      </c>
      <c r="Q47" s="1418">
        <f ca="1">C40+J29</f>
        <v>482085359</v>
      </c>
      <c r="R47" s="1418" t="s">
        <v>818</v>
      </c>
    </row>
    <row r="48" spans="1:18" s="1382" customFormat="1" ht="28.5" thickBot="1">
      <c r="A48" s="1108" t="s">
        <v>438</v>
      </c>
      <c r="B48" s="300" t="s">
        <v>692</v>
      </c>
      <c r="C48" s="1357">
        <f ca="1">C49+C53+C55</f>
        <v>0</v>
      </c>
      <c r="D48" s="1110"/>
      <c r="E48" s="1111"/>
      <c r="F48" s="960"/>
      <c r="G48" s="720"/>
      <c r="H48" s="721"/>
      <c r="I48" s="1419" t="s">
        <v>819</v>
      </c>
      <c r="J48" s="1420" t="s">
        <v>3425</v>
      </c>
      <c r="K48" s="1421" t="s">
        <v>820</v>
      </c>
      <c r="L48" s="1422">
        <f ca="1">INDIRECT("'数据-取费表'!f"&amp;$G$1)</f>
        <v>29.55</v>
      </c>
      <c r="O48" s="1416" t="s">
        <v>404</v>
      </c>
      <c r="P48" s="1417" t="s">
        <v>821</v>
      </c>
      <c r="Q48" s="1418">
        <f ca="1">J60</f>
        <v>10941112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2012</v>
      </c>
      <c r="K49" s="1421" t="s">
        <v>824</v>
      </c>
      <c r="L49" s="1425"/>
      <c r="O49" s="1426" t="s">
        <v>405</v>
      </c>
      <c r="P49" s="1417" t="s">
        <v>825</v>
      </c>
      <c r="Q49" s="1418">
        <f ca="1">C29</f>
        <v>231804352</v>
      </c>
      <c r="R49" s="1418" t="s">
        <v>818</v>
      </c>
    </row>
    <row r="50" spans="1:18" s="1382" customFormat="1" ht="13.5" thickBot="1">
      <c r="A50" s="974"/>
      <c r="B50" s="977"/>
      <c r="C50" s="978"/>
      <c r="D50" s="951"/>
      <c r="E50" s="1054" t="s">
        <v>697</v>
      </c>
      <c r="F50" s="1055">
        <f ca="1">F7</f>
        <v>36157.11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210429592</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29.55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29.55</v>
      </c>
      <c r="K53" s="3639" t="s">
        <v>837</v>
      </c>
      <c r="L53" s="3640"/>
      <c r="O53" s="1416" t="s">
        <v>409</v>
      </c>
      <c r="P53" s="1417" t="s">
        <v>838</v>
      </c>
      <c r="Q53" s="1418">
        <f ca="1">Q47+Q48</f>
        <v>493026471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0.32400000000000001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194715656</v>
      </c>
      <c r="D56" s="1445"/>
      <c r="E56" s="1446"/>
      <c r="F56" s="1438"/>
      <c r="I56" s="1447" t="s">
        <v>842</v>
      </c>
      <c r="J56" s="1448" t="s">
        <v>3386</v>
      </c>
      <c r="K56" s="1419" t="s">
        <v>843</v>
      </c>
      <c r="L56" s="1422" t="str">
        <f ca="1">IF(L48&lt;J51,"——",L48-J51)</f>
        <v>——</v>
      </c>
      <c r="O56" s="1416" t="s">
        <v>403</v>
      </c>
      <c r="P56" s="1417" t="s">
        <v>817</v>
      </c>
      <c r="Q56" s="1418">
        <f ca="1">C40+J29</f>
        <v>482085359</v>
      </c>
      <c r="R56" s="1418" t="s">
        <v>818</v>
      </c>
    </row>
    <row r="57" spans="1:18" s="1382" customFormat="1" ht="24.75" thickBot="1">
      <c r="A57" s="1449"/>
      <c r="B57" s="948" t="s">
        <v>767</v>
      </c>
      <c r="C57" s="238">
        <f ca="1">C29</f>
        <v>231804352</v>
      </c>
      <c r="D57" s="1450"/>
      <c r="E57" s="1451"/>
      <c r="F57" s="1452"/>
      <c r="I57" s="1453" t="s">
        <v>844</v>
      </c>
      <c r="J57" s="1454">
        <f ca="1">IF(OR(M47="住宅",J51&lt;L48,J56="是"),"——",J51-L48)</f>
        <v>19.45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1392097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38359</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92721741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10941112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38359</v>
      </c>
      <c r="D62" s="963" t="s">
        <v>786</v>
      </c>
      <c r="E62" s="948" t="s">
        <v>787</v>
      </c>
      <c r="F62" s="325">
        <f t="shared" si="0"/>
        <v>1.5</v>
      </c>
      <c r="I62" s="1460" t="s">
        <v>858</v>
      </c>
      <c r="J62" s="1461" t="s">
        <v>859</v>
      </c>
      <c r="K62" s="1461" t="s">
        <v>860</v>
      </c>
      <c r="L62" s="1461" t="s">
        <v>861</v>
      </c>
      <c r="M62" s="1462" t="s">
        <v>862</v>
      </c>
      <c r="O62" s="1416" t="s">
        <v>409</v>
      </c>
      <c r="P62" s="1417" t="s">
        <v>863</v>
      </c>
      <c r="Q62" s="1418">
        <f ca="1">Q56+Q57</f>
        <v>482085359</v>
      </c>
      <c r="R62" s="1418" t="s">
        <v>410</v>
      </c>
    </row>
    <row r="63" spans="1:18" s="1382" customFormat="1" ht="13.5" thickBot="1">
      <c r="A63" s="326"/>
      <c r="B63" s="954"/>
      <c r="C63" s="26"/>
      <c r="D63" s="964"/>
      <c r="E63" s="948" t="s">
        <v>788</v>
      </c>
      <c r="F63" s="303">
        <f t="shared" ca="1" si="0"/>
        <v>25572.42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1159022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194716</v>
      </c>
      <c r="D65" s="962" t="s">
        <v>743</v>
      </c>
      <c r="E65" s="948" t="s">
        <v>744</v>
      </c>
      <c r="F65" s="330">
        <f t="shared" ca="1" si="0"/>
        <v>1E-3</v>
      </c>
      <c r="I65" s="1460" t="s">
        <v>867</v>
      </c>
      <c r="J65" s="1461">
        <v>40</v>
      </c>
      <c r="K65" s="1461">
        <v>30</v>
      </c>
      <c r="L65" s="1461">
        <v>50</v>
      </c>
      <c r="M65" s="1463">
        <v>0.02</v>
      </c>
      <c r="O65" s="1416" t="s">
        <v>403</v>
      </c>
      <c r="P65" s="1417" t="s">
        <v>868</v>
      </c>
      <c r="Q65" s="1418">
        <f ca="1">C40+J29</f>
        <v>482085359</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-1392097</v>
      </c>
      <c r="D67" s="961" t="s">
        <v>753</v>
      </c>
      <c r="E67" s="966"/>
      <c r="F67" s="967"/>
      <c r="O67" s="1426" t="s">
        <v>405</v>
      </c>
      <c r="P67" s="1417" t="s">
        <v>850</v>
      </c>
      <c r="Q67" s="1464">
        <f ca="1">L51</f>
        <v>210429592</v>
      </c>
      <c r="R67" s="1418" t="s">
        <v>870</v>
      </c>
    </row>
    <row r="68" spans="1:18" s="1382" customFormat="1" ht="16.5" thickBot="1">
      <c r="A68" s="945" t="s">
        <v>395</v>
      </c>
      <c r="B68" s="946" t="s">
        <v>774</v>
      </c>
      <c r="C68" s="301">
        <f ca="1">ROUND(C67*(1-((1+F70)/(1+F68))^F69)/(F68-F70),0)</f>
        <v>-20108540</v>
      </c>
      <c r="D68" s="963" t="s">
        <v>758</v>
      </c>
      <c r="E68" s="948" t="s">
        <v>759</v>
      </c>
      <c r="F68" s="312">
        <f ca="1">F40</f>
        <v>5.5E-2</v>
      </c>
      <c r="O68" s="1426" t="s">
        <v>406</v>
      </c>
      <c r="P68" s="1465" t="s">
        <v>871</v>
      </c>
      <c r="Q68" s="1418">
        <f ca="1">ROUND(Q69-Q70*Q71,0)</f>
        <v>11581970</v>
      </c>
      <c r="R68" s="1418" t="s">
        <v>414</v>
      </c>
    </row>
    <row r="69" spans="1:18" s="1382" customFormat="1" ht="13.5" thickBot="1">
      <c r="A69" s="949"/>
      <c r="B69" s="950"/>
      <c r="C69" s="306"/>
      <c r="D69" s="968" t="s">
        <v>762</v>
      </c>
      <c r="E69" s="948" t="s">
        <v>763</v>
      </c>
      <c r="F69" s="333">
        <f ca="1">F41</f>
        <v>29.55</v>
      </c>
      <c r="O69" s="1426" t="s">
        <v>411</v>
      </c>
      <c r="P69" s="1465" t="s">
        <v>872</v>
      </c>
      <c r="Q69" s="1418">
        <f ca="1">C39</f>
        <v>25212066</v>
      </c>
      <c r="R69" s="1418" t="s">
        <v>818</v>
      </c>
    </row>
    <row r="70" spans="1:18" s="1382" customFormat="1" ht="13.5" thickBot="1">
      <c r="A70" s="952"/>
      <c r="B70" s="953"/>
      <c r="C70" s="310"/>
      <c r="D70" s="964"/>
      <c r="E70" s="948" t="s">
        <v>766</v>
      </c>
      <c r="F70" s="1052"/>
      <c r="O70" s="1426" t="s">
        <v>412</v>
      </c>
      <c r="P70" s="1465" t="s">
        <v>873</v>
      </c>
      <c r="Q70" s="1418">
        <f ca="1">C13</f>
        <v>194715656</v>
      </c>
      <c r="R70" s="1418" t="s">
        <v>818</v>
      </c>
    </row>
    <row r="71" spans="1:18" s="1382" customFormat="1" ht="13.5" thickBot="1">
      <c r="A71" s="969" t="s">
        <v>396</v>
      </c>
      <c r="B71" s="970" t="s">
        <v>776</v>
      </c>
      <c r="C71" s="336">
        <f ca="1">ROUND(C68/F71,0)</f>
        <v>-556</v>
      </c>
      <c r="D71" s="971" t="s">
        <v>777</v>
      </c>
      <c r="E71" s="972" t="s">
        <v>778</v>
      </c>
      <c r="F71" s="339">
        <f ca="1">F43</f>
        <v>36157.11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13630096</v>
      </c>
      <c r="D75" s="1382"/>
      <c r="E75" s="1382"/>
      <c r="F75" s="1382"/>
      <c r="K75" s="1400"/>
      <c r="L75" s="1382"/>
      <c r="O75" s="1416" t="s">
        <v>409</v>
      </c>
      <c r="P75" s="1417" t="s">
        <v>838</v>
      </c>
      <c r="Q75" s="1418">
        <f ca="1">Q65+Q66</f>
        <v>482085359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0.45899999999999996</v>
      </c>
    </row>
    <row r="80" spans="1:18">
      <c r="B80" s="340" t="s">
        <v>800</v>
      </c>
      <c r="C80" s="274">
        <f ca="1">ROUND(C75/C39,3)</f>
        <v>0.54100000000000004</v>
      </c>
    </row>
    <row r="81" spans="2:3">
      <c r="B81" s="270" t="s">
        <v>801</v>
      </c>
      <c r="C81" s="238"/>
    </row>
    <row r="82" spans="2:3">
      <c r="B82" s="273" t="s">
        <v>802</v>
      </c>
      <c r="C82" s="275">
        <f ca="1">1-C83</f>
        <v>0.59599999999999997</v>
      </c>
    </row>
    <row r="83" spans="2:3">
      <c r="B83" s="273" t="s">
        <v>803</v>
      </c>
      <c r="C83" s="274">
        <f ca="1">ROUND(C13/C40,3)</f>
        <v>0.40400000000000003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0" t="s">
        <v>2084</v>
      </c>
      <c r="D1" s="3741"/>
      <c r="E1" s="3741"/>
      <c r="F1" s="3741"/>
      <c r="G1" s="3741"/>
      <c r="H1" s="3741"/>
      <c r="I1" s="3741"/>
      <c r="J1" s="3741"/>
      <c r="K1" s="3741"/>
      <c r="L1" s="3741"/>
      <c r="M1" s="3741"/>
      <c r="N1" s="3741"/>
      <c r="O1" s="3741"/>
      <c r="P1" s="3741"/>
      <c r="Q1" s="3741"/>
      <c r="R1" s="3741"/>
      <c r="S1" s="3742"/>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1518</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12740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7" t="s">
        <v>27</v>
      </c>
      <c r="D22" s="3738"/>
      <c r="E22" s="3738"/>
      <c r="F22" s="3738"/>
      <c r="G22" s="3738"/>
      <c r="H22" s="3738"/>
      <c r="I22" s="3738"/>
      <c r="J22" s="3738"/>
      <c r="K22" s="3738"/>
      <c r="L22" s="3738"/>
      <c r="M22" s="3738"/>
      <c r="N22" s="3738"/>
      <c r="O22" s="3738"/>
      <c r="P22" s="3738"/>
      <c r="Q22" s="3739"/>
      <c r="R22" s="661">
        <f ca="1">ROUND(S22*10000/B22,0)</f>
        <v>12740</v>
      </c>
      <c r="S22" s="21">
        <f ca="1">SUM(S24:S10000)</f>
        <v>1518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12739</v>
      </c>
      <c r="S24" s="664">
        <f t="shared" ref="S24:S54" ca="1" si="11">ROUND(R24*B24/10000,0)</f>
        <v>135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12739</v>
      </c>
      <c r="S25" s="316">
        <f t="shared" ca="1" si="11"/>
        <v>135</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12739</v>
      </c>
      <c r="S26" s="316">
        <f t="shared" ca="1" si="11"/>
        <v>205</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12739</v>
      </c>
      <c r="S27" s="316">
        <f t="shared" ca="1" si="11"/>
        <v>175</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12739</v>
      </c>
      <c r="S28" s="316">
        <f t="shared" ca="1" si="11"/>
        <v>218</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12739</v>
      </c>
      <c r="S29" s="316">
        <f t="shared" ca="1" si="11"/>
        <v>175</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12739</v>
      </c>
      <c r="S30" s="316">
        <f t="shared" ca="1" si="11"/>
        <v>205</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12739</v>
      </c>
      <c r="S31" s="316">
        <f t="shared" ca="1" si="11"/>
        <v>135</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12739</v>
      </c>
      <c r="S32" s="316">
        <f t="shared" ca="1" si="11"/>
        <v>135</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14985</v>
      </c>
      <c r="C2" s="2143" t="s">
        <v>2074</v>
      </c>
      <c r="D2" s="2143" t="s">
        <v>2075</v>
      </c>
      <c r="E2" s="2610">
        <f ca="1">SUMIF(E6:E13,"&lt;&gt;#ref!",E6:E13)</f>
        <v>36157.11</v>
      </c>
      <c r="F2" s="2791"/>
      <c r="G2" s="2791"/>
      <c r="H2" s="2791"/>
      <c r="I2" s="2791"/>
      <c r="J2" s="2791"/>
      <c r="K2" s="2791"/>
      <c r="L2" s="2791"/>
      <c r="M2" s="2791"/>
      <c r="N2" s="2791"/>
      <c r="O2" s="2791"/>
      <c r="P2" s="2791"/>
    </row>
    <row r="3" spans="1:16" ht="15.75">
      <c r="A3" s="2143" t="s">
        <v>2076</v>
      </c>
      <c r="B3" s="2600">
        <f ca="1">ROUND(B2*10000/E2,0)</f>
        <v>4144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14985</v>
      </c>
      <c r="C6" s="2143" t="s">
        <v>2074</v>
      </c>
      <c r="D6" s="2791"/>
      <c r="E6" s="2610">
        <f ca="1">SUMIF(INDIRECT("'"&amp;A6&amp;"'"&amp;"!C:C"),"建筑面积",INDIRECT("'"&amp;A6&amp;"'"&amp;"!D:D"))</f>
        <v>36157.11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36157.11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14985</v>
      </c>
      <c r="C2" s="1997" t="s">
        <v>1935</v>
      </c>
      <c r="D2" s="1998" t="s">
        <v>1936</v>
      </c>
      <c r="E2" s="3420" t="s">
        <v>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Ⅵ-BDA核心</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6275</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4144</v>
      </c>
      <c r="C3" s="1997" t="s">
        <v>1941</v>
      </c>
      <c r="D3" s="1998" t="s">
        <v>1942</v>
      </c>
      <c r="E3" s="3418" t="s">
        <v>3483</v>
      </c>
      <c r="F3" s="2002" t="s">
        <v>3479</v>
      </c>
      <c r="G3" s="750">
        <f>IF(F3="宗地容积率",'数据-汇总表'!I4,IF(F3="估价对象容积率",'数据-汇总表'!I6,'数据-汇总表'!I7))</f>
        <v>1.24</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4946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4180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2295</v>
      </c>
      <c r="D5" s="1337">
        <f>ROUND(C6*C17+C20,0)</f>
        <v>2295</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3687</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2340</v>
      </c>
      <c r="D6" s="2015"/>
      <c r="E6" s="2016"/>
      <c r="F6" s="2016"/>
      <c r="G6" s="2017"/>
      <c r="H6" s="2017"/>
      <c r="I6" s="2017"/>
      <c r="J6" s="2018"/>
      <c r="K6" s="1382"/>
      <c r="L6" s="2001" t="s">
        <v>1951</v>
      </c>
      <c r="M6" s="862">
        <f>SUMPRODUCT((区片价!B127:B189=I2)*(区片价!C3:G3=E2)*(区片价!C127:G189))</f>
        <v>2340</v>
      </c>
      <c r="N6" s="864">
        <f>SUMPRODUCT((因素修正幅度!B127:B189=I2)*(因素修正幅度!C3:G3=E2)*(因素修正幅度!C127:G189))</f>
        <v>0.05</v>
      </c>
      <c r="O6" s="1117"/>
      <c r="P6" s="1117"/>
      <c r="Q6" s="1117"/>
      <c r="R6" s="1210">
        <v>5</v>
      </c>
      <c r="S6" s="3359">
        <f>ROUND(SUMPRODUCT((B106:B110=R6)*(C105:N105=G2)*(C106:N110)),4)</f>
        <v>0.84799999999999998</v>
      </c>
      <c r="T6" s="3359">
        <f t="shared" si="0"/>
        <v>3543</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六级</v>
      </c>
      <c r="Y7" s="1212" t="s">
        <v>1956</v>
      </c>
      <c r="Z7" s="1213">
        <f>G3</f>
        <v>1.24</v>
      </c>
      <c r="AA7" s="1214"/>
      <c r="AB7" s="1214"/>
      <c r="AC7" s="1215"/>
      <c r="AD7" s="1216"/>
      <c r="AE7" s="1216"/>
      <c r="AF7" s="1216"/>
      <c r="AG7" s="1216"/>
      <c r="AH7" s="1216"/>
      <c r="AI7" s="1216"/>
      <c r="AJ7" s="1217"/>
    </row>
    <row r="8" spans="1:36" ht="25.5">
      <c r="A8" s="3297"/>
      <c r="B8" s="170" t="s">
        <v>1957</v>
      </c>
      <c r="C8" s="2024" t="s">
        <v>3462</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7" t="s">
        <v>1960</v>
      </c>
      <c r="X8" s="374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9"/>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4" t="s">
        <v>3257</v>
      </c>
      <c r="B20" s="167" t="s">
        <v>1994</v>
      </c>
      <c r="C20" s="3323">
        <f>ROUND(IF(F21="与级别开发程度一致",0,(G21-E21)/C21),0)</f>
        <v>-45</v>
      </c>
      <c r="D20" s="3339" t="s">
        <v>1998</v>
      </c>
      <c r="E20" s="3340"/>
      <c r="F20" s="3760" t="s">
        <v>1995</v>
      </c>
      <c r="G20" s="3761"/>
      <c r="H20" s="3324" t="s">
        <v>3388</v>
      </c>
      <c r="I20" s="3324" t="s">
        <v>3389</v>
      </c>
      <c r="J20" s="3325" t="s">
        <v>3390</v>
      </c>
      <c r="K20" s="2045" t="s">
        <v>3391</v>
      </c>
      <c r="L20" s="2045" t="s">
        <v>3392</v>
      </c>
      <c r="M20" s="2045" t="s">
        <v>3393</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5"/>
      <c r="B21" s="2162" t="s">
        <v>1997</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3476</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2</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2002</v>
      </c>
      <c r="E23" s="759">
        <v>44197</v>
      </c>
      <c r="F23" s="2052" t="s">
        <v>2003</v>
      </c>
      <c r="G23" s="760">
        <f>'数据-取费表'!B2</f>
        <v>45236</v>
      </c>
      <c r="H23" s="3341" t="s">
        <v>3259</v>
      </c>
      <c r="I23" s="3342" t="str">
        <f>IF(H23="季度增幅（自定义）",SUMIF(N25:N28,E2,O25:O28),"")</f>
        <v/>
      </c>
      <c r="J23" s="3444" t="s">
        <v>3258</v>
      </c>
      <c r="K23" s="1123"/>
      <c r="L23" s="2053" t="s">
        <v>2004</v>
      </c>
      <c r="M23" s="1326">
        <f>ROUND(SUMIF(地价!B2:G2,E2,地价!B16:G16),0)</f>
        <v>318</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0.83640000000000003</v>
      </c>
      <c r="D24" s="2058" t="s">
        <v>2007</v>
      </c>
      <c r="E24" s="1333">
        <f>存贷款利率!E24/100</f>
        <v>4.3499999999999997E-2</v>
      </c>
      <c r="F24" s="2058" t="s">
        <v>1999</v>
      </c>
      <c r="G24" s="766">
        <f>SUMIF(M30:Q30,E2,M33:Q33)</f>
        <v>0.05</v>
      </c>
      <c r="H24" s="2058" t="s">
        <v>2008</v>
      </c>
      <c r="I24" s="767">
        <f>SUMIF('数据-取费表'!C6:C15,E2,'数据-取费表'!F6:F15)/COUNTIF('数据-取费表'!C6:C15,E2)</f>
        <v>29.55</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3469</v>
      </c>
      <c r="C25" s="769">
        <f>IF(B25="容积率修正",IF(G3&lt;10,D26,J26),C27)</f>
        <v>1.1103000000000001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1.1103000000000001</v>
      </c>
      <c r="E26" s="750">
        <f>ROUNDDOWN(G3,1)</f>
        <v>1.2</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750">
        <f>ROUNDUP(G3,1)</f>
        <v>1.3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1.0995999999999999</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1.0195000000000001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14985</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42</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4639</v>
      </c>
      <c r="D33" s="2096">
        <f>'数据-基础表'!I13</f>
        <v>31701.279999999999</v>
      </c>
      <c r="E33" s="771">
        <f>ROUND(C33*D33/10000,0)</f>
        <v>14706</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696</v>
      </c>
      <c r="D34" s="2101"/>
      <c r="E34" s="771">
        <f>ROUND(IF(B25="楼层修正",SUM(V2:V16)*M40,C34*D34/10000),0)</f>
        <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8"/>
      <c r="B37" s="2111" t="s">
        <v>2036</v>
      </c>
      <c r="C37" s="175">
        <f>ROUND(D5*C22*C23*C24*C28*F37,0)</f>
        <v>2507</v>
      </c>
      <c r="D37" s="2096"/>
      <c r="E37" s="171">
        <f>ROUND(C37*D37/10000,0)</f>
        <v>0</v>
      </c>
      <c r="F37" s="171">
        <f>SUMIF(修正!A57:A68,G2,修正!B57:B68)</f>
        <v>0.6</v>
      </c>
      <c r="G37" s="171">
        <f>ROUND(IF(E2="工业",C37*$M$42,C37*$M$41),0)</f>
        <v>376</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9"/>
      <c r="B38" s="2039" t="s">
        <v>2037</v>
      </c>
      <c r="C38" s="175">
        <f>ROUND(D5*C22*C23*C24*C28*F38,0)</f>
        <v>1253</v>
      </c>
      <c r="D38" s="2096"/>
      <c r="E38" s="171">
        <f t="shared" ref="E38:E42" si="4">ROUND(C38*D38/10000,0)</f>
        <v>0</v>
      </c>
      <c r="F38" s="171">
        <f>SUMIF(修正!A57:A68,G2,修正!C57:C68)</f>
        <v>0.3</v>
      </c>
      <c r="G38" s="171">
        <f>ROUND(IF(E2="工业",C38*$M$42,C38*$M$41),0)</f>
        <v>188</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9"/>
      <c r="B39" s="2039" t="s">
        <v>3262</v>
      </c>
      <c r="C39" s="175">
        <f>ROUND(D5*C22*C23*C24*C28*F39,0)</f>
        <v>1045</v>
      </c>
      <c r="D39" s="2096"/>
      <c r="E39" s="171">
        <f t="shared" si="4"/>
        <v>0</v>
      </c>
      <c r="F39" s="171">
        <f>SUMIF(修正!A57:A68,G2,修正!D57:D68)</f>
        <v>0.25</v>
      </c>
      <c r="G39" s="171">
        <f>ROUND(IF(E2="工业",C39*$M$42,C39*$M$41),0)</f>
        <v>157</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1045</v>
      </c>
      <c r="D40" s="2096"/>
      <c r="E40" s="171">
        <f t="shared" si="4"/>
        <v>0</v>
      </c>
      <c r="F40" s="175">
        <f>SUMIF(修正!A57:A68,G2,修正!E57:E68)</f>
        <v>0.25</v>
      </c>
      <c r="G40" s="171">
        <f>ROUND(IF(E2="工业",C40*$M$42,C40*$M$41),0)</f>
        <v>157</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1045</v>
      </c>
      <c r="D41" s="2096"/>
      <c r="E41" s="171">
        <f t="shared" si="4"/>
        <v>0</v>
      </c>
      <c r="F41" s="175">
        <f>SUMIF(修正!A57:A68,G2,修正!F57:F68)</f>
        <v>0.25</v>
      </c>
      <c r="G41" s="171">
        <f>ROUND(IF(E2="工业",C41*$M$42,C41*$M$41),0)</f>
        <v>157</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627</v>
      </c>
      <c r="D42" s="2101">
        <f>'数据-基础表'!K13</f>
        <v>4455.83</v>
      </c>
      <c r="E42" s="187">
        <f t="shared" si="4"/>
        <v>279</v>
      </c>
      <c r="F42" s="765">
        <f>SUMIF(修正!A57:A68,G2,修正!G57:G68)</f>
        <v>0.15</v>
      </c>
      <c r="G42" s="187">
        <f>ROUND(IF(E2="工业",C42*$M$42,C42*$M$41),0)</f>
        <v>94</v>
      </c>
      <c r="H42" s="187">
        <f t="shared" si="5"/>
        <v>4455.83</v>
      </c>
      <c r="I42" s="187">
        <f t="shared" si="6"/>
        <v>42</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0.83640000000000003</v>
      </c>
      <c r="D44" s="171" t="s">
        <v>1999</v>
      </c>
      <c r="E44" s="2151">
        <f>G24</f>
        <v>0.05</v>
      </c>
      <c r="F44" s="171" t="s">
        <v>2008</v>
      </c>
      <c r="G44" s="183">
        <f>项目基本情况!H15</f>
        <v>29.55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1.0434000000000001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t="s">
        <v>3456</v>
      </c>
      <c r="D50" s="1063">
        <f t="shared" ref="D50:D58" si="7">SUMIF($J$49:$N$49,C50,J50:N50)</f>
        <v>1.21E-2</v>
      </c>
      <c r="E50" s="742">
        <f>ROUND(SUM(D50:D58),4)</f>
        <v>4.3400000000000001E-2</v>
      </c>
      <c r="F50" s="1812" t="str">
        <f>IF(E2="商业",SUMIF(L1:L12,G2,N1:N12),"——")</f>
        <v>——</v>
      </c>
      <c r="G50" s="1061">
        <v>1.21E-2</v>
      </c>
      <c r="H50" s="1064" t="str">
        <f t="shared" ref="H50:H58" si="8">IFERROR(ROUNDDOWN($F$50*I50/2,4),"——")</f>
        <v>——</v>
      </c>
      <c r="I50" s="3365">
        <v>0.3</v>
      </c>
      <c r="J50" s="1062">
        <f t="shared" ref="J50:J58" si="9">K50+$G50</f>
        <v>2.4199999999999999E-2</v>
      </c>
      <c r="K50" s="1062">
        <f t="shared" ref="K50:K58" si="10">$L50+$G50</f>
        <v>1.21E-2</v>
      </c>
      <c r="L50" s="1062">
        <v>0</v>
      </c>
      <c r="M50" s="1062">
        <f t="shared" ref="M50:N58" si="11">L50-$G50</f>
        <v>-1.21E-2</v>
      </c>
      <c r="N50" s="1062">
        <f t="shared" si="11"/>
        <v>-2.4199999999999999E-2</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t="s">
        <v>3456</v>
      </c>
      <c r="D51" s="1063">
        <f t="shared" si="7"/>
        <v>8.8999999999999999E-3</v>
      </c>
      <c r="E51" s="743"/>
      <c r="F51" s="1812"/>
      <c r="G51" s="1061">
        <v>8.8999999999999999E-3</v>
      </c>
      <c r="H51" s="1064" t="str">
        <f t="shared" si="8"/>
        <v>——</v>
      </c>
      <c r="I51" s="3365">
        <v>0.22</v>
      </c>
      <c r="J51" s="1062">
        <f t="shared" si="9"/>
        <v>1.78E-2</v>
      </c>
      <c r="K51" s="1062">
        <f t="shared" si="10"/>
        <v>8.8999999999999999E-3</v>
      </c>
      <c r="L51" s="1062">
        <v>0</v>
      </c>
      <c r="M51" s="1062">
        <f t="shared" si="11"/>
        <v>-8.8999999999999999E-3</v>
      </c>
      <c r="N51" s="1062">
        <f t="shared" si="11"/>
        <v>-1.78E-2</v>
      </c>
      <c r="AA51" s="1118"/>
      <c r="AB51" s="1118"/>
      <c r="AC51" s="1118"/>
      <c r="AD51" s="1118"/>
      <c r="AE51" s="1118"/>
      <c r="AF51" s="1118"/>
      <c r="AG51" s="1118"/>
      <c r="AH51" s="1118"/>
      <c r="AI51" s="1118"/>
      <c r="AJ51" s="1118"/>
      <c r="AK51" s="1118"/>
    </row>
    <row r="52" spans="1:37" s="1117" customFormat="1" ht="36" hidden="1">
      <c r="A52" s="3367" t="s">
        <v>3272</v>
      </c>
      <c r="B52" s="2132">
        <f>估价对象房地状况!C19</f>
        <v>0</v>
      </c>
      <c r="C52" s="2042" t="s">
        <v>3456</v>
      </c>
      <c r="D52" s="1063">
        <f t="shared" si="7"/>
        <v>4.7999999999999996E-3</v>
      </c>
      <c r="E52" s="743"/>
      <c r="F52" s="1812"/>
      <c r="G52" s="1061">
        <v>4.7999999999999996E-3</v>
      </c>
      <c r="H52" s="1064" t="str">
        <f t="shared" si="8"/>
        <v>——</v>
      </c>
      <c r="I52" s="3365">
        <v>0.12</v>
      </c>
      <c r="J52" s="1062">
        <f t="shared" si="9"/>
        <v>9.5999999999999992E-3</v>
      </c>
      <c r="K52" s="1062">
        <f t="shared" si="10"/>
        <v>4.7999999999999996E-3</v>
      </c>
      <c r="L52" s="1062">
        <v>0</v>
      </c>
      <c r="M52" s="1062">
        <f t="shared" si="11"/>
        <v>-4.7999999999999996E-3</v>
      </c>
      <c r="N52" s="1062">
        <f t="shared" si="11"/>
        <v>-9.5999999999999992E-3</v>
      </c>
      <c r="AA52" s="1118"/>
      <c r="AB52" s="1118"/>
      <c r="AC52" s="1118"/>
      <c r="AD52" s="1118"/>
      <c r="AE52" s="1118"/>
      <c r="AF52" s="1118"/>
      <c r="AG52" s="1118"/>
      <c r="AH52" s="1118"/>
      <c r="AI52" s="1118"/>
      <c r="AJ52" s="1118"/>
      <c r="AK52" s="1118"/>
    </row>
    <row r="53" spans="1:37" s="1117" customFormat="1" ht="36.75" hidden="1">
      <c r="A53" s="2128" t="s">
        <v>2054</v>
      </c>
      <c r="B53" s="2133" t="s">
        <v>2055</v>
      </c>
      <c r="C53" s="2042" t="s">
        <v>3456</v>
      </c>
      <c r="D53" s="1063">
        <f t="shared" si="7"/>
        <v>2E-3</v>
      </c>
      <c r="E53" s="743"/>
      <c r="F53" s="1812"/>
      <c r="G53" s="1061">
        <v>2E-3</v>
      </c>
      <c r="H53" s="1064" t="str">
        <f t="shared" si="8"/>
        <v>——</v>
      </c>
      <c r="I53" s="336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t="s">
        <v>3456</v>
      </c>
      <c r="D54" s="1063">
        <f t="shared" si="7"/>
        <v>3.2000000000000002E-3</v>
      </c>
      <c r="E54" s="743"/>
      <c r="F54" s="1812"/>
      <c r="G54" s="1061">
        <v>3.2000000000000002E-3</v>
      </c>
      <c r="H54" s="1064" t="str">
        <f t="shared" si="8"/>
        <v>——</v>
      </c>
      <c r="I54" s="336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hidden="1">
      <c r="A55" s="2128" t="s">
        <v>2057</v>
      </c>
      <c r="B55" s="2134" t="s">
        <v>2058</v>
      </c>
      <c r="C55" s="2042" t="s">
        <v>3456</v>
      </c>
      <c r="D55" s="1063">
        <f t="shared" si="7"/>
        <v>2E-3</v>
      </c>
      <c r="E55" s="743"/>
      <c r="F55" s="1812"/>
      <c r="G55" s="1061">
        <v>2E-3</v>
      </c>
      <c r="H55" s="1064" t="str">
        <f t="shared" si="8"/>
        <v>——</v>
      </c>
      <c r="I55" s="336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t="s">
        <v>3456</v>
      </c>
      <c r="D56" s="1063">
        <f t="shared" si="7"/>
        <v>2E-3</v>
      </c>
      <c r="E56" s="743"/>
      <c r="F56" s="1812"/>
      <c r="G56" s="1061">
        <v>2E-3</v>
      </c>
      <c r="H56" s="1064" t="str">
        <f t="shared" si="8"/>
        <v>——</v>
      </c>
      <c r="I56" s="336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t="s">
        <v>3463</v>
      </c>
      <c r="D57" s="1063">
        <f t="shared" si="7"/>
        <v>6.4000000000000003E-3</v>
      </c>
      <c r="E57" s="743"/>
      <c r="F57" s="1812"/>
      <c r="G57" s="1061">
        <v>3.2000000000000002E-3</v>
      </c>
      <c r="H57" s="1064" t="str">
        <f t="shared" si="8"/>
        <v>——</v>
      </c>
      <c r="I57" s="336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t="s">
        <v>3456</v>
      </c>
      <c r="D58" s="1063">
        <f t="shared" si="7"/>
        <v>2E-3</v>
      </c>
      <c r="E58" s="744"/>
      <c r="F58" s="1812"/>
      <c r="G58" s="1061">
        <v>2E-3</v>
      </c>
      <c r="H58" s="1064" t="str">
        <f t="shared" si="8"/>
        <v>——</v>
      </c>
      <c r="I58" s="336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1.0195000000000001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t="s">
        <v>3456</v>
      </c>
      <c r="D83" s="1063">
        <f t="shared" ref="D83:D90" si="22">SUMIF($J$82:$N$82,C83,J83:N83)</f>
        <v>6.4999999999999997E-3</v>
      </c>
      <c r="E83" s="742">
        <f>ROUND(SUM(D83:D90),4)</f>
        <v>1.95E-2</v>
      </c>
      <c r="F83" s="1812">
        <f>IF(E2="工业",SUMIF(L1:L12,G2,N1:N12),"——")</f>
        <v>0.05</v>
      </c>
      <c r="G83" s="1061">
        <v>6.4999999999999997E-3</v>
      </c>
      <c r="H83" s="1064">
        <f t="shared" ref="H83:H90" si="23">IFERROR(ROUNDDOWN($F$83*I83/2,4),"——")</f>
        <v>6.4999999999999997E-3</v>
      </c>
      <c r="I83" s="3365">
        <v>0.26</v>
      </c>
      <c r="J83" s="1062">
        <f t="shared" ref="J83:J90" si="24">K83+$G83</f>
        <v>1.2999999999999999E-2</v>
      </c>
      <c r="K83" s="1062">
        <f t="shared" ref="K83:K90" si="25">$L83+$G83</f>
        <v>6.4999999999999997E-3</v>
      </c>
      <c r="L83" s="1062">
        <v>0</v>
      </c>
      <c r="M83" s="1062">
        <f t="shared" ref="M83:N90" si="26">L83-$G83</f>
        <v>-6.4999999999999997E-3</v>
      </c>
      <c r="N83" s="1062">
        <f t="shared" si="26"/>
        <v>-1.2999999999999999E-2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3456</v>
      </c>
      <c r="D84" s="1063">
        <f t="shared" si="22"/>
        <v>7.4999999999999997E-3</v>
      </c>
      <c r="E84" s="745"/>
      <c r="F84" s="1812"/>
      <c r="G84" s="1061">
        <v>7.4999999999999997E-3</v>
      </c>
      <c r="H84" s="1064">
        <f t="shared" si="23"/>
        <v>7.4999999999999997E-3</v>
      </c>
      <c r="I84" s="3365">
        <v>0.3</v>
      </c>
      <c r="J84" s="1062">
        <f t="shared" si="24"/>
        <v>1.4999999999999999E-2</v>
      </c>
      <c r="K84" s="1062">
        <f t="shared" si="25"/>
        <v>7.4999999999999997E-3</v>
      </c>
      <c r="L84" s="1062">
        <v>0</v>
      </c>
      <c r="M84" s="1062">
        <f t="shared" si="26"/>
        <v>-7.4999999999999997E-3</v>
      </c>
      <c r="N84" s="1062">
        <f t="shared" si="26"/>
        <v>-1.4999999999999999E-2</v>
      </c>
      <c r="Z84" s="1996"/>
      <c r="AA84" s="2051"/>
      <c r="AG84" s="1119"/>
      <c r="AK84" s="2051"/>
    </row>
    <row r="85" spans="1:37" ht="36">
      <c r="A85" s="3367" t="s">
        <v>3273</v>
      </c>
      <c r="B85" s="2132">
        <f>估价对象房地状况!G17</f>
        <v>0</v>
      </c>
      <c r="C85" s="2042" t="s">
        <v>3456</v>
      </c>
      <c r="D85" s="1063">
        <f t="shared" si="22"/>
        <v>2.5000000000000001E-3</v>
      </c>
      <c r="E85" s="745"/>
      <c r="F85" s="1812"/>
      <c r="G85" s="1061">
        <v>2.5000000000000001E-3</v>
      </c>
      <c r="H85" s="1064">
        <f t="shared" si="23"/>
        <v>2.5000000000000001E-3</v>
      </c>
      <c r="I85" s="3365">
        <v>0.1</v>
      </c>
      <c r="J85" s="1062">
        <f t="shared" si="24"/>
        <v>5.0000000000000001E-3</v>
      </c>
      <c r="K85" s="1062">
        <f t="shared" si="25"/>
        <v>2.5000000000000001E-3</v>
      </c>
      <c r="L85" s="1062">
        <v>0</v>
      </c>
      <c r="M85" s="1062">
        <f t="shared" si="26"/>
        <v>-2.5000000000000001E-3</v>
      </c>
      <c r="N85" s="1062">
        <f t="shared" si="26"/>
        <v>-5.0000000000000001E-3</v>
      </c>
      <c r="Z85" s="1996"/>
      <c r="AA85" s="2051"/>
      <c r="AG85" s="1119"/>
      <c r="AK85" s="2051"/>
    </row>
    <row r="86" spans="1:37" ht="14.25">
      <c r="A86" s="2128" t="s">
        <v>2067</v>
      </c>
      <c r="B86" s="2132">
        <f>估价对象房地状况!G22</f>
        <v>0</v>
      </c>
      <c r="C86" s="2042" t="s">
        <v>3471</v>
      </c>
      <c r="D86" s="1063">
        <f t="shared" si="22"/>
        <v>-1.1999999999999999E-3</v>
      </c>
      <c r="E86" s="745"/>
      <c r="F86" s="1812"/>
      <c r="G86" s="1061">
        <v>1.1999999999999999E-3</v>
      </c>
      <c r="H86" s="1064">
        <f t="shared" si="23"/>
        <v>1.1999999999999999E-3</v>
      </c>
      <c r="I86" s="3365">
        <v>0.05</v>
      </c>
      <c r="J86" s="1062">
        <f t="shared" si="24"/>
        <v>2.3999999999999998E-3</v>
      </c>
      <c r="K86" s="1062">
        <f t="shared" si="25"/>
        <v>1.1999999999999999E-3</v>
      </c>
      <c r="L86" s="1062">
        <v>0</v>
      </c>
      <c r="M86" s="1062">
        <f t="shared" si="26"/>
        <v>-1.1999999999999999E-3</v>
      </c>
      <c r="N86" s="1062">
        <f t="shared" si="26"/>
        <v>-2.3999999999999998E-3</v>
      </c>
      <c r="Z86" s="1996"/>
      <c r="AA86" s="2051"/>
      <c r="AG86" s="1119"/>
      <c r="AK86" s="2051"/>
    </row>
    <row r="87" spans="1:37" ht="25.5">
      <c r="A87" s="2128" t="s">
        <v>2059</v>
      </c>
      <c r="B87" s="1324" t="str">
        <f>估价对象房地状况!G19</f>
        <v>估价对象所在区域公共配套设施齐备情况</v>
      </c>
      <c r="C87" s="2042" t="s">
        <v>3456</v>
      </c>
      <c r="D87" s="1063">
        <f t="shared" si="22"/>
        <v>1.5E-3</v>
      </c>
      <c r="E87" s="745"/>
      <c r="F87" s="1812"/>
      <c r="G87" s="1061">
        <v>1.5E-3</v>
      </c>
      <c r="H87" s="1064">
        <f t="shared" si="23"/>
        <v>1.5E-3</v>
      </c>
      <c r="I87" s="3365">
        <v>0.06</v>
      </c>
      <c r="J87" s="1062">
        <f t="shared" si="24"/>
        <v>3.0000000000000001E-3</v>
      </c>
      <c r="K87" s="1062">
        <f t="shared" si="25"/>
        <v>1.5E-3</v>
      </c>
      <c r="L87" s="1062">
        <v>0</v>
      </c>
      <c r="M87" s="1062">
        <f t="shared" si="26"/>
        <v>-1.5E-3</v>
      </c>
      <c r="N87" s="1062">
        <f t="shared" si="26"/>
        <v>-3.0000000000000001E-3</v>
      </c>
    </row>
    <row r="88" spans="1:37" ht="25.5">
      <c r="A88" s="2128" t="s">
        <v>2060</v>
      </c>
      <c r="B88" s="1324" t="str">
        <f>估价对象房地状况!G20</f>
        <v>估价对象所在区域基础设施水平</v>
      </c>
      <c r="C88" s="2042" t="s">
        <v>3472</v>
      </c>
      <c r="D88" s="1063">
        <f t="shared" si="22"/>
        <v>0</v>
      </c>
      <c r="E88" s="745"/>
      <c r="F88" s="1812"/>
      <c r="G88" s="1061">
        <v>3.0000000000000001E-3</v>
      </c>
      <c r="H88" s="1064">
        <f t="shared" si="23"/>
        <v>3.0000000000000001E-3</v>
      </c>
      <c r="I88" s="3365">
        <v>0.12</v>
      </c>
      <c r="J88" s="1062">
        <f t="shared" si="24"/>
        <v>6.0000000000000001E-3</v>
      </c>
      <c r="K88" s="1062">
        <f t="shared" si="25"/>
        <v>3.0000000000000001E-3</v>
      </c>
      <c r="L88" s="1062">
        <v>0</v>
      </c>
      <c r="M88" s="1062">
        <f t="shared" si="26"/>
        <v>-3.0000000000000001E-3</v>
      </c>
      <c r="N88" s="1062">
        <f t="shared" si="26"/>
        <v>-6.0000000000000001E-3</v>
      </c>
    </row>
    <row r="89" spans="1:37" ht="24">
      <c r="A89" s="2128" t="s">
        <v>2057</v>
      </c>
      <c r="B89" s="2134" t="s">
        <v>2071</v>
      </c>
      <c r="C89" s="2042" t="s">
        <v>3456</v>
      </c>
      <c r="D89" s="1063">
        <f t="shared" si="22"/>
        <v>1.5E-3</v>
      </c>
      <c r="E89" s="745"/>
      <c r="F89" s="1812"/>
      <c r="G89" s="1061">
        <v>1.5E-3</v>
      </c>
      <c r="H89" s="1064">
        <f t="shared" si="23"/>
        <v>1.5E-3</v>
      </c>
      <c r="I89" s="3365">
        <v>0.06</v>
      </c>
      <c r="J89" s="1062">
        <f t="shared" si="24"/>
        <v>3.0000000000000001E-3</v>
      </c>
      <c r="K89" s="1062">
        <f t="shared" si="25"/>
        <v>1.5E-3</v>
      </c>
      <c r="L89" s="1062">
        <v>0</v>
      </c>
      <c r="M89" s="1062">
        <f t="shared" si="26"/>
        <v>-1.5E-3</v>
      </c>
      <c r="N89" s="1062">
        <f t="shared" si="26"/>
        <v>-3.0000000000000001E-3</v>
      </c>
    </row>
    <row r="90" spans="1:37" ht="39" thickBot="1">
      <c r="A90" s="2136" t="s">
        <v>2072</v>
      </c>
      <c r="B90" s="2141" t="str">
        <f>估价对象房地状况!G18</f>
        <v>该园区内是否有污染型企业，绿化情况，卫生条件，整体环境状况判断</v>
      </c>
      <c r="C90" s="2042" t="s">
        <v>3456</v>
      </c>
      <c r="D90" s="1063">
        <f t="shared" si="22"/>
        <v>1.1999999999999999E-3</v>
      </c>
      <c r="E90" s="746"/>
      <c r="F90" s="1812"/>
      <c r="G90" s="1061">
        <v>1.1999999999999999E-3</v>
      </c>
      <c r="H90" s="1064">
        <f t="shared" si="23"/>
        <v>1.1999999999999999E-3</v>
      </c>
      <c r="I90" s="3366">
        <v>0.05</v>
      </c>
      <c r="J90" s="1062">
        <f t="shared" si="24"/>
        <v>2.3999999999999998E-3</v>
      </c>
      <c r="K90" s="1062">
        <f t="shared" si="25"/>
        <v>1.1999999999999999E-3</v>
      </c>
      <c r="L90" s="1062">
        <v>0</v>
      </c>
      <c r="M90" s="1062">
        <f t="shared" si="26"/>
        <v>-1.1999999999999999E-3</v>
      </c>
      <c r="N90" s="1062">
        <f t="shared" si="26"/>
        <v>-2.3999999999999998E-3</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3297</v>
      </c>
      <c r="B103" s="3756"/>
      <c r="C103" s="3756"/>
      <c r="D103" s="3756"/>
      <c r="E103" s="3756"/>
      <c r="F103" s="3756"/>
      <c r="G103" s="3756"/>
      <c r="H103" s="3756"/>
      <c r="I103" s="3756"/>
      <c r="J103" s="3756"/>
      <c r="K103" s="3388"/>
      <c r="L103" s="3388"/>
      <c r="M103" s="3388"/>
      <c r="N103" s="3388"/>
    </row>
    <row r="104" spans="1:14">
      <c r="A104" s="3757" t="s">
        <v>3298</v>
      </c>
      <c r="B104" s="3757" t="s">
        <v>3299</v>
      </c>
      <c r="C104" s="3389" t="s">
        <v>3300</v>
      </c>
      <c r="D104" s="3390"/>
      <c r="E104" s="3390"/>
      <c r="F104" s="3390"/>
      <c r="G104" s="3390"/>
      <c r="H104" s="3390"/>
      <c r="I104" s="3390"/>
      <c r="J104" s="3391"/>
      <c r="K104" s="3392"/>
      <c r="L104" s="3392"/>
      <c r="M104" s="3392"/>
      <c r="N104" s="3392"/>
    </row>
    <row r="105" spans="1:14">
      <c r="A105" s="3757"/>
      <c r="B105" s="3757"/>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3"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6" t="s">
        <v>3314</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1.24</v>
      </c>
      <c r="C116" s="3398" t="s">
        <v>3316</v>
      </c>
      <c r="D116" s="3399">
        <f>SUMPRODUCT((A118:A122=F116)*(B117:M117=H116)*B118:M122)</f>
        <v>0.63890000000000002</v>
      </c>
      <c r="E116" s="1998" t="s">
        <v>3317</v>
      </c>
      <c r="F116" s="3400" t="str">
        <f>E2</f>
        <v>工业</v>
      </c>
      <c r="G116" s="1998" t="s">
        <v>3318</v>
      </c>
      <c r="H116" s="3400" t="str">
        <f>G2</f>
        <v>六级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0.98319999999999996</v>
      </c>
      <c r="C118" s="3386">
        <f>B118</f>
        <v>0.98319999999999996</v>
      </c>
      <c r="D118" s="3386">
        <f>ROUND(0.949-0.014*B116,4)</f>
        <v>0.93159999999999998</v>
      </c>
      <c r="E118" s="3386">
        <f>D118</f>
        <v>0.93159999999999998</v>
      </c>
      <c r="F118" s="3386">
        <f>E118</f>
        <v>0.93159999999999998</v>
      </c>
      <c r="G118" s="3386">
        <f>F118</f>
        <v>0.93159999999999998</v>
      </c>
      <c r="H118" s="3386">
        <f>G118</f>
        <v>0.93159999999999998</v>
      </c>
      <c r="I118" s="3386">
        <f>ROUND(0.8486-0.018*B116,4)</f>
        <v>0.82630000000000003</v>
      </c>
      <c r="J118" s="3386">
        <f t="shared" ref="J118:M122" si="35">I118</f>
        <v>0.82630000000000003</v>
      </c>
      <c r="K118" s="3386">
        <f t="shared" si="35"/>
        <v>0.82630000000000003</v>
      </c>
      <c r="L118" s="3386">
        <f t="shared" si="35"/>
        <v>0.82630000000000003</v>
      </c>
      <c r="M118" s="3409">
        <f t="shared" si="35"/>
        <v>0.82630000000000003</v>
      </c>
      <c r="N118" s="3396"/>
    </row>
    <row r="119" spans="1:14">
      <c r="A119" s="3408" t="s">
        <v>3332</v>
      </c>
      <c r="B119" s="3386">
        <f>ROUND(0.993-0.0112*B116,4)</f>
        <v>0.97909999999999997</v>
      </c>
      <c r="C119" s="3386">
        <f>B119</f>
        <v>0.97909999999999997</v>
      </c>
      <c r="D119" s="3386">
        <f>ROUND(0.9415-0.0142*B116,4)</f>
        <v>0.92390000000000005</v>
      </c>
      <c r="E119" s="3386">
        <f t="shared" ref="E119:H120" si="36">D119</f>
        <v>0.92390000000000005</v>
      </c>
      <c r="F119" s="3386">
        <f t="shared" si="36"/>
        <v>0.92390000000000005</v>
      </c>
      <c r="G119" s="3386">
        <f t="shared" si="36"/>
        <v>0.92390000000000005</v>
      </c>
      <c r="H119" s="3386">
        <f t="shared" si="36"/>
        <v>0.92390000000000005</v>
      </c>
      <c r="I119" s="3386">
        <f>ROUND(0.838-0.0182*B116,4)</f>
        <v>0.81540000000000001</v>
      </c>
      <c r="J119" s="3386">
        <f t="shared" si="35"/>
        <v>0.81540000000000001</v>
      </c>
      <c r="K119" s="3386">
        <f t="shared" si="35"/>
        <v>0.81540000000000001</v>
      </c>
      <c r="L119" s="3386">
        <f t="shared" si="35"/>
        <v>0.81540000000000001</v>
      </c>
      <c r="M119" s="3409">
        <f t="shared" si="35"/>
        <v>0.81540000000000001</v>
      </c>
      <c r="N119" s="3396"/>
    </row>
    <row r="120" spans="1:14">
      <c r="A120" s="3408" t="s">
        <v>3333</v>
      </c>
      <c r="B120" s="3386">
        <f>ROUND(0.9448-0.0115*B116,4)</f>
        <v>0.93049999999999999</v>
      </c>
      <c r="C120" s="3386">
        <f>B120</f>
        <v>0.93049999999999999</v>
      </c>
      <c r="D120" s="3386">
        <f>ROUND(0.937-0.0145*B116,4)</f>
        <v>0.91900000000000004</v>
      </c>
      <c r="E120" s="3386">
        <f t="shared" si="36"/>
        <v>0.91900000000000004</v>
      </c>
      <c r="F120" s="3386">
        <f t="shared" si="36"/>
        <v>0.91900000000000004</v>
      </c>
      <c r="G120" s="3386">
        <f t="shared" si="36"/>
        <v>0.91900000000000004</v>
      </c>
      <c r="H120" s="3386">
        <f t="shared" si="36"/>
        <v>0.91900000000000004</v>
      </c>
      <c r="I120" s="3386">
        <f>ROUND(0.7965-0.0185*B116,4)</f>
        <v>0.77359999999999995</v>
      </c>
      <c r="J120" s="3386">
        <f t="shared" si="35"/>
        <v>0.77359999999999995</v>
      </c>
      <c r="K120" s="3386">
        <f t="shared" si="35"/>
        <v>0.77359999999999995</v>
      </c>
      <c r="L120" s="3386">
        <f t="shared" si="35"/>
        <v>0.77359999999999995</v>
      </c>
      <c r="M120" s="3409">
        <f t="shared" si="35"/>
        <v>0.77359999999999995</v>
      </c>
      <c r="N120" s="3396"/>
    </row>
    <row r="121" spans="1:14" ht="13.5" thickBot="1">
      <c r="A121" s="3410" t="s">
        <v>3334</v>
      </c>
      <c r="B121" s="3411">
        <f>ROUND(0.7836-0.012*B116,4)</f>
        <v>0.76870000000000005</v>
      </c>
      <c r="C121" s="3411">
        <f>B121</f>
        <v>0.76870000000000005</v>
      </c>
      <c r="D121" s="3411">
        <f>ROUND(0.753-0.015*B116,4)</f>
        <v>0.73440000000000005</v>
      </c>
      <c r="E121" s="3411">
        <f>D121</f>
        <v>0.73440000000000005</v>
      </c>
      <c r="F121" s="3411">
        <f>E121</f>
        <v>0.73440000000000005</v>
      </c>
      <c r="G121" s="3411">
        <f>ROUND(0.6612-0.018*B116,4)</f>
        <v>0.63890000000000002</v>
      </c>
      <c r="H121" s="3411">
        <f>G121</f>
        <v>0.63890000000000002</v>
      </c>
      <c r="I121" s="3411">
        <f>ROUND(0.5905-0.019*B116,4)</f>
        <v>0.56689999999999996</v>
      </c>
      <c r="J121" s="3411">
        <f t="shared" si="35"/>
        <v>0.56689999999999996</v>
      </c>
      <c r="K121" s="3411">
        <f t="shared" si="35"/>
        <v>0.56689999999999996</v>
      </c>
      <c r="L121" s="3411">
        <f t="shared" si="35"/>
        <v>0.56689999999999996</v>
      </c>
      <c r="M121" s="3412">
        <f t="shared" si="35"/>
        <v>0.56689999999999996</v>
      </c>
      <c r="N121" s="3396"/>
    </row>
    <row r="122" spans="1:14">
      <c r="A122" s="3413" t="s">
        <v>2615</v>
      </c>
      <c r="B122" s="3386">
        <f>ROUND(0.9404-0.0106*B116,4)</f>
        <v>0.92730000000000001</v>
      </c>
      <c r="C122" s="3386">
        <f>B122</f>
        <v>0.92730000000000001</v>
      </c>
      <c r="D122" s="3386">
        <f>ROUND(0.8955-0.0135*B116,4)</f>
        <v>0.87880000000000003</v>
      </c>
      <c r="E122" s="3386">
        <f t="shared" ref="E122:H122" si="37">D122</f>
        <v>0.87880000000000003</v>
      </c>
      <c r="F122" s="3386">
        <f t="shared" si="37"/>
        <v>0.87880000000000003</v>
      </c>
      <c r="G122" s="3386">
        <f t="shared" si="37"/>
        <v>0.87880000000000003</v>
      </c>
      <c r="H122" s="3386">
        <f t="shared" si="37"/>
        <v>0.87880000000000003</v>
      </c>
      <c r="I122" s="3386">
        <f>ROUND(0.7632-0.0166*B116,4)</f>
        <v>0.74260000000000004</v>
      </c>
      <c r="J122" s="3386">
        <f t="shared" si="35"/>
        <v>0.74260000000000004</v>
      </c>
      <c r="K122" s="3386">
        <f t="shared" si="35"/>
        <v>0.74260000000000004</v>
      </c>
      <c r="L122" s="3386">
        <f t="shared" si="35"/>
        <v>0.74260000000000004</v>
      </c>
      <c r="M122" s="3409">
        <f t="shared" si="35"/>
        <v>0.74260000000000004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6"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6" t="s">
        <v>2615</v>
      </c>
      <c r="C27" s="3101" t="s">
        <v>2455</v>
      </c>
      <c r="D27" s="3102"/>
      <c r="E27" s="3103">
        <v>1</v>
      </c>
      <c r="F27" s="3104" t="s">
        <v>2456</v>
      </c>
      <c r="G27" s="3104"/>
    </row>
    <row r="28" spans="1:13" ht="19.5" customHeight="1">
      <c r="A28" s="3769"/>
      <c r="B28" s="3765"/>
      <c r="C28" s="3105" t="s">
        <v>2457</v>
      </c>
      <c r="D28" s="3106"/>
      <c r="E28" s="3107">
        <v>1</v>
      </c>
      <c r="F28" s="3104" t="s">
        <v>2458</v>
      </c>
      <c r="G28" s="3104"/>
    </row>
    <row r="29" spans="1:13" ht="19.5" customHeight="1">
      <c r="A29" s="3769"/>
      <c r="B29" s="3765"/>
      <c r="C29" s="3105" t="s">
        <v>2459</v>
      </c>
      <c r="D29" s="3106"/>
      <c r="E29" s="3107">
        <v>0.8</v>
      </c>
      <c r="F29" s="3104" t="s">
        <v>2460</v>
      </c>
      <c r="G29" s="3104"/>
    </row>
    <row r="30" spans="1:13" ht="19.5" customHeight="1">
      <c r="A30" s="3769"/>
      <c r="B30" s="3765"/>
      <c r="C30" s="3105" t="s">
        <v>2461</v>
      </c>
      <c r="D30" s="3106"/>
      <c r="E30" s="3107">
        <v>0.8</v>
      </c>
      <c r="F30" s="3104" t="s">
        <v>2462</v>
      </c>
      <c r="G30" s="3104"/>
    </row>
    <row r="31" spans="1:13" ht="19.5" customHeight="1">
      <c r="A31" s="3769"/>
      <c r="B31" s="3765"/>
      <c r="C31" s="3105" t="s">
        <v>2463</v>
      </c>
      <c r="D31" s="3106"/>
      <c r="E31" s="3107">
        <v>0.8</v>
      </c>
      <c r="F31" s="3104" t="s">
        <v>2464</v>
      </c>
      <c r="G31" s="3104"/>
    </row>
    <row r="32" spans="1:13" ht="19.5" customHeight="1">
      <c r="A32" s="3769"/>
      <c r="B32" s="3765"/>
      <c r="C32" s="3105" t="s">
        <v>2465</v>
      </c>
      <c r="D32" s="3106"/>
      <c r="E32" s="3107">
        <v>0.7</v>
      </c>
      <c r="F32" s="3104" t="s">
        <v>2466</v>
      </c>
      <c r="G32" s="3104"/>
    </row>
    <row r="33" spans="1:7" ht="19.5" customHeight="1">
      <c r="A33" s="3769"/>
      <c r="B33" s="3765"/>
      <c r="C33" s="3105" t="s">
        <v>2467</v>
      </c>
      <c r="D33" s="3106"/>
      <c r="E33" s="3107">
        <v>0.8</v>
      </c>
      <c r="F33" s="3104" t="s">
        <v>2468</v>
      </c>
      <c r="G33" s="3104"/>
    </row>
    <row r="34" spans="1:7" ht="19.5" customHeight="1">
      <c r="A34" s="3769"/>
      <c r="B34" s="3765"/>
      <c r="C34" s="3105" t="s">
        <v>2469</v>
      </c>
      <c r="D34" s="3106"/>
      <c r="E34" s="3107">
        <v>0.6</v>
      </c>
      <c r="F34" s="3104" t="s">
        <v>2470</v>
      </c>
      <c r="G34" s="3104"/>
    </row>
    <row r="35" spans="1:7" ht="19.5" customHeight="1">
      <c r="A35" s="3769"/>
      <c r="B35" s="3765"/>
      <c r="C35" s="3105" t="s">
        <v>2471</v>
      </c>
      <c r="D35" s="3106"/>
      <c r="E35" s="3107">
        <v>0.2</v>
      </c>
      <c r="F35" s="3104" t="s">
        <v>2472</v>
      </c>
      <c r="G35" s="3104"/>
    </row>
    <row r="36" spans="1:7" ht="19.5" customHeight="1">
      <c r="A36" s="3769"/>
      <c r="B36" s="3765"/>
      <c r="C36" s="3105" t="s">
        <v>2473</v>
      </c>
      <c r="D36" s="3106"/>
      <c r="E36" s="3107">
        <v>0.2</v>
      </c>
      <c r="F36" s="3104" t="s">
        <v>2474</v>
      </c>
      <c r="G36" s="3104"/>
    </row>
    <row r="37" spans="1:7" ht="19.5" customHeight="1">
      <c r="A37" s="3769"/>
      <c r="B37" s="3763" t="s">
        <v>2635</v>
      </c>
      <c r="C37" s="3105" t="s">
        <v>2475</v>
      </c>
      <c r="D37" s="3106"/>
      <c r="E37" s="3107">
        <v>0.6</v>
      </c>
      <c r="F37" s="3104" t="s">
        <v>2476</v>
      </c>
      <c r="G37" s="3104"/>
    </row>
    <row r="38" spans="1:7" ht="19.5" customHeight="1">
      <c r="A38" s="3769"/>
      <c r="B38" s="3765"/>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6"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6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63"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64"/>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64"/>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64"/>
      <c r="C112" s="3116" t="s">
        <v>2735</v>
      </c>
      <c r="D112" s="3090" t="s">
        <v>2736</v>
      </c>
      <c r="E112" s="3116">
        <v>0.1</v>
      </c>
      <c r="F112" s="3116">
        <v>15</v>
      </c>
    </row>
    <row r="113" spans="1:6" ht="13.5">
      <c r="A113" s="3116">
        <v>41</v>
      </c>
      <c r="B113" s="3762" t="s">
        <v>2737</v>
      </c>
      <c r="C113" s="3116" t="s">
        <v>2738</v>
      </c>
      <c r="D113" s="3090" t="s">
        <v>2739</v>
      </c>
      <c r="E113" s="3116">
        <v>0.1</v>
      </c>
      <c r="F113" s="3116">
        <v>15</v>
      </c>
    </row>
    <row r="114" spans="1:6" ht="13.5">
      <c r="A114" s="3116">
        <v>42</v>
      </c>
      <c r="B114" s="3762"/>
      <c r="C114" s="3116" t="s">
        <v>2740</v>
      </c>
      <c r="D114" s="3090" t="s">
        <v>2741</v>
      </c>
      <c r="E114" s="3116">
        <v>0.1</v>
      </c>
      <c r="F114" s="3116">
        <v>15</v>
      </c>
    </row>
    <row r="115" spans="1:6" ht="24">
      <c r="A115" s="3116">
        <v>43</v>
      </c>
      <c r="B115" s="3762"/>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4"/>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4"/>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4"/>
      <c r="C121" s="3116" t="s">
        <v>2757</v>
      </c>
      <c r="D121" s="3090" t="s">
        <v>2758</v>
      </c>
      <c r="E121" s="3116">
        <v>0.1</v>
      </c>
      <c r="F121" s="3116">
        <v>15</v>
      </c>
    </row>
    <row r="122" spans="1:6" ht="24">
      <c r="A122" s="3116">
        <v>50</v>
      </c>
      <c r="B122" s="3762" t="s">
        <v>2759</v>
      </c>
      <c r="C122" s="3116" t="s">
        <v>2760</v>
      </c>
      <c r="D122" s="3090" t="s">
        <v>2761</v>
      </c>
      <c r="E122" s="3116">
        <v>0.1</v>
      </c>
      <c r="F122" s="3116">
        <v>15</v>
      </c>
    </row>
    <row r="123" spans="1:6" ht="24">
      <c r="A123" s="3116">
        <v>51</v>
      </c>
      <c r="B123" s="3762"/>
      <c r="C123" s="3116" t="s">
        <v>2762</v>
      </c>
      <c r="D123" s="3090" t="s">
        <v>2763</v>
      </c>
      <c r="E123" s="3116">
        <v>0.1</v>
      </c>
      <c r="F123" s="3116">
        <v>15</v>
      </c>
    </row>
    <row r="124" spans="1:6" ht="24">
      <c r="A124" s="3116">
        <v>52</v>
      </c>
      <c r="B124" s="3762" t="s">
        <v>2764</v>
      </c>
      <c r="C124" s="3116" t="s">
        <v>2765</v>
      </c>
      <c r="D124" s="3090" t="s">
        <v>2766</v>
      </c>
      <c r="E124" s="3116">
        <v>0.1</v>
      </c>
      <c r="F124" s="3116">
        <v>15</v>
      </c>
    </row>
    <row r="125" spans="1:6" ht="24">
      <c r="A125" s="3116">
        <v>53</v>
      </c>
      <c r="B125" s="376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2" t="s">
        <v>2772</v>
      </c>
      <c r="C127" s="3116" t="s">
        <v>2773</v>
      </c>
      <c r="D127" s="3090" t="s">
        <v>2774</v>
      </c>
      <c r="E127" s="3116">
        <v>0.1</v>
      </c>
      <c r="F127" s="3116">
        <v>15</v>
      </c>
    </row>
    <row r="128" spans="1:6" ht="13.5">
      <c r="A128" s="3116">
        <v>56</v>
      </c>
      <c r="B128" s="3762"/>
      <c r="C128" s="3116" t="s">
        <v>2775</v>
      </c>
      <c r="D128" s="3090" t="s">
        <v>2776</v>
      </c>
      <c r="E128" s="3116">
        <v>0.1</v>
      </c>
      <c r="F128" s="3116">
        <v>15</v>
      </c>
    </row>
    <row r="129" spans="1:6" ht="24">
      <c r="A129" s="3116">
        <v>57</v>
      </c>
      <c r="B129" s="3762"/>
      <c r="C129" s="3116" t="s">
        <v>2777</v>
      </c>
      <c r="D129" s="3090" t="s">
        <v>2778</v>
      </c>
      <c r="E129" s="3116">
        <v>0.1</v>
      </c>
      <c r="F129" s="3116">
        <v>15</v>
      </c>
    </row>
    <row r="130" spans="1:6" ht="24">
      <c r="A130" s="3116">
        <v>58</v>
      </c>
      <c r="B130" s="3762" t="s">
        <v>2779</v>
      </c>
      <c r="C130" s="3116" t="s">
        <v>2780</v>
      </c>
      <c r="D130" s="3090" t="s">
        <v>2781</v>
      </c>
      <c r="E130" s="3116">
        <v>0.1</v>
      </c>
      <c r="F130" s="3116">
        <v>15</v>
      </c>
    </row>
    <row r="131" spans="1:6" ht="13.5">
      <c r="A131" s="3116">
        <v>59</v>
      </c>
      <c r="B131" s="3762"/>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2" t="s">
        <v>2792</v>
      </c>
      <c r="C135" s="3116" t="s">
        <v>2793</v>
      </c>
      <c r="D135" s="3090" t="s">
        <v>2794</v>
      </c>
      <c r="E135" s="3116">
        <v>0.1</v>
      </c>
      <c r="F135" s="3116">
        <v>15</v>
      </c>
    </row>
    <row r="136" spans="1:6" ht="13.5">
      <c r="A136" s="3116">
        <v>64</v>
      </c>
      <c r="B136" s="376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1.1748000000000001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1.1174999999999999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46060</v>
      </c>
      <c r="E5" s="1489"/>
    </row>
    <row r="6" spans="1:5" ht="15.75">
      <c r="A6" s="1489"/>
      <c r="B6" s="3455"/>
      <c r="C6" s="1492" t="s">
        <v>911</v>
      </c>
      <c r="D6" s="848" t="str">
        <f ca="1">NUMBERSTRING(INT(D5*10000),2)&amp;"元整"</f>
        <v>肆亿陆仟零陆拾万元整</v>
      </c>
      <c r="E6" s="1489"/>
    </row>
    <row r="7" spans="1:5" ht="15.75">
      <c r="A7" s="1489"/>
      <c r="B7" s="3460"/>
      <c r="C7" s="1493" t="s">
        <v>912</v>
      </c>
      <c r="D7" s="849">
        <f ca="1">结果表!H102</f>
        <v>12739</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46060</v>
      </c>
      <c r="E13" s="1489"/>
    </row>
    <row r="14" spans="1:5" ht="15.75">
      <c r="A14" s="1489"/>
      <c r="B14" s="3455"/>
      <c r="C14" s="1492" t="s">
        <v>911</v>
      </c>
      <c r="D14" s="848" t="str">
        <f ca="1">NUMBERSTRING(INT(D13*10000),2)&amp;"元整"</f>
        <v>肆亿陆仟零陆拾万元整</v>
      </c>
      <c r="E14" s="1489"/>
    </row>
    <row r="15" spans="1:5" ht="15">
      <c r="A15" s="1489"/>
      <c r="B15" s="3460"/>
      <c r="C15" s="1493" t="s">
        <v>921</v>
      </c>
      <c r="D15" s="857">
        <f ca="1">结果表!H108</f>
        <v>12739</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4.抵押净值</v>
      </c>
      <c r="C19" s="1497" t="s">
        <v>910</v>
      </c>
      <c r="D19" s="849">
        <f ca="1">结果表!H111</f>
        <v>38440</v>
      </c>
      <c r="E19" s="1489"/>
    </row>
    <row r="20" spans="1:5" ht="15.75">
      <c r="A20" s="1489"/>
      <c r="B20" s="3455"/>
      <c r="C20" s="1492" t="s">
        <v>923</v>
      </c>
      <c r="D20" s="848" t="str">
        <f ca="1">NUMBERSTRING(INT(D19*10000),2)&amp;"元整"</f>
        <v>叁亿捌仟肆佰肆拾万元整</v>
      </c>
      <c r="E20" s="1489"/>
    </row>
    <row r="21" spans="1:5" ht="15.75" thickBot="1">
      <c r="A21" s="1489"/>
      <c r="B21" s="3456"/>
      <c r="C21" s="1499" t="s">
        <v>921</v>
      </c>
      <c r="D21" s="858">
        <f ca="1">结果表!H112</f>
        <v>10631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48194</v>
      </c>
      <c r="C2" s="2" t="s">
        <v>106</v>
      </c>
      <c r="D2" s="199"/>
      <c r="E2" s="199"/>
      <c r="F2" s="199"/>
      <c r="G2" s="199"/>
    </row>
    <row r="3" spans="1:7" s="200" customFormat="1" ht="18" customHeight="1" thickBot="1">
      <c r="A3" s="203" t="s">
        <v>58</v>
      </c>
      <c r="B3" s="204">
        <f ca="1">ROUND(B2*10000/'数据-汇总表'!E3,0)</f>
        <v>13329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723</v>
      </c>
      <c r="D10" s="843">
        <f>'数据-汇总表'!E6</f>
        <v>36157.11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723</v>
      </c>
      <c r="D19" s="847">
        <f>'数据-汇总表'!E3</f>
        <v>36157.11</v>
      </c>
      <c r="E19" s="211">
        <f>'数据-取费表'!B31</f>
        <v>200</v>
      </c>
      <c r="F19" s="231"/>
      <c r="G19" s="1" t="s">
        <v>436</v>
      </c>
    </row>
    <row r="20" spans="1:7" s="214" customFormat="1" ht="13.5" customHeight="1">
      <c r="A20" s="775" t="s">
        <v>419</v>
      </c>
      <c r="B20" s="210" t="s">
        <v>77</v>
      </c>
      <c r="C20" s="232">
        <f>ROUND((C5+C19)*F20,0)</f>
        <v>427</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1513</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51</v>
      </c>
      <c r="D24" s="238"/>
      <c r="E24" s="238"/>
      <c r="F24" s="239"/>
      <c r="G24" s="240" t="s">
        <v>82</v>
      </c>
    </row>
    <row r="25" spans="1:7" s="214" customFormat="1" ht="24">
      <c r="A25" s="778" t="s">
        <v>348</v>
      </c>
      <c r="B25" s="215" t="s">
        <v>420</v>
      </c>
      <c r="C25" s="1103">
        <f ca="1">ROUND(IF('数据-取费表'!B22&lt;=1,C20*F22*'数据-取费表'!B23/2,C20*(POWER((1+F22),'数据-取费表'!B23/2)-1)),0)</f>
        <v>15</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3264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3264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17726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16271</v>
      </c>
      <c r="D34" s="217"/>
      <c r="E34" s="220"/>
      <c r="F34" s="257">
        <f>IF('数据-取费表'!B24=0,1,'数据-取费表'!N16)</f>
        <v>1</v>
      </c>
      <c r="G34" s="219" t="s">
        <v>89</v>
      </c>
    </row>
    <row r="35" spans="1:7" ht="13.5" customHeight="1">
      <c r="A35" s="778" t="s">
        <v>351</v>
      </c>
      <c r="B35" s="215" t="s">
        <v>33</v>
      </c>
      <c r="C35" s="220">
        <f>ROUND(C34*F35,0)</f>
        <v>488</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723</v>
      </c>
      <c r="D37" s="217">
        <f>'数据-汇总表'!E3</f>
        <v>36157.11</v>
      </c>
      <c r="E37" s="249">
        <f>'数据-取费表'!B35</f>
        <v>200</v>
      </c>
      <c r="F37" s="259"/>
      <c r="G37" s="261" t="s">
        <v>92</v>
      </c>
    </row>
    <row r="38" spans="1:7" ht="13.5" customHeight="1">
      <c r="A38" s="778" t="s">
        <v>354</v>
      </c>
      <c r="B38" s="215" t="s">
        <v>36</v>
      </c>
      <c r="C38" s="220">
        <f>ROUND(C34*F38,0)</f>
        <v>244</v>
      </c>
      <c r="D38" s="220"/>
      <c r="E38" s="220"/>
      <c r="F38" s="259">
        <f>'数据-取费表'!B36</f>
        <v>1.4999999999999999E-2</v>
      </c>
      <c r="G38" s="219" t="s">
        <v>90</v>
      </c>
    </row>
    <row r="39" spans="1:7" s="214" customFormat="1" ht="13.5" customHeight="1">
      <c r="A39" s="775" t="s">
        <v>338</v>
      </c>
      <c r="B39" s="210" t="s">
        <v>77</v>
      </c>
      <c r="C39" s="232">
        <f>ROUND(C33*F20,0)</f>
        <v>355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624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612</v>
      </c>
      <c r="D42" s="238"/>
      <c r="E42" s="238"/>
      <c r="F42" s="239"/>
      <c r="G42" s="3636" t="s">
        <v>94</v>
      </c>
    </row>
    <row r="43" spans="1:7" ht="13.5" customHeight="1">
      <c r="A43" s="778" t="s">
        <v>347</v>
      </c>
      <c r="B43" s="215" t="s">
        <v>426</v>
      </c>
      <c r="C43" s="238">
        <f ca="1">ROUND(IF('数据-取费表'!B22&lt;=1,C39*F22*'数据-取费表'!B21/2,C39*(POWER((1+F22),'数据-取费表'!B21/2)-1)),0)</f>
        <v>12</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2712</v>
      </c>
      <c r="D45" s="235">
        <f>C47</f>
        <v>3.0000000000000001E-3</v>
      </c>
      <c r="E45" s="236" t="s">
        <v>102</v>
      </c>
      <c r="F45" s="246"/>
      <c r="G45" s="247" t="s">
        <v>434</v>
      </c>
    </row>
    <row r="46" spans="1:7" s="214" customFormat="1" ht="13.5" customHeight="1">
      <c r="A46" s="778" t="s">
        <v>349</v>
      </c>
      <c r="B46" s="248" t="s">
        <v>427</v>
      </c>
      <c r="C46" s="249">
        <f>ROUND((C33+C39)*F27,0)</f>
        <v>2712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23181</v>
      </c>
      <c r="D49" s="232"/>
      <c r="E49" s="232"/>
      <c r="F49" s="264"/>
      <c r="G49" s="234" t="s">
        <v>435</v>
      </c>
    </row>
    <row r="50" spans="1:7" s="258" customFormat="1" ht="24">
      <c r="A50" s="775" t="s">
        <v>344</v>
      </c>
      <c r="B50" s="210" t="s">
        <v>97</v>
      </c>
      <c r="C50" s="232"/>
      <c r="D50" s="232"/>
      <c r="E50" s="232"/>
      <c r="F50" s="264">
        <f>IF('数据-取费表'!B24=0,'数据-取费表'!N16,1)</f>
        <v>0.84</v>
      </c>
      <c r="G50" s="247" t="s">
        <v>98</v>
      </c>
    </row>
    <row r="51" spans="1:7" ht="16.5" customHeight="1">
      <c r="A51" s="775" t="s">
        <v>345</v>
      </c>
      <c r="B51" s="210" t="s">
        <v>105</v>
      </c>
      <c r="C51" s="232">
        <f ca="1">ROUND(C49*F50,0)</f>
        <v>19472</v>
      </c>
      <c r="D51" s="232"/>
      <c r="E51" s="232"/>
      <c r="F51" s="264"/>
      <c r="G51" s="234" t="s">
        <v>37</v>
      </c>
    </row>
    <row r="52" spans="1:7" s="208" customFormat="1" ht="16.5" thickBot="1">
      <c r="A52" s="265" t="s">
        <v>38</v>
      </c>
      <c r="B52" s="266"/>
      <c r="C52" s="267">
        <f ca="1">C31+C51</f>
        <v>48194</v>
      </c>
      <c r="D52" s="266"/>
      <c r="E52" s="266"/>
      <c r="F52" s="266"/>
      <c r="G52" s="268"/>
    </row>
    <row r="55" spans="1:7" ht="15">
      <c r="B55" s="270" t="s">
        <v>39</v>
      </c>
      <c r="C55" s="271"/>
    </row>
    <row r="56" spans="1:7">
      <c r="B56" s="273" t="s">
        <v>40</v>
      </c>
      <c r="C56" s="274">
        <f ca="1">ROUND(C51/C52,3)</f>
        <v>0.40400000000000003</v>
      </c>
    </row>
    <row r="57" spans="1:7">
      <c r="B57" s="273" t="s">
        <v>41</v>
      </c>
      <c r="C57" s="275">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2842</v>
      </c>
      <c r="B1" s="3776"/>
      <c r="C1" s="3776"/>
      <c r="D1" s="3776"/>
      <c r="E1" s="3776"/>
      <c r="F1" s="3776"/>
      <c r="G1" s="3777"/>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4"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5"/>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3184</v>
      </c>
      <c r="B1" s="3778"/>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9" t="s">
        <v>3235</v>
      </c>
      <c r="B1" s="3779"/>
      <c r="C1" s="3779"/>
      <c r="D1" s="3779"/>
      <c r="E1" s="3779"/>
      <c r="F1" s="3780"/>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45236</v>
      </c>
      <c r="B1" s="3208" t="s">
        <v>3374</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3379</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3380</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3372</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3375</v>
      </c>
      <c r="C23" s="3209"/>
      <c r="D23" s="3209"/>
      <c r="E23" s="3209"/>
      <c r="F23" s="3209"/>
      <c r="G23" s="3209"/>
      <c r="H23" s="3209"/>
      <c r="I23" s="3209"/>
      <c r="J23" s="3163"/>
      <c r="K23" s="3209" t="s">
        <v>2829</v>
      </c>
      <c r="L23" s="3209"/>
      <c r="M23" s="3209"/>
      <c r="N23" s="3209"/>
      <c r="O23" s="3209"/>
      <c r="P23" s="3209"/>
      <c r="Q23" s="3163"/>
      <c r="R23" s="3781" t="s">
        <v>2830</v>
      </c>
      <c r="S23" s="3782"/>
      <c r="T23" s="3782"/>
      <c r="U23" s="3782"/>
      <c r="V23" s="3782"/>
      <c r="W23" s="3782"/>
      <c r="X23" s="3163"/>
      <c r="Y23" s="3781" t="s">
        <v>2831</v>
      </c>
      <c r="Z23" s="3782"/>
      <c r="AA23" s="3782"/>
      <c r="AB23" s="3782"/>
      <c r="AC23" s="3782"/>
      <c r="AD23" s="3782"/>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3378</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3379</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3380</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3376</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3377</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1" sqref="C1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36157.11</v>
      </c>
      <c r="C4" s="852">
        <f>项目基本情况!C18</f>
        <v>25572.42</v>
      </c>
      <c r="D4" s="852">
        <f ca="1">结果表!D118</f>
        <v>24320</v>
      </c>
      <c r="E4" s="852">
        <f ca="1">结果表!E118</f>
        <v>6726</v>
      </c>
      <c r="F4" s="852">
        <f ca="1">结果表!F118</f>
        <v>21740</v>
      </c>
      <c r="G4" s="852">
        <f ca="1">结果表!G118</f>
        <v>6013</v>
      </c>
      <c r="H4" s="852">
        <f ca="1">结果表!H118</f>
        <v>46060</v>
      </c>
      <c r="I4" s="852">
        <f ca="1">结果表!I118</f>
        <v>12739</v>
      </c>
    </row>
    <row r="5" spans="1:9" ht="30" customHeight="1">
      <c r="A5" s="3467" t="s">
        <v>927</v>
      </c>
      <c r="B5" s="3467"/>
      <c r="C5" s="3467"/>
      <c r="D5" s="3467" t="str">
        <f ca="1">结果表!D119</f>
        <v>贰亿肆仟叁佰贰拾万元整</v>
      </c>
      <c r="E5" s="3467"/>
      <c r="F5" s="3467" t="str">
        <f ca="1">结果表!F119</f>
        <v>贰亿壹仟柒佰肆拾万元整</v>
      </c>
      <c r="G5" s="3467"/>
      <c r="H5" s="3467" t="str">
        <f ca="1">结果表!H119</f>
        <v>肆亿陆仟零陆拾万元整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46060</v>
      </c>
      <c r="E8" s="3466"/>
      <c r="F8" s="3466"/>
      <c r="G8" s="3466"/>
      <c r="H8" s="3466"/>
      <c r="I8" s="3466"/>
    </row>
    <row r="9" spans="1:9" ht="15">
      <c r="A9" s="3467" t="s">
        <v>927</v>
      </c>
      <c r="B9" s="3467"/>
      <c r="C9" s="3467"/>
      <c r="D9" s="3467" t="str">
        <f ca="1">结果表!D123</f>
        <v>肆亿陆仟零陆拾万元整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抵押净值</v>
      </c>
      <c r="B12" s="3466"/>
      <c r="C12" s="3466"/>
      <c r="D12" s="3466">
        <f ca="1">结果表!D126</f>
        <v>38440</v>
      </c>
      <c r="E12" s="3466"/>
      <c r="F12" s="3466"/>
      <c r="G12" s="3466"/>
      <c r="H12" s="3466"/>
      <c r="I12" s="3466"/>
    </row>
    <row r="13" spans="1:9" ht="15.75" thickBot="1">
      <c r="A13" s="3464" t="s">
        <v>927</v>
      </c>
      <c r="B13" s="3464"/>
      <c r="C13" s="3464"/>
      <c r="D13" s="3464" t="str">
        <f ca="1">结果表!D127</f>
        <v>叁亿捌仟肆佰肆拾万元整</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2023-11-07T05:43:01Z</dcterms:modified>
</cp:coreProperties>
</file>